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2.xml" ContentType="application/vnd.openxmlformats-officedocument.drawing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petronas-my.sharepoint.com/personal/mnabielizzuddin_radz_petronas_com/Documents/Reservoir Engineering/Programming_Python_Projects/EOR ATLAS/EORWEB_old/EORWEB_1/"/>
    </mc:Choice>
  </mc:AlternateContent>
  <xr:revisionPtr revIDLastSave="146" documentId="8_{AABD9397-4EFE-4B7C-8D86-4E9C93F4AFA1}" xr6:coauthVersionLast="47" xr6:coauthVersionMax="47" xr10:uidLastSave="{45347637-089E-4994-B6E8-0A2CEB6AB2F5}"/>
  <bookViews>
    <workbookView xWindow="34464" yWindow="0" windowWidth="11712" windowHeight="12336" firstSheet="8" activeTab="11" xr2:uid="{00000000-000D-0000-FFFF-FFFF00000000}"/>
  </bookViews>
  <sheets>
    <sheet name="Sor_f" sheetId="36" r:id="rId1"/>
    <sheet name="Coreflood Summary" sheetId="32" r:id="rId2"/>
    <sheet name="map" sheetId="31" r:id="rId3"/>
    <sheet name="Adsorption" sheetId="18" r:id="rId4"/>
    <sheet name="UserGuide" sheetId="10" r:id="rId5"/>
    <sheet name="InputData" sheetId="1" r:id="rId6"/>
    <sheet name="Screening" sheetId="2" r:id="rId7"/>
    <sheet name="Ranking" sheetId="3" r:id="rId8"/>
    <sheet name="RF_EUR_Ranges" sheetId="4" r:id="rId9"/>
    <sheet name="Summary" sheetId="5" r:id="rId10"/>
    <sheet name="ScenarioControls" sheetId="6" r:id="rId11"/>
    <sheet name="Criteria" sheetId="7" r:id="rId12"/>
    <sheet name="References_2026" sheetId="8" r:id="rId13"/>
    <sheet name="Lists" sheetId="9" r:id="rId14"/>
    <sheet name="EOR_Data Gathering" sheetId="11" r:id="rId15"/>
    <sheet name="Coreflood" sheetId="16" r:id="rId16"/>
    <sheet name="Sheet1" sheetId="15" r:id="rId17"/>
    <sheet name="Challenges" sheetId="17" r:id="rId18"/>
    <sheet name="Vis_Shear" sheetId="19" r:id="rId19"/>
    <sheet name="Thermal" sheetId="20" r:id="rId20"/>
    <sheet name="Screening_Parameters" sheetId="21" r:id="rId21"/>
    <sheet name="Table_3_2_Peninsular_Msia" sheetId="22" r:id="rId22"/>
    <sheet name="Tidy_All" sheetId="23" r:id="rId23"/>
    <sheet name="Phase_Points" sheetId="24" r:id="rId24"/>
    <sheet name="Phase Behavior Results" sheetId="25" r:id="rId25"/>
    <sheet name="IFT_poly_F" sheetId="30" r:id="rId26"/>
    <sheet name="IFT_sur_F" sheetId="26" r:id="rId27"/>
    <sheet name="PB_2003" sheetId="27" r:id="rId28"/>
    <sheet name="PB_2013_A" sheetId="28" r:id="rId29"/>
    <sheet name="PB_2013_S" sheetId="29" r:id="rId30"/>
    <sheet name="PROP_updatedNov25_v2" sheetId="33" r:id="rId31"/>
    <sheet name="v1" sheetId="34" r:id="rId32"/>
    <sheet name="v2" sheetId="35" r:id="rId33"/>
  </sheets>
  <definedNames>
    <definedName name="_xlnm._FilterDatabase" localSheetId="2" hidden="1">map!$A$1:$G$39</definedName>
    <definedName name="_xlnm._FilterDatabase" localSheetId="30" hidden="1">PROP_updatedNov25_v2!$A$1:$AH$601</definedName>
    <definedName name="_xlnm._FilterDatabase" localSheetId="31" hidden="1">'v1'!$A$1:$AA$601</definedName>
    <definedName name="_xlnm._FilterDatabase" localSheetId="32" hidden="1">'v2'!$A$1:$AC$601</definedName>
    <definedName name="YES" localSheetId="14">'EOR_Data Gathering'!$D$44</definedName>
    <definedName name="YES">#REF!</definedName>
  </definedNames>
  <calcPr calcId="191029" refMode="R1C1" iterateCount="0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75" i="35" l="1"/>
  <c r="O174" i="35"/>
  <c r="O363" i="35"/>
  <c r="O533" i="35"/>
  <c r="O220" i="35"/>
  <c r="O219" i="35"/>
  <c r="O532" i="35"/>
  <c r="O362" i="35"/>
  <c r="O361" i="35"/>
  <c r="O360" i="35"/>
  <c r="O359" i="35"/>
  <c r="O198" i="35"/>
  <c r="O197" i="35"/>
  <c r="O218" i="35"/>
  <c r="O217" i="35"/>
  <c r="O358" i="35"/>
  <c r="O18" i="35"/>
  <c r="O17" i="35"/>
  <c r="O16" i="35"/>
  <c r="O15" i="35"/>
  <c r="O14" i="35"/>
  <c r="O13" i="35"/>
  <c r="O367" i="35"/>
  <c r="O366" i="35"/>
  <c r="O12" i="35"/>
  <c r="O11" i="35"/>
  <c r="O10" i="35"/>
  <c r="O9" i="35"/>
  <c r="O216" i="35"/>
  <c r="O215" i="35"/>
  <c r="O8" i="35"/>
  <c r="O229" i="35"/>
  <c r="O228" i="35"/>
  <c r="O303" i="35"/>
  <c r="O531" i="35"/>
  <c r="O302" i="35"/>
  <c r="O301" i="35"/>
  <c r="O170" i="35"/>
  <c r="O169" i="35"/>
  <c r="O530" i="35"/>
  <c r="O300" i="35"/>
  <c r="O529" i="35"/>
  <c r="O410" i="35"/>
  <c r="O571" i="35"/>
  <c r="O149" i="35"/>
  <c r="O7" i="35"/>
  <c r="O299" i="35"/>
  <c r="O148" i="35"/>
  <c r="O6" i="35"/>
  <c r="O147" i="35"/>
  <c r="O409" i="35"/>
  <c r="O408" i="35"/>
  <c r="O298" i="35"/>
  <c r="O297" i="35"/>
  <c r="O146" i="35"/>
  <c r="O567" i="35"/>
  <c r="O566" i="35"/>
  <c r="O407" i="35"/>
  <c r="O406" i="35"/>
  <c r="O168" i="35"/>
  <c r="O167" i="35"/>
  <c r="O296" i="35"/>
  <c r="O357" i="35"/>
  <c r="O173" i="35"/>
  <c r="O172" i="35"/>
  <c r="O528" i="35"/>
  <c r="O145" i="35"/>
  <c r="O5" i="35"/>
  <c r="O295" i="35"/>
  <c r="O294" i="35"/>
  <c r="O565" i="35"/>
  <c r="O564" i="35"/>
  <c r="O563" i="35"/>
  <c r="O562" i="35"/>
  <c r="O561" i="35"/>
  <c r="O560" i="35"/>
  <c r="O527" i="35"/>
  <c r="O526" i="35"/>
  <c r="O293" i="35"/>
  <c r="O144" i="35"/>
  <c r="O143" i="35"/>
  <c r="O525" i="35"/>
  <c r="O292" i="35"/>
  <c r="O291" i="35"/>
  <c r="O290" i="35"/>
  <c r="O289" i="35"/>
  <c r="O288" i="35"/>
  <c r="O287" i="35"/>
  <c r="O171" i="35"/>
  <c r="O166" i="35"/>
  <c r="O142" i="35"/>
  <c r="O286" i="35"/>
  <c r="O285" i="35"/>
  <c r="O284" i="35"/>
  <c r="O524" i="35"/>
  <c r="O165" i="35"/>
  <c r="O141" i="35"/>
  <c r="O140" i="35"/>
  <c r="O139" i="35"/>
  <c r="O138" i="35"/>
  <c r="O523" i="35"/>
  <c r="O283" i="35"/>
  <c r="O164" i="35"/>
  <c r="O163" i="35"/>
  <c r="O137" i="35"/>
  <c r="O282" i="35"/>
  <c r="O281" i="35"/>
  <c r="O280" i="35"/>
  <c r="O154" i="35"/>
  <c r="O136" i="35"/>
  <c r="O135" i="35"/>
  <c r="O279" i="35"/>
  <c r="O278" i="35"/>
  <c r="O277" i="35"/>
  <c r="O276" i="35"/>
  <c r="O275" i="35"/>
  <c r="O274" i="35"/>
  <c r="O273" i="35"/>
  <c r="O272" i="35"/>
  <c r="O271" i="35"/>
  <c r="O270" i="35"/>
  <c r="O269" i="35"/>
  <c r="O268" i="35"/>
  <c r="O267" i="35"/>
  <c r="O266" i="35"/>
  <c r="O265" i="35"/>
  <c r="O264" i="35"/>
  <c r="O263" i="35"/>
  <c r="O262" i="35"/>
  <c r="O261" i="35"/>
  <c r="O134" i="35"/>
  <c r="O260" i="35"/>
  <c r="O152" i="35"/>
  <c r="O133" i="35"/>
  <c r="O132" i="35"/>
  <c r="O131" i="35"/>
  <c r="O130" i="35"/>
  <c r="O129" i="35"/>
  <c r="O128" i="35"/>
  <c r="O127" i="35"/>
  <c r="O126" i="35"/>
  <c r="O125" i="35"/>
  <c r="O124" i="35"/>
  <c r="O522" i="35"/>
  <c r="O570" i="35"/>
  <c r="O259" i="35"/>
  <c r="O258" i="35"/>
  <c r="O257" i="35"/>
  <c r="O256" i="35"/>
  <c r="O255" i="35"/>
  <c r="O254" i="35"/>
  <c r="O253" i="35"/>
  <c r="O252" i="35"/>
  <c r="O251" i="35"/>
  <c r="O250" i="35"/>
  <c r="O162" i="35"/>
  <c r="O161" i="35"/>
  <c r="O249" i="35"/>
  <c r="O214" i="35"/>
  <c r="O248" i="35"/>
  <c r="O247" i="35"/>
  <c r="O246" i="35"/>
  <c r="O245" i="35"/>
  <c r="O244" i="35"/>
  <c r="O243" i="35"/>
  <c r="O242" i="35"/>
  <c r="O123" i="35"/>
  <c r="O122" i="35"/>
  <c r="O121" i="35"/>
  <c r="O120" i="35"/>
  <c r="O213" i="35"/>
  <c r="O330" i="35"/>
  <c r="O241" i="35"/>
  <c r="O240" i="35"/>
  <c r="O239" i="35"/>
  <c r="O238" i="35"/>
  <c r="O237" i="35"/>
  <c r="O236" i="35"/>
  <c r="O235" i="35"/>
  <c r="O234" i="35"/>
  <c r="O153" i="35"/>
  <c r="O119" i="35"/>
  <c r="O569" i="35"/>
  <c r="O568" i="35"/>
  <c r="O182" i="35"/>
  <c r="O181" i="35"/>
  <c r="O212" i="35"/>
  <c r="O521" i="35"/>
  <c r="O333" i="35"/>
  <c r="O332" i="35"/>
  <c r="O331" i="35"/>
  <c r="O180" i="35"/>
  <c r="O118" i="35"/>
  <c r="O117" i="35"/>
  <c r="O116" i="35"/>
  <c r="O115" i="35"/>
  <c r="O114" i="35"/>
  <c r="O113" i="35"/>
  <c r="O112" i="35"/>
  <c r="O111" i="35"/>
  <c r="O110" i="35"/>
  <c r="O211" i="35"/>
  <c r="O210" i="35"/>
  <c r="O209" i="35"/>
  <c r="O160" i="35"/>
  <c r="O159" i="35"/>
  <c r="O158" i="35"/>
  <c r="O157" i="35"/>
  <c r="O109" i="35"/>
  <c r="O233" i="35"/>
  <c r="O156" i="35"/>
  <c r="O108" i="35"/>
  <c r="O107" i="35"/>
  <c r="O106" i="35"/>
  <c r="O105" i="35"/>
  <c r="O208" i="35"/>
  <c r="O104" i="35"/>
  <c r="O103" i="35"/>
  <c r="O102" i="35"/>
  <c r="O520" i="35"/>
  <c r="O559" i="35"/>
  <c r="O558" i="35"/>
  <c r="O557" i="35"/>
  <c r="O329" i="35"/>
  <c r="O207" i="35"/>
  <c r="O206" i="35"/>
  <c r="O205" i="35"/>
  <c r="O204" i="35"/>
  <c r="O203" i="35"/>
  <c r="O202" i="35"/>
  <c r="O201" i="35"/>
  <c r="O200" i="35"/>
  <c r="O232" i="35"/>
  <c r="O101" i="35"/>
  <c r="O519" i="35"/>
  <c r="O600" i="35"/>
  <c r="O179" i="35"/>
  <c r="O100" i="35"/>
  <c r="O99" i="35"/>
  <c r="O328" i="35"/>
  <c r="O98" i="35"/>
  <c r="O518" i="35"/>
  <c r="O223" i="35"/>
  <c r="O155" i="35"/>
  <c r="O97" i="35"/>
  <c r="O96" i="35"/>
  <c r="O416" i="35"/>
  <c r="O415" i="35"/>
  <c r="O556" i="35"/>
  <c r="O555" i="35"/>
  <c r="O554" i="35"/>
  <c r="O553" i="35"/>
  <c r="O178" i="35"/>
  <c r="O517" i="35"/>
  <c r="O516" i="35"/>
  <c r="O95" i="35"/>
  <c r="O94" i="35"/>
  <c r="O93" i="35"/>
  <c r="O92" i="35"/>
  <c r="O91" i="35"/>
  <c r="O90" i="35"/>
  <c r="O89" i="35"/>
  <c r="O88" i="35"/>
  <c r="O515" i="35"/>
  <c r="O514" i="35"/>
  <c r="O513" i="35"/>
  <c r="O199" i="35"/>
  <c r="O87" i="35"/>
  <c r="O512" i="35"/>
  <c r="O177" i="35"/>
  <c r="O86" i="35"/>
  <c r="O85" i="35"/>
  <c r="O84" i="35"/>
  <c r="O83" i="35"/>
  <c r="O327" i="35"/>
  <c r="O326" i="35"/>
  <c r="O325" i="35"/>
  <c r="O511" i="35"/>
  <c r="O151" i="35"/>
  <c r="O324" i="35"/>
  <c r="O82" i="35"/>
  <c r="O81" i="35"/>
  <c r="O323" i="35"/>
  <c r="O80" i="35"/>
  <c r="O510" i="35"/>
  <c r="O322" i="35"/>
  <c r="O321" i="35"/>
  <c r="O320" i="35"/>
  <c r="O509" i="35"/>
  <c r="O508" i="35"/>
  <c r="O319" i="35"/>
  <c r="O507" i="35"/>
  <c r="O227" i="35"/>
  <c r="O226" i="35"/>
  <c r="O225" i="35"/>
  <c r="O224" i="35"/>
  <c r="O79" i="35"/>
  <c r="O78" i="35"/>
  <c r="O318" i="35"/>
  <c r="O506" i="35"/>
  <c r="O505" i="35"/>
  <c r="O77" i="35"/>
  <c r="O76" i="35"/>
  <c r="O75" i="35"/>
  <c r="O74" i="35"/>
  <c r="O504" i="35"/>
  <c r="O503" i="35"/>
  <c r="O502" i="35"/>
  <c r="O222" i="35"/>
  <c r="O221" i="35"/>
  <c r="O73" i="35"/>
  <c r="O72" i="35"/>
  <c r="O501" i="35"/>
  <c r="O500" i="35"/>
  <c r="O499" i="35"/>
  <c r="O314" i="35"/>
  <c r="O313" i="35"/>
  <c r="O312" i="35"/>
  <c r="O317" i="35"/>
  <c r="O498" i="35"/>
  <c r="O497" i="35"/>
  <c r="O496" i="35"/>
  <c r="O311" i="35"/>
  <c r="O310" i="35"/>
  <c r="O309" i="35"/>
  <c r="O308" i="35"/>
  <c r="O307" i="35"/>
  <c r="O306" i="35"/>
  <c r="O305" i="35"/>
  <c r="O304" i="35"/>
  <c r="O495" i="35"/>
  <c r="O494" i="35"/>
  <c r="O150" i="35"/>
  <c r="O71" i="35"/>
  <c r="O70" i="35"/>
  <c r="O493" i="35"/>
  <c r="O492" i="35"/>
  <c r="O69" i="35"/>
  <c r="O68" i="35"/>
  <c r="O491" i="35"/>
  <c r="O490" i="35"/>
  <c r="O67" i="35"/>
  <c r="O354" i="35"/>
  <c r="O353" i="35"/>
  <c r="O352" i="35"/>
  <c r="O351" i="35"/>
  <c r="O489" i="35"/>
  <c r="O488" i="35"/>
  <c r="O588" i="35"/>
  <c r="O414" i="35"/>
  <c r="O66" i="35"/>
  <c r="O487" i="35"/>
  <c r="O486" i="35"/>
  <c r="O65" i="35"/>
  <c r="O64" i="35"/>
  <c r="O485" i="35"/>
  <c r="O63" i="35"/>
  <c r="O62" i="35"/>
  <c r="O484" i="35"/>
  <c r="O61" i="35"/>
  <c r="O60" i="35"/>
  <c r="O483" i="35"/>
  <c r="O482" i="35"/>
  <c r="O316" i="35"/>
  <c r="O481" i="35"/>
  <c r="O480" i="35"/>
  <c r="O552" i="35"/>
  <c r="O479" i="35"/>
  <c r="O478" i="35"/>
  <c r="O477" i="35"/>
  <c r="O59" i="35"/>
  <c r="O58" i="35"/>
  <c r="O57" i="35"/>
  <c r="O56" i="35"/>
  <c r="O599" i="35"/>
  <c r="O365" i="35"/>
  <c r="O364" i="35"/>
  <c r="O356" i="35"/>
  <c r="O55" i="35"/>
  <c r="O598" i="35"/>
  <c r="O551" i="35"/>
  <c r="O550" i="35"/>
  <c r="O549" i="35"/>
  <c r="O196" i="35"/>
  <c r="O54" i="35"/>
  <c r="O53" i="35"/>
  <c r="O52" i="35"/>
  <c r="O597" i="35"/>
  <c r="O476" i="35"/>
  <c r="O475" i="35"/>
  <c r="O51" i="35"/>
  <c r="O596" i="35"/>
  <c r="O474" i="35"/>
  <c r="O587" i="35"/>
  <c r="O50" i="35"/>
  <c r="O548" i="35"/>
  <c r="O547" i="35"/>
  <c r="O595" i="35"/>
  <c r="O546" i="35"/>
  <c r="O545" i="35"/>
  <c r="O544" i="35"/>
  <c r="O473" i="35"/>
  <c r="O49" i="35"/>
  <c r="O48" i="35"/>
  <c r="O47" i="35"/>
  <c r="O472" i="35"/>
  <c r="O471" i="35"/>
  <c r="O594" i="35"/>
  <c r="O470" i="35"/>
  <c r="O543" i="35"/>
  <c r="O542" i="35"/>
  <c r="O541" i="35"/>
  <c r="O540" i="35"/>
  <c r="O586" i="35"/>
  <c r="O469" i="35"/>
  <c r="O468" i="35"/>
  <c r="O467" i="35"/>
  <c r="O466" i="35"/>
  <c r="O46" i="35"/>
  <c r="O45" i="35"/>
  <c r="O465" i="35"/>
  <c r="O350" i="35"/>
  <c r="O349" i="35"/>
  <c r="O348" i="35"/>
  <c r="O593" i="35"/>
  <c r="O585" i="35"/>
  <c r="O44" i="35"/>
  <c r="O43" i="35"/>
  <c r="O601" i="35"/>
  <c r="O464" i="35"/>
  <c r="O539" i="35"/>
  <c r="O538" i="35"/>
  <c r="O537" i="35"/>
  <c r="O536" i="35"/>
  <c r="O463" i="35"/>
  <c r="O462" i="35"/>
  <c r="O461" i="35"/>
  <c r="O460" i="35"/>
  <c r="O459" i="35"/>
  <c r="O458" i="35"/>
  <c r="O457" i="35"/>
  <c r="O195" i="35"/>
  <c r="O3" i="35"/>
  <c r="O456" i="35"/>
  <c r="O455" i="35"/>
  <c r="O454" i="35"/>
  <c r="O42" i="35"/>
  <c r="O453" i="35"/>
  <c r="O452" i="35"/>
  <c r="O451" i="35"/>
  <c r="O592" i="35"/>
  <c r="O591" i="35"/>
  <c r="O405" i="35"/>
  <c r="O404" i="35"/>
  <c r="O403" i="35"/>
  <c r="O402" i="35"/>
  <c r="O401" i="35"/>
  <c r="O400" i="35"/>
  <c r="O399" i="35"/>
  <c r="O398" i="35"/>
  <c r="O397" i="35"/>
  <c r="O396" i="35"/>
  <c r="O395" i="35"/>
  <c r="O394" i="35"/>
  <c r="O393" i="35"/>
  <c r="O392" i="35"/>
  <c r="O391" i="35"/>
  <c r="O390" i="35"/>
  <c r="O389" i="35"/>
  <c r="O388" i="35"/>
  <c r="O387" i="35"/>
  <c r="O386" i="35"/>
  <c r="O385" i="35"/>
  <c r="O384" i="35"/>
  <c r="O383" i="35"/>
  <c r="O382" i="35"/>
  <c r="O381" i="35"/>
  <c r="O380" i="35"/>
  <c r="O379" i="35"/>
  <c r="O378" i="35"/>
  <c r="O377" i="35"/>
  <c r="O376" i="35"/>
  <c r="O375" i="35"/>
  <c r="O374" i="35"/>
  <c r="O373" i="35"/>
  <c r="O372" i="35"/>
  <c r="O371" i="35"/>
  <c r="O370" i="35"/>
  <c r="O369" i="35"/>
  <c r="O368" i="35"/>
  <c r="O347" i="35"/>
  <c r="O346" i="35"/>
  <c r="O450" i="35"/>
  <c r="O449" i="35"/>
  <c r="O448" i="35"/>
  <c r="O2" i="35"/>
  <c r="O447" i="35"/>
  <c r="O446" i="35"/>
  <c r="O590" i="35"/>
  <c r="O445" i="35"/>
  <c r="O413" i="35"/>
  <c r="O444" i="35"/>
  <c r="O343" i="35"/>
  <c r="O194" i="35"/>
  <c r="O443" i="35"/>
  <c r="O422" i="35"/>
  <c r="O421" i="35"/>
  <c r="O420" i="35"/>
  <c r="O584" i="35"/>
  <c r="O583" i="35"/>
  <c r="O342" i="35"/>
  <c r="O341" i="35"/>
  <c r="O41" i="35"/>
  <c r="O315" i="35"/>
  <c r="O535" i="35"/>
  <c r="O534" i="35"/>
  <c r="O442" i="35"/>
  <c r="O582" i="35"/>
  <c r="O412" i="35"/>
  <c r="O441" i="35"/>
  <c r="O440" i="35"/>
  <c r="O340" i="35"/>
  <c r="O339" i="35"/>
  <c r="O193" i="35"/>
  <c r="O581" i="35"/>
  <c r="O439" i="35"/>
  <c r="O589" i="35"/>
  <c r="O40" i="35"/>
  <c r="O580" i="35"/>
  <c r="O39" i="35"/>
  <c r="O438" i="35"/>
  <c r="O424" i="35"/>
  <c r="O38" i="35"/>
  <c r="O37" i="35"/>
  <c r="O437" i="35"/>
  <c r="O436" i="35"/>
  <c r="O338" i="35"/>
  <c r="O579" i="35"/>
  <c r="O578" i="35"/>
  <c r="O36" i="35"/>
  <c r="O435" i="35"/>
  <c r="O434" i="35"/>
  <c r="O577" i="35"/>
  <c r="O576" i="35"/>
  <c r="O575" i="35"/>
  <c r="O35" i="35"/>
  <c r="O34" i="35"/>
  <c r="O433" i="35"/>
  <c r="O423" i="35"/>
  <c r="O337" i="35"/>
  <c r="O574" i="35"/>
  <c r="O573" i="35"/>
  <c r="O432" i="35"/>
  <c r="O431" i="35"/>
  <c r="O33" i="35"/>
  <c r="O336" i="35"/>
  <c r="O192" i="35"/>
  <c r="O32" i="35"/>
  <c r="O335" i="35"/>
  <c r="O31" i="35"/>
  <c r="O30" i="35"/>
  <c r="O430" i="35"/>
  <c r="O191" i="35"/>
  <c r="O572" i="35"/>
  <c r="O29" i="35"/>
  <c r="O429" i="35"/>
  <c r="O334" i="35"/>
  <c r="O28" i="35"/>
  <c r="O27" i="35"/>
  <c r="O26" i="35"/>
  <c r="O428" i="35"/>
  <c r="O190" i="35"/>
  <c r="O25" i="35"/>
  <c r="O24" i="35"/>
  <c r="O23" i="35"/>
  <c r="O22" i="35"/>
  <c r="O21" i="35"/>
  <c r="O189" i="35"/>
  <c r="O20" i="35"/>
  <c r="O355" i="35"/>
  <c r="O427" i="35"/>
  <c r="O419" i="35"/>
  <c r="O19" i="35"/>
  <c r="O418" i="35"/>
  <c r="O188" i="35"/>
  <c r="O417" i="35"/>
  <c r="O187" i="35"/>
  <c r="O426" i="35"/>
  <c r="O425" i="35"/>
  <c r="O411" i="35"/>
  <c r="O186" i="35"/>
  <c r="O185" i="35"/>
  <c r="O176" i="35"/>
  <c r="O345" i="35"/>
  <c r="O4" i="35"/>
  <c r="O344" i="35"/>
  <c r="O184" i="35"/>
  <c r="O183" i="35"/>
  <c r="O231" i="35"/>
  <c r="O230" i="35"/>
  <c r="M601" i="34"/>
  <c r="M600" i="34"/>
  <c r="M599" i="34"/>
  <c r="M598" i="34"/>
  <c r="M597" i="34"/>
  <c r="M596" i="34"/>
  <c r="M595" i="34"/>
  <c r="M594" i="34"/>
  <c r="M593" i="34"/>
  <c r="M592" i="34"/>
  <c r="M591" i="34"/>
  <c r="M590" i="34"/>
  <c r="M589" i="34"/>
  <c r="M588" i="34"/>
  <c r="M587" i="34"/>
  <c r="M586" i="34"/>
  <c r="M585" i="34"/>
  <c r="M584" i="34"/>
  <c r="M583" i="34"/>
  <c r="M582" i="34"/>
  <c r="M581" i="34"/>
  <c r="M580" i="34"/>
  <c r="M579" i="34"/>
  <c r="M578" i="34"/>
  <c r="M577" i="34"/>
  <c r="M576" i="34"/>
  <c r="M575" i="34"/>
  <c r="M574" i="34"/>
  <c r="M573" i="34"/>
  <c r="M572" i="34"/>
  <c r="M571" i="34"/>
  <c r="M570" i="34"/>
  <c r="M569" i="34"/>
  <c r="M568" i="34"/>
  <c r="M567" i="34"/>
  <c r="M566" i="34"/>
  <c r="M565" i="34"/>
  <c r="M564" i="34"/>
  <c r="M563" i="34"/>
  <c r="M562" i="34"/>
  <c r="M561" i="34"/>
  <c r="M560" i="34"/>
  <c r="M559" i="34"/>
  <c r="M558" i="34"/>
  <c r="M557" i="34"/>
  <c r="M556" i="34"/>
  <c r="M555" i="34"/>
  <c r="M554" i="34"/>
  <c r="M553" i="34"/>
  <c r="M552" i="34"/>
  <c r="M551" i="34"/>
  <c r="M550" i="34"/>
  <c r="M549" i="34"/>
  <c r="M548" i="34"/>
  <c r="M547" i="34"/>
  <c r="M546" i="34"/>
  <c r="M545" i="34"/>
  <c r="M544" i="34"/>
  <c r="M543" i="34"/>
  <c r="M542" i="34"/>
  <c r="M541" i="34"/>
  <c r="M540" i="34"/>
  <c r="M539" i="34"/>
  <c r="M538" i="34"/>
  <c r="M537" i="34"/>
  <c r="M536" i="34"/>
  <c r="M535" i="34"/>
  <c r="M534" i="34"/>
  <c r="M533" i="34"/>
  <c r="M532" i="34"/>
  <c r="M531" i="34"/>
  <c r="M530" i="34"/>
  <c r="M529" i="34"/>
  <c r="M528" i="34"/>
  <c r="M527" i="34"/>
  <c r="M526" i="34"/>
  <c r="M525" i="34"/>
  <c r="M524" i="34"/>
  <c r="M523" i="34"/>
  <c r="M522" i="34"/>
  <c r="M521" i="34"/>
  <c r="M520" i="34"/>
  <c r="M519" i="34"/>
  <c r="M518" i="34"/>
  <c r="M517" i="34"/>
  <c r="M516" i="34"/>
  <c r="M515" i="34"/>
  <c r="M514" i="34"/>
  <c r="M513" i="34"/>
  <c r="M512" i="34"/>
  <c r="M511" i="34"/>
  <c r="M510" i="34"/>
  <c r="M509" i="34"/>
  <c r="M508" i="34"/>
  <c r="M507" i="34"/>
  <c r="M506" i="34"/>
  <c r="M505" i="34"/>
  <c r="M504" i="34"/>
  <c r="M503" i="34"/>
  <c r="M502" i="34"/>
  <c r="M501" i="34"/>
  <c r="M500" i="34"/>
  <c r="M499" i="34"/>
  <c r="M498" i="34"/>
  <c r="M497" i="34"/>
  <c r="M496" i="34"/>
  <c r="M495" i="34"/>
  <c r="M494" i="34"/>
  <c r="M493" i="34"/>
  <c r="M492" i="34"/>
  <c r="M491" i="34"/>
  <c r="M490" i="34"/>
  <c r="M489" i="34"/>
  <c r="M488" i="34"/>
  <c r="M487" i="34"/>
  <c r="M486" i="34"/>
  <c r="M485" i="34"/>
  <c r="M484" i="34"/>
  <c r="M483" i="34"/>
  <c r="M482" i="34"/>
  <c r="M481" i="34"/>
  <c r="M480" i="34"/>
  <c r="M479" i="34"/>
  <c r="M478" i="34"/>
  <c r="M477" i="34"/>
  <c r="M476" i="34"/>
  <c r="M475" i="34"/>
  <c r="M474" i="34"/>
  <c r="M473" i="34"/>
  <c r="M472" i="34"/>
  <c r="M471" i="34"/>
  <c r="M470" i="34"/>
  <c r="M469" i="34"/>
  <c r="M468" i="34"/>
  <c r="M467" i="34"/>
  <c r="M466" i="34"/>
  <c r="M465" i="34"/>
  <c r="M464" i="34"/>
  <c r="M463" i="34"/>
  <c r="M462" i="34"/>
  <c r="M461" i="34"/>
  <c r="M460" i="34"/>
  <c r="M459" i="34"/>
  <c r="M458" i="34"/>
  <c r="M457" i="34"/>
  <c r="M456" i="34"/>
  <c r="M455" i="34"/>
  <c r="M454" i="34"/>
  <c r="M453" i="34"/>
  <c r="M452" i="34"/>
  <c r="M451" i="34"/>
  <c r="M450" i="34"/>
  <c r="M449" i="34"/>
  <c r="M448" i="34"/>
  <c r="M447" i="34"/>
  <c r="M446" i="34"/>
  <c r="M445" i="34"/>
  <c r="M444" i="34"/>
  <c r="M443" i="34"/>
  <c r="M442" i="34"/>
  <c r="M441" i="34"/>
  <c r="M440" i="34"/>
  <c r="M439" i="34"/>
  <c r="M438" i="34"/>
  <c r="M437" i="34"/>
  <c r="M436" i="34"/>
  <c r="M435" i="34"/>
  <c r="M434" i="34"/>
  <c r="M433" i="34"/>
  <c r="M432" i="34"/>
  <c r="M431" i="34"/>
  <c r="M430" i="34"/>
  <c r="M429" i="34"/>
  <c r="M428" i="34"/>
  <c r="M427" i="34"/>
  <c r="M426" i="34"/>
  <c r="M425" i="34"/>
  <c r="M424" i="34"/>
  <c r="M423" i="34"/>
  <c r="M422" i="34"/>
  <c r="M421" i="34"/>
  <c r="M420" i="34"/>
  <c r="M419" i="34"/>
  <c r="M418" i="34"/>
  <c r="M417" i="34"/>
  <c r="M416" i="34"/>
  <c r="M415" i="34"/>
  <c r="M414" i="34"/>
  <c r="M413" i="34"/>
  <c r="M412" i="34"/>
  <c r="M411" i="34"/>
  <c r="M410" i="34"/>
  <c r="M409" i="34"/>
  <c r="M408" i="34"/>
  <c r="M407" i="34"/>
  <c r="M406" i="34"/>
  <c r="M405" i="34"/>
  <c r="M404" i="34"/>
  <c r="M403" i="34"/>
  <c r="M402" i="34"/>
  <c r="M401" i="34"/>
  <c r="M400" i="34"/>
  <c r="M399" i="34"/>
  <c r="M398" i="34"/>
  <c r="M397" i="34"/>
  <c r="M396" i="34"/>
  <c r="M395" i="34"/>
  <c r="M394" i="34"/>
  <c r="M393" i="34"/>
  <c r="M392" i="34"/>
  <c r="M391" i="34"/>
  <c r="M390" i="34"/>
  <c r="M389" i="34"/>
  <c r="M388" i="34"/>
  <c r="M387" i="34"/>
  <c r="M386" i="34"/>
  <c r="M385" i="34"/>
  <c r="M384" i="34"/>
  <c r="M383" i="34"/>
  <c r="M382" i="34"/>
  <c r="M381" i="34"/>
  <c r="M380" i="34"/>
  <c r="M379" i="34"/>
  <c r="M378" i="34"/>
  <c r="M377" i="34"/>
  <c r="M376" i="34"/>
  <c r="M375" i="34"/>
  <c r="M374" i="34"/>
  <c r="M373" i="34"/>
  <c r="M372" i="34"/>
  <c r="M371" i="34"/>
  <c r="M370" i="34"/>
  <c r="M369" i="34"/>
  <c r="M368" i="34"/>
  <c r="M367" i="34"/>
  <c r="M366" i="34"/>
  <c r="M365" i="34"/>
  <c r="M364" i="34"/>
  <c r="M363" i="34"/>
  <c r="M362" i="34"/>
  <c r="M361" i="34"/>
  <c r="M360" i="34"/>
  <c r="M359" i="34"/>
  <c r="M358" i="34"/>
  <c r="M357" i="34"/>
  <c r="M356" i="34"/>
  <c r="M355" i="34"/>
  <c r="M354" i="34"/>
  <c r="M353" i="34"/>
  <c r="M352" i="34"/>
  <c r="M351" i="34"/>
  <c r="M350" i="34"/>
  <c r="M349" i="34"/>
  <c r="M348" i="34"/>
  <c r="M347" i="34"/>
  <c r="M346" i="34"/>
  <c r="M345" i="34"/>
  <c r="M344" i="34"/>
  <c r="M343" i="34"/>
  <c r="M342" i="34"/>
  <c r="M341" i="34"/>
  <c r="M340" i="34"/>
  <c r="M339" i="34"/>
  <c r="M338" i="34"/>
  <c r="M337" i="34"/>
  <c r="M336" i="34"/>
  <c r="M335" i="34"/>
  <c r="M334" i="34"/>
  <c r="M333" i="34"/>
  <c r="M332" i="34"/>
  <c r="M331" i="34"/>
  <c r="M330" i="34"/>
  <c r="M329" i="34"/>
  <c r="M328" i="34"/>
  <c r="M327" i="34"/>
  <c r="M326" i="34"/>
  <c r="M325" i="34"/>
  <c r="M324" i="34"/>
  <c r="M323" i="34"/>
  <c r="M322" i="34"/>
  <c r="M321" i="34"/>
  <c r="M320" i="34"/>
  <c r="M319" i="34"/>
  <c r="M318" i="34"/>
  <c r="M317" i="34"/>
  <c r="M316" i="34"/>
  <c r="M315" i="34"/>
  <c r="M314" i="34"/>
  <c r="M313" i="34"/>
  <c r="M312" i="34"/>
  <c r="M311" i="34"/>
  <c r="M310" i="34"/>
  <c r="M309" i="34"/>
  <c r="M308" i="34"/>
  <c r="M307" i="34"/>
  <c r="M306" i="34"/>
  <c r="M305" i="34"/>
  <c r="M304" i="34"/>
  <c r="M303" i="34"/>
  <c r="M302" i="34"/>
  <c r="M301" i="34"/>
  <c r="M300" i="34"/>
  <c r="M299" i="34"/>
  <c r="M298" i="34"/>
  <c r="M297" i="34"/>
  <c r="M296" i="34"/>
  <c r="M295" i="34"/>
  <c r="M294" i="34"/>
  <c r="M293" i="34"/>
  <c r="M292" i="34"/>
  <c r="M291" i="34"/>
  <c r="M290" i="34"/>
  <c r="M289" i="34"/>
  <c r="M288" i="34"/>
  <c r="M287" i="34"/>
  <c r="M286" i="34"/>
  <c r="M285" i="34"/>
  <c r="M284" i="34"/>
  <c r="M283" i="34"/>
  <c r="M282" i="34"/>
  <c r="M281" i="34"/>
  <c r="M280" i="34"/>
  <c r="M279" i="34"/>
  <c r="M278" i="34"/>
  <c r="M277" i="34"/>
  <c r="M276" i="34"/>
  <c r="M275" i="34"/>
  <c r="M274" i="34"/>
  <c r="M273" i="34"/>
  <c r="M272" i="34"/>
  <c r="M271" i="34"/>
  <c r="M270" i="34"/>
  <c r="M269" i="34"/>
  <c r="M268" i="34"/>
  <c r="M267" i="34"/>
  <c r="M266" i="34"/>
  <c r="M265" i="34"/>
  <c r="M264" i="34"/>
  <c r="M263" i="34"/>
  <c r="M262" i="34"/>
  <c r="M261" i="34"/>
  <c r="M260" i="34"/>
  <c r="M259" i="34"/>
  <c r="M258" i="34"/>
  <c r="M257" i="34"/>
  <c r="M256" i="34"/>
  <c r="M255" i="34"/>
  <c r="M254" i="34"/>
  <c r="M253" i="34"/>
  <c r="M252" i="34"/>
  <c r="M251" i="34"/>
  <c r="M250" i="34"/>
  <c r="M249" i="34"/>
  <c r="M248" i="34"/>
  <c r="M247" i="34"/>
  <c r="M246" i="34"/>
  <c r="M245" i="34"/>
  <c r="M244" i="34"/>
  <c r="M243" i="34"/>
  <c r="M242" i="34"/>
  <c r="M241" i="34"/>
  <c r="M240" i="34"/>
  <c r="M239" i="34"/>
  <c r="M238" i="34"/>
  <c r="M237" i="34"/>
  <c r="M236" i="34"/>
  <c r="M235" i="34"/>
  <c r="M234" i="34"/>
  <c r="M233" i="34"/>
  <c r="M232" i="34"/>
  <c r="M231" i="34"/>
  <c r="M230" i="34"/>
  <c r="M229" i="34"/>
  <c r="M228" i="34"/>
  <c r="M227" i="34"/>
  <c r="M226" i="34"/>
  <c r="M225" i="34"/>
  <c r="M224" i="34"/>
  <c r="M223" i="34"/>
  <c r="M222" i="34"/>
  <c r="M221" i="34"/>
  <c r="M220" i="34"/>
  <c r="M219" i="34"/>
  <c r="M218" i="34"/>
  <c r="M217" i="34"/>
  <c r="M216" i="34"/>
  <c r="M215" i="34"/>
  <c r="M214" i="34"/>
  <c r="M213" i="34"/>
  <c r="M212" i="34"/>
  <c r="M211" i="34"/>
  <c r="M210" i="34"/>
  <c r="M209" i="34"/>
  <c r="M208" i="34"/>
  <c r="M207" i="34"/>
  <c r="M206" i="34"/>
  <c r="M205" i="34"/>
  <c r="M204" i="34"/>
  <c r="M203" i="34"/>
  <c r="M202" i="34"/>
  <c r="M201" i="34"/>
  <c r="M200" i="34"/>
  <c r="M199" i="34"/>
  <c r="M198" i="34"/>
  <c r="M197" i="34"/>
  <c r="M196" i="34"/>
  <c r="M195" i="34"/>
  <c r="M194" i="34"/>
  <c r="M193" i="34"/>
  <c r="M192" i="34"/>
  <c r="M191" i="34"/>
  <c r="M190" i="34"/>
  <c r="M189" i="34"/>
  <c r="M188" i="34"/>
  <c r="M187" i="34"/>
  <c r="M186" i="34"/>
  <c r="M185" i="34"/>
  <c r="M184" i="34"/>
  <c r="M183" i="34"/>
  <c r="M182" i="34"/>
  <c r="M181" i="34"/>
  <c r="M180" i="34"/>
  <c r="M179" i="34"/>
  <c r="M178" i="34"/>
  <c r="M177" i="34"/>
  <c r="M176" i="34"/>
  <c r="M175" i="34"/>
  <c r="M174" i="34"/>
  <c r="M173" i="34"/>
  <c r="M172" i="34"/>
  <c r="M171" i="34"/>
  <c r="M170" i="34"/>
  <c r="M169" i="34"/>
  <c r="M168" i="34"/>
  <c r="M167" i="34"/>
  <c r="M166" i="34"/>
  <c r="M165" i="34"/>
  <c r="M164" i="34"/>
  <c r="M163" i="34"/>
  <c r="M162" i="34"/>
  <c r="M161" i="34"/>
  <c r="M160" i="34"/>
  <c r="M159" i="34"/>
  <c r="M158" i="34"/>
  <c r="M157" i="34"/>
  <c r="M156" i="34"/>
  <c r="M155" i="34"/>
  <c r="M154" i="34"/>
  <c r="M153" i="34"/>
  <c r="M152" i="34"/>
  <c r="M151" i="34"/>
  <c r="M150" i="34"/>
  <c r="M149" i="34"/>
  <c r="M148" i="34"/>
  <c r="M147" i="34"/>
  <c r="M146" i="34"/>
  <c r="M145" i="34"/>
  <c r="M144" i="34"/>
  <c r="M143" i="34"/>
  <c r="M142" i="34"/>
  <c r="M141" i="34"/>
  <c r="M140" i="34"/>
  <c r="M139" i="34"/>
  <c r="M138" i="34"/>
  <c r="M137" i="34"/>
  <c r="M136" i="34"/>
  <c r="M135" i="34"/>
  <c r="M134" i="34"/>
  <c r="M133" i="34"/>
  <c r="M132" i="34"/>
  <c r="M131" i="34"/>
  <c r="M130" i="34"/>
  <c r="M129" i="34"/>
  <c r="M128" i="34"/>
  <c r="M127" i="34"/>
  <c r="M126" i="34"/>
  <c r="M125" i="34"/>
  <c r="M124" i="34"/>
  <c r="M123" i="34"/>
  <c r="M122" i="34"/>
  <c r="M121" i="34"/>
  <c r="M120" i="34"/>
  <c r="M119" i="34"/>
  <c r="M118" i="34"/>
  <c r="M117" i="34"/>
  <c r="M116" i="34"/>
  <c r="M115" i="34"/>
  <c r="M114" i="34"/>
  <c r="M113" i="34"/>
  <c r="M112" i="34"/>
  <c r="M111" i="34"/>
  <c r="M110" i="34"/>
  <c r="M109" i="34"/>
  <c r="M108" i="34"/>
  <c r="M107" i="34"/>
  <c r="M106" i="34"/>
  <c r="M105" i="34"/>
  <c r="M104" i="34"/>
  <c r="M103" i="34"/>
  <c r="M102" i="34"/>
  <c r="M101" i="34"/>
  <c r="M100" i="34"/>
  <c r="M99" i="34"/>
  <c r="M98" i="34"/>
  <c r="M97" i="34"/>
  <c r="M96" i="34"/>
  <c r="M95" i="34"/>
  <c r="M94" i="34"/>
  <c r="M93" i="34"/>
  <c r="M92" i="34"/>
  <c r="M91" i="34"/>
  <c r="M90" i="34"/>
  <c r="M89" i="34"/>
  <c r="M88" i="34"/>
  <c r="M87" i="34"/>
  <c r="M86" i="34"/>
  <c r="M85" i="34"/>
  <c r="M84" i="34"/>
  <c r="M83" i="34"/>
  <c r="M82" i="34"/>
  <c r="M81" i="34"/>
  <c r="M80" i="34"/>
  <c r="M79" i="34"/>
  <c r="M78" i="34"/>
  <c r="M77" i="34"/>
  <c r="M76" i="34"/>
  <c r="M75" i="34"/>
  <c r="M74" i="34"/>
  <c r="M73" i="34"/>
  <c r="M72" i="34"/>
  <c r="M71" i="34"/>
  <c r="M70" i="34"/>
  <c r="M69" i="34"/>
  <c r="M68" i="34"/>
  <c r="M67" i="34"/>
  <c r="M66" i="34"/>
  <c r="M65" i="34"/>
  <c r="M64" i="34"/>
  <c r="M63" i="34"/>
  <c r="M62" i="34"/>
  <c r="M61" i="34"/>
  <c r="M60" i="34"/>
  <c r="M59" i="34"/>
  <c r="M58" i="34"/>
  <c r="M57" i="34"/>
  <c r="M56" i="34"/>
  <c r="M55" i="34"/>
  <c r="M54" i="34"/>
  <c r="M53" i="34"/>
  <c r="M52" i="34"/>
  <c r="M51" i="34"/>
  <c r="M50" i="34"/>
  <c r="M49" i="34"/>
  <c r="M48" i="34"/>
  <c r="M47" i="34"/>
  <c r="M46" i="34"/>
  <c r="M45" i="34"/>
  <c r="M44" i="34"/>
  <c r="M43" i="34"/>
  <c r="M42" i="34"/>
  <c r="M41" i="34"/>
  <c r="M40" i="34"/>
  <c r="M39" i="34"/>
  <c r="M38" i="34"/>
  <c r="M37" i="34"/>
  <c r="M36" i="34"/>
  <c r="M35" i="34"/>
  <c r="M34" i="34"/>
  <c r="M33" i="34"/>
  <c r="M32" i="34"/>
  <c r="M31" i="34"/>
  <c r="M30" i="34"/>
  <c r="M29" i="34"/>
  <c r="M28" i="34"/>
  <c r="M27" i="34"/>
  <c r="M26" i="34"/>
  <c r="M25" i="34"/>
  <c r="M24" i="34"/>
  <c r="M23" i="34"/>
  <c r="M22" i="34"/>
  <c r="M21" i="34"/>
  <c r="M20" i="34"/>
  <c r="M19" i="34"/>
  <c r="M18" i="34"/>
  <c r="M17" i="34"/>
  <c r="M16" i="34"/>
  <c r="M15" i="34"/>
  <c r="M14" i="34"/>
  <c r="M13" i="34"/>
  <c r="M12" i="34"/>
  <c r="M11" i="34"/>
  <c r="M10" i="34"/>
  <c r="M9" i="34"/>
  <c r="M8" i="34"/>
  <c r="M7" i="34"/>
  <c r="M6" i="34"/>
  <c r="M5" i="34"/>
  <c r="M4" i="34"/>
  <c r="M3" i="34"/>
  <c r="M2" i="34"/>
  <c r="M601" i="33"/>
  <c r="M600" i="33"/>
  <c r="M599" i="33"/>
  <c r="M598" i="33"/>
  <c r="M597" i="33"/>
  <c r="M596" i="33"/>
  <c r="M595" i="33"/>
  <c r="M594" i="33"/>
  <c r="M593" i="33"/>
  <c r="M592" i="33"/>
  <c r="M591" i="33"/>
  <c r="M590" i="33"/>
  <c r="M589" i="33"/>
  <c r="M588" i="33"/>
  <c r="M587" i="33"/>
  <c r="M586" i="33"/>
  <c r="M585" i="33"/>
  <c r="M584" i="33"/>
  <c r="M583" i="33"/>
  <c r="M582" i="33"/>
  <c r="M581" i="33"/>
  <c r="M580" i="33"/>
  <c r="M579" i="33"/>
  <c r="M578" i="33"/>
  <c r="M577" i="33"/>
  <c r="M576" i="33"/>
  <c r="M575" i="33"/>
  <c r="M574" i="33"/>
  <c r="M573" i="33"/>
  <c r="M572" i="33"/>
  <c r="M571" i="33"/>
  <c r="M570" i="33"/>
  <c r="M569" i="33"/>
  <c r="M568" i="33"/>
  <c r="M567" i="33"/>
  <c r="M566" i="33"/>
  <c r="M565" i="33"/>
  <c r="M564" i="33"/>
  <c r="M563" i="33"/>
  <c r="M562" i="33"/>
  <c r="M561" i="33"/>
  <c r="M560" i="33"/>
  <c r="M559" i="33"/>
  <c r="M558" i="33"/>
  <c r="M557" i="33"/>
  <c r="M556" i="33"/>
  <c r="M555" i="33"/>
  <c r="M554" i="33"/>
  <c r="M553" i="33"/>
  <c r="M552" i="33"/>
  <c r="M551" i="33"/>
  <c r="M550" i="33"/>
  <c r="M549" i="33"/>
  <c r="M548" i="33"/>
  <c r="M547" i="33"/>
  <c r="M546" i="33"/>
  <c r="M545" i="33"/>
  <c r="M544" i="33"/>
  <c r="M543" i="33"/>
  <c r="M542" i="33"/>
  <c r="M541" i="33"/>
  <c r="M540" i="33"/>
  <c r="M539" i="33"/>
  <c r="M538" i="33"/>
  <c r="M537" i="33"/>
  <c r="M536" i="33"/>
  <c r="M535" i="33"/>
  <c r="M534" i="33"/>
  <c r="M533" i="33"/>
  <c r="M532" i="33"/>
  <c r="M531" i="33"/>
  <c r="M530" i="33"/>
  <c r="M529" i="33"/>
  <c r="M528" i="33"/>
  <c r="M527" i="33"/>
  <c r="M526" i="33"/>
  <c r="M525" i="33"/>
  <c r="M524" i="33"/>
  <c r="M523" i="33"/>
  <c r="M522" i="33"/>
  <c r="M521" i="33"/>
  <c r="M520" i="33"/>
  <c r="M519" i="33"/>
  <c r="M518" i="33"/>
  <c r="M517" i="33"/>
  <c r="M516" i="33"/>
  <c r="M515" i="33"/>
  <c r="M514" i="33"/>
  <c r="M513" i="33"/>
  <c r="M512" i="33"/>
  <c r="M511" i="33"/>
  <c r="M510" i="33"/>
  <c r="M509" i="33"/>
  <c r="M508" i="33"/>
  <c r="M507" i="33"/>
  <c r="M506" i="33"/>
  <c r="M505" i="33"/>
  <c r="M504" i="33"/>
  <c r="M503" i="33"/>
  <c r="M502" i="33"/>
  <c r="M501" i="33"/>
  <c r="M500" i="33"/>
  <c r="M499" i="33"/>
  <c r="M498" i="33"/>
  <c r="M497" i="33"/>
  <c r="M496" i="33"/>
  <c r="M495" i="33"/>
  <c r="M494" i="33"/>
  <c r="M493" i="33"/>
  <c r="M492" i="33"/>
  <c r="M491" i="33"/>
  <c r="M490" i="33"/>
  <c r="M489" i="33"/>
  <c r="M488" i="33"/>
  <c r="M487" i="33"/>
  <c r="M486" i="33"/>
  <c r="M485" i="33"/>
  <c r="M484" i="33"/>
  <c r="M483" i="33"/>
  <c r="M482" i="33"/>
  <c r="M481" i="33"/>
  <c r="M480" i="33"/>
  <c r="M479" i="33"/>
  <c r="M478" i="33"/>
  <c r="M477" i="33"/>
  <c r="M476" i="33"/>
  <c r="M475" i="33"/>
  <c r="M474" i="33"/>
  <c r="M473" i="33"/>
  <c r="M472" i="33"/>
  <c r="M471" i="33"/>
  <c r="M470" i="33"/>
  <c r="M469" i="33"/>
  <c r="M468" i="33"/>
  <c r="M467" i="33"/>
  <c r="M466" i="33"/>
  <c r="M465" i="33"/>
  <c r="M464" i="33"/>
  <c r="M463" i="33"/>
  <c r="M462" i="33"/>
  <c r="M461" i="33"/>
  <c r="M460" i="33"/>
  <c r="M459" i="33"/>
  <c r="M458" i="33"/>
  <c r="M457" i="33"/>
  <c r="M456" i="33"/>
  <c r="M455" i="33"/>
  <c r="M454" i="33"/>
  <c r="M453" i="33"/>
  <c r="M452" i="33"/>
  <c r="M451" i="33"/>
  <c r="M450" i="33"/>
  <c r="M449" i="33"/>
  <c r="M448" i="33"/>
  <c r="M447" i="33"/>
  <c r="M446" i="33"/>
  <c r="M445" i="33"/>
  <c r="M444" i="33"/>
  <c r="M443" i="33"/>
  <c r="M442" i="33"/>
  <c r="M441" i="33"/>
  <c r="M440" i="33"/>
  <c r="M439" i="33"/>
  <c r="M438" i="33"/>
  <c r="M437" i="33"/>
  <c r="M436" i="33"/>
  <c r="M435" i="33"/>
  <c r="M434" i="33"/>
  <c r="M433" i="33"/>
  <c r="M432" i="33"/>
  <c r="M431" i="33"/>
  <c r="M430" i="33"/>
  <c r="M429" i="33"/>
  <c r="M428" i="33"/>
  <c r="M427" i="33"/>
  <c r="M426" i="33"/>
  <c r="M425" i="33"/>
  <c r="M424" i="33"/>
  <c r="M423" i="33"/>
  <c r="M422" i="33"/>
  <c r="M421" i="33"/>
  <c r="M420" i="33"/>
  <c r="M419" i="33"/>
  <c r="M418" i="33"/>
  <c r="M417" i="33"/>
  <c r="M416" i="33"/>
  <c r="M415" i="33"/>
  <c r="M414" i="33"/>
  <c r="M413" i="33"/>
  <c r="M412" i="33"/>
  <c r="M411" i="33"/>
  <c r="M410" i="33"/>
  <c r="M409" i="33"/>
  <c r="M408" i="33"/>
  <c r="M407" i="33"/>
  <c r="M406" i="33"/>
  <c r="M405" i="33"/>
  <c r="M404" i="33"/>
  <c r="M403" i="33"/>
  <c r="M402" i="33"/>
  <c r="M401" i="33"/>
  <c r="M400" i="33"/>
  <c r="M399" i="33"/>
  <c r="M398" i="33"/>
  <c r="M397" i="33"/>
  <c r="M396" i="33"/>
  <c r="M395" i="33"/>
  <c r="M394" i="33"/>
  <c r="M393" i="33"/>
  <c r="M392" i="33"/>
  <c r="M391" i="33"/>
  <c r="M390" i="33"/>
  <c r="M389" i="33"/>
  <c r="M388" i="33"/>
  <c r="M387" i="33"/>
  <c r="M386" i="33"/>
  <c r="M385" i="33"/>
  <c r="M384" i="33"/>
  <c r="M383" i="33"/>
  <c r="M382" i="33"/>
  <c r="M381" i="33"/>
  <c r="M380" i="33"/>
  <c r="M379" i="33"/>
  <c r="M378" i="33"/>
  <c r="M377" i="33"/>
  <c r="M376" i="33"/>
  <c r="M375" i="33"/>
  <c r="M374" i="33"/>
  <c r="M373" i="33"/>
  <c r="M372" i="33"/>
  <c r="M371" i="33"/>
  <c r="M370" i="33"/>
  <c r="M369" i="33"/>
  <c r="M368" i="33"/>
  <c r="M367" i="33"/>
  <c r="M366" i="33"/>
  <c r="M365" i="33"/>
  <c r="M364" i="33"/>
  <c r="M363" i="33"/>
  <c r="M362" i="33"/>
  <c r="M361" i="33"/>
  <c r="M360" i="33"/>
  <c r="M359" i="33"/>
  <c r="M358" i="33"/>
  <c r="M357" i="33"/>
  <c r="M356" i="33"/>
  <c r="M355" i="33"/>
  <c r="M354" i="33"/>
  <c r="M353" i="33"/>
  <c r="M352" i="33"/>
  <c r="M351" i="33"/>
  <c r="M350" i="33"/>
  <c r="M349" i="33"/>
  <c r="M348" i="33"/>
  <c r="M347" i="33"/>
  <c r="M346" i="33"/>
  <c r="M345" i="33"/>
  <c r="M344" i="33"/>
  <c r="M343" i="33"/>
  <c r="M342" i="33"/>
  <c r="M341" i="33"/>
  <c r="M340" i="33"/>
  <c r="M339" i="33"/>
  <c r="M338" i="33"/>
  <c r="M337" i="33"/>
  <c r="M336" i="33"/>
  <c r="M335" i="33"/>
  <c r="M334" i="33"/>
  <c r="M333" i="33"/>
  <c r="M332" i="33"/>
  <c r="M331" i="33"/>
  <c r="M330" i="33"/>
  <c r="M329" i="33"/>
  <c r="M328" i="33"/>
  <c r="M327" i="33"/>
  <c r="M326" i="33"/>
  <c r="M325" i="33"/>
  <c r="M324" i="33"/>
  <c r="M323" i="33"/>
  <c r="M322" i="33"/>
  <c r="M321" i="33"/>
  <c r="M320" i="33"/>
  <c r="M319" i="33"/>
  <c r="M318" i="33"/>
  <c r="M317" i="33"/>
  <c r="M316" i="33"/>
  <c r="M315" i="33"/>
  <c r="M314" i="33"/>
  <c r="M313" i="33"/>
  <c r="M312" i="33"/>
  <c r="M311" i="33"/>
  <c r="M310" i="33"/>
  <c r="M309" i="33"/>
  <c r="M308" i="33"/>
  <c r="M307" i="33"/>
  <c r="M306" i="33"/>
  <c r="M305" i="33"/>
  <c r="M304" i="33"/>
  <c r="M303" i="33"/>
  <c r="M302" i="33"/>
  <c r="M301" i="33"/>
  <c r="M300" i="33"/>
  <c r="M299" i="33"/>
  <c r="M298" i="33"/>
  <c r="M297" i="33"/>
  <c r="M296" i="33"/>
  <c r="M295" i="33"/>
  <c r="M294" i="33"/>
  <c r="M293" i="33"/>
  <c r="M292" i="33"/>
  <c r="M291" i="33"/>
  <c r="M290" i="33"/>
  <c r="M289" i="33"/>
  <c r="M288" i="33"/>
  <c r="M287" i="33"/>
  <c r="M286" i="33"/>
  <c r="M285" i="33"/>
  <c r="M284" i="33"/>
  <c r="M283" i="33"/>
  <c r="M282" i="33"/>
  <c r="M281" i="33"/>
  <c r="M280" i="33"/>
  <c r="M279" i="33"/>
  <c r="M278" i="33"/>
  <c r="M277" i="33"/>
  <c r="M276" i="33"/>
  <c r="M275" i="33"/>
  <c r="M274" i="33"/>
  <c r="M273" i="33"/>
  <c r="M272" i="33"/>
  <c r="M271" i="33"/>
  <c r="M270" i="33"/>
  <c r="M269" i="33"/>
  <c r="M268" i="33"/>
  <c r="M267" i="33"/>
  <c r="M266" i="33"/>
  <c r="M265" i="33"/>
  <c r="M264" i="33"/>
  <c r="M263" i="33"/>
  <c r="M262" i="33"/>
  <c r="M261" i="33"/>
  <c r="M260" i="33"/>
  <c r="M259" i="33"/>
  <c r="M258" i="33"/>
  <c r="M257" i="33"/>
  <c r="M256" i="33"/>
  <c r="M255" i="33"/>
  <c r="M254" i="33"/>
  <c r="M253" i="33"/>
  <c r="M252" i="33"/>
  <c r="M251" i="33"/>
  <c r="M250" i="33"/>
  <c r="M249" i="33"/>
  <c r="M248" i="33"/>
  <c r="M247" i="33"/>
  <c r="M246" i="33"/>
  <c r="M245" i="33"/>
  <c r="M244" i="33"/>
  <c r="M243" i="33"/>
  <c r="M242" i="33"/>
  <c r="M241" i="33"/>
  <c r="M240" i="33"/>
  <c r="M239" i="33"/>
  <c r="M238" i="33"/>
  <c r="M237" i="33"/>
  <c r="M236" i="33"/>
  <c r="M235" i="33"/>
  <c r="M234" i="33"/>
  <c r="M233" i="33"/>
  <c r="M232" i="33"/>
  <c r="M231" i="33"/>
  <c r="M230" i="33"/>
  <c r="M229" i="33"/>
  <c r="M228" i="33"/>
  <c r="M227" i="33"/>
  <c r="M226" i="33"/>
  <c r="M225" i="33"/>
  <c r="M224" i="33"/>
  <c r="M223" i="33"/>
  <c r="M222" i="33"/>
  <c r="M221" i="33"/>
  <c r="M220" i="33"/>
  <c r="M219" i="33"/>
  <c r="M218" i="33"/>
  <c r="M217" i="33"/>
  <c r="M216" i="33"/>
  <c r="M215" i="33"/>
  <c r="M214" i="33"/>
  <c r="M213" i="33"/>
  <c r="M212" i="33"/>
  <c r="M211" i="33"/>
  <c r="M210" i="33"/>
  <c r="M209" i="33"/>
  <c r="M208" i="33"/>
  <c r="M207" i="33"/>
  <c r="M206" i="33"/>
  <c r="M205" i="33"/>
  <c r="M204" i="33"/>
  <c r="M203" i="33"/>
  <c r="M202" i="33"/>
  <c r="M201" i="33"/>
  <c r="M200" i="33"/>
  <c r="M199" i="33"/>
  <c r="M198" i="33"/>
  <c r="M197" i="33"/>
  <c r="M196" i="33"/>
  <c r="M195" i="33"/>
  <c r="M194" i="33"/>
  <c r="M193" i="33"/>
  <c r="M192" i="33"/>
  <c r="M191" i="33"/>
  <c r="M190" i="33"/>
  <c r="M189" i="33"/>
  <c r="M188" i="33"/>
  <c r="M187" i="33"/>
  <c r="M186" i="33"/>
  <c r="M185" i="33"/>
  <c r="M184" i="33"/>
  <c r="M183" i="33"/>
  <c r="M182" i="33"/>
  <c r="M181" i="33"/>
  <c r="M180" i="33"/>
  <c r="M179" i="33"/>
  <c r="M178" i="33"/>
  <c r="M177" i="33"/>
  <c r="M176" i="33"/>
  <c r="M175" i="33"/>
  <c r="M174" i="33"/>
  <c r="M173" i="33"/>
  <c r="M172" i="33"/>
  <c r="M171" i="33"/>
  <c r="M170" i="33"/>
  <c r="M169" i="33"/>
  <c r="M168" i="33"/>
  <c r="M167" i="33"/>
  <c r="M166" i="33"/>
  <c r="M165" i="33"/>
  <c r="M164" i="33"/>
  <c r="M163" i="33"/>
  <c r="M162" i="33"/>
  <c r="M161" i="33"/>
  <c r="M160" i="33"/>
  <c r="M159" i="33"/>
  <c r="M158" i="33"/>
  <c r="M157" i="33"/>
  <c r="M156" i="33"/>
  <c r="M155" i="33"/>
  <c r="M154" i="33"/>
  <c r="M153" i="33"/>
  <c r="M152" i="33"/>
  <c r="M151" i="33"/>
  <c r="M150" i="33"/>
  <c r="M149" i="33"/>
  <c r="M148" i="33"/>
  <c r="M147" i="33"/>
  <c r="M146" i="33"/>
  <c r="M145" i="33"/>
  <c r="M144" i="33"/>
  <c r="M143" i="33"/>
  <c r="M142" i="33"/>
  <c r="M141" i="33"/>
  <c r="M140" i="33"/>
  <c r="M139" i="33"/>
  <c r="M138" i="33"/>
  <c r="M137" i="33"/>
  <c r="M136" i="33"/>
  <c r="M135" i="33"/>
  <c r="M134" i="33"/>
  <c r="M133" i="33"/>
  <c r="M132" i="33"/>
  <c r="M131" i="33"/>
  <c r="M130" i="33"/>
  <c r="M129" i="33"/>
  <c r="M128" i="33"/>
  <c r="M127" i="33"/>
  <c r="M126" i="33"/>
  <c r="M125" i="33"/>
  <c r="M124" i="33"/>
  <c r="M123" i="33"/>
  <c r="M122" i="33"/>
  <c r="M121" i="33"/>
  <c r="M120" i="33"/>
  <c r="M119" i="33"/>
  <c r="M118" i="33"/>
  <c r="M117" i="33"/>
  <c r="M116" i="33"/>
  <c r="M115" i="33"/>
  <c r="M114" i="33"/>
  <c r="M113" i="33"/>
  <c r="M112" i="33"/>
  <c r="M111" i="33"/>
  <c r="M110" i="33"/>
  <c r="M109" i="33"/>
  <c r="M108" i="33"/>
  <c r="M107" i="33"/>
  <c r="M106" i="33"/>
  <c r="M105" i="33"/>
  <c r="M104" i="33"/>
  <c r="M103" i="33"/>
  <c r="M102" i="33"/>
  <c r="M101" i="33"/>
  <c r="M100" i="33"/>
  <c r="M99" i="33"/>
  <c r="M98" i="33"/>
  <c r="M97" i="33"/>
  <c r="M96" i="33"/>
  <c r="M95" i="33"/>
  <c r="M94" i="33"/>
  <c r="M93" i="33"/>
  <c r="M92" i="33"/>
  <c r="M91" i="33"/>
  <c r="M90" i="33"/>
  <c r="M89" i="33"/>
  <c r="M88" i="33"/>
  <c r="M87" i="33"/>
  <c r="M86" i="33"/>
  <c r="M85" i="33"/>
  <c r="M84" i="33"/>
  <c r="M83" i="33"/>
  <c r="M82" i="33"/>
  <c r="M81" i="33"/>
  <c r="M80" i="33"/>
  <c r="M79" i="33"/>
  <c r="M78" i="33"/>
  <c r="M77" i="33"/>
  <c r="M76" i="33"/>
  <c r="M75" i="33"/>
  <c r="M74" i="33"/>
  <c r="M73" i="33"/>
  <c r="M72" i="33"/>
  <c r="M71" i="33"/>
  <c r="M70" i="33"/>
  <c r="M69" i="33"/>
  <c r="M68" i="33"/>
  <c r="M67" i="33"/>
  <c r="M66" i="33"/>
  <c r="M65" i="33"/>
  <c r="M64" i="33"/>
  <c r="M63" i="33"/>
  <c r="M62" i="33"/>
  <c r="M61" i="33"/>
  <c r="M60" i="33"/>
  <c r="M59" i="33"/>
  <c r="M58" i="33"/>
  <c r="M57" i="33"/>
  <c r="M56" i="33"/>
  <c r="M55" i="33"/>
  <c r="M54" i="33"/>
  <c r="M53" i="33"/>
  <c r="M52" i="33"/>
  <c r="M51" i="33"/>
  <c r="M50" i="33"/>
  <c r="M49" i="33"/>
  <c r="M48" i="33"/>
  <c r="M47" i="33"/>
  <c r="M46" i="33"/>
  <c r="M45" i="33"/>
  <c r="M44" i="33"/>
  <c r="M43" i="33"/>
  <c r="M42" i="33"/>
  <c r="M41" i="33"/>
  <c r="M40" i="33"/>
  <c r="M39" i="33"/>
  <c r="M38" i="33"/>
  <c r="M37" i="33"/>
  <c r="M36" i="33"/>
  <c r="M35" i="33"/>
  <c r="M34" i="33"/>
  <c r="M33" i="33"/>
  <c r="M32" i="33"/>
  <c r="M31" i="33"/>
  <c r="M30" i="33"/>
  <c r="M29" i="33"/>
  <c r="M28" i="33"/>
  <c r="M27" i="33"/>
  <c r="M26" i="33"/>
  <c r="M25" i="33"/>
  <c r="M24" i="33"/>
  <c r="M23" i="33"/>
  <c r="M22" i="33"/>
  <c r="M21" i="33"/>
  <c r="M20" i="33"/>
  <c r="M19" i="33"/>
  <c r="M18" i="33"/>
  <c r="M17" i="33"/>
  <c r="M16" i="33"/>
  <c r="M15" i="33"/>
  <c r="M14" i="33"/>
  <c r="M13" i="33"/>
  <c r="M12" i="33"/>
  <c r="M11" i="33"/>
  <c r="M10" i="33"/>
  <c r="M9" i="33"/>
  <c r="M8" i="33"/>
  <c r="M7" i="33"/>
  <c r="M6" i="33"/>
  <c r="M5" i="33"/>
  <c r="M4" i="33"/>
  <c r="M3" i="33"/>
  <c r="M2" i="33"/>
  <c r="P38" i="21"/>
  <c r="P37" i="21"/>
  <c r="P36" i="21"/>
  <c r="P35" i="21"/>
  <c r="P34" i="21"/>
  <c r="P33" i="21"/>
  <c r="P32" i="21"/>
  <c r="P31" i="21"/>
  <c r="P30" i="21"/>
  <c r="P29" i="21"/>
  <c r="P28" i="21"/>
  <c r="P27" i="21"/>
  <c r="P26" i="21"/>
  <c r="P25" i="21"/>
  <c r="P24" i="21"/>
  <c r="P23" i="21"/>
  <c r="P22" i="21"/>
  <c r="P21" i="21"/>
  <c r="P20" i="21"/>
  <c r="P19" i="21"/>
  <c r="P18" i="21"/>
  <c r="P17" i="21"/>
  <c r="P16" i="21"/>
  <c r="P15" i="21"/>
  <c r="P14" i="21"/>
  <c r="P13" i="21"/>
  <c r="P12" i="21"/>
  <c r="P11" i="21"/>
  <c r="P10" i="21"/>
  <c r="P9" i="21"/>
  <c r="P8" i="21"/>
  <c r="P7" i="21"/>
  <c r="P6" i="21"/>
  <c r="AE20" i="16"/>
  <c r="AE19" i="16"/>
  <c r="AE18" i="16"/>
  <c r="AE17" i="16"/>
  <c r="AE16" i="16"/>
  <c r="AE15" i="16"/>
  <c r="AE14" i="16"/>
  <c r="AE13" i="16"/>
  <c r="AE12" i="16"/>
  <c r="AE11" i="16"/>
  <c r="AE10" i="16"/>
  <c r="AB10" i="16"/>
  <c r="H10" i="16"/>
  <c r="T10" i="16"/>
  <c r="C10" i="16"/>
  <c r="AE9" i="16"/>
  <c r="AB9" i="16"/>
  <c r="H9" i="16"/>
  <c r="U9" i="16"/>
  <c r="C9" i="16"/>
  <c r="AE8" i="16"/>
  <c r="AB8" i="16"/>
  <c r="H8" i="16"/>
  <c r="T8" i="16"/>
  <c r="C8" i="16"/>
  <c r="AE7" i="16"/>
  <c r="AB7" i="16"/>
  <c r="H7" i="16"/>
  <c r="T7" i="16"/>
  <c r="C7" i="16"/>
  <c r="A14" i="4"/>
  <c r="A13" i="4"/>
  <c r="A12" i="4"/>
  <c r="A11" i="4"/>
  <c r="A10" i="4"/>
  <c r="A9" i="4"/>
  <c r="A8" i="4"/>
  <c r="A7" i="4"/>
  <c r="A6" i="4"/>
  <c r="A5" i="4"/>
  <c r="A4" i="4"/>
  <c r="A3" i="4"/>
  <c r="A2" i="4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C14" i="2"/>
  <c r="B14" i="2"/>
  <c r="E14" i="2"/>
  <c r="C11" i="2"/>
  <c r="C6" i="2"/>
  <c r="B3" i="2"/>
  <c r="E3" i="2"/>
  <c r="G3" i="2"/>
  <c r="J3" i="4"/>
  <c r="K3" i="4"/>
  <c r="L3" i="4"/>
  <c r="B10" i="2"/>
  <c r="E10" i="2"/>
  <c r="F13" i="1"/>
  <c r="C4" i="2"/>
  <c r="B8" i="2"/>
  <c r="E8" i="2"/>
  <c r="F8" i="2"/>
  <c r="G11" i="1"/>
  <c r="C8" i="2"/>
  <c r="B9" i="2"/>
  <c r="D9" i="2"/>
  <c r="H12" i="1"/>
  <c r="C9" i="2"/>
  <c r="C10" i="2"/>
  <c r="B11" i="2"/>
  <c r="B7" i="2"/>
  <c r="B12" i="2"/>
  <c r="E12" i="2"/>
  <c r="F15" i="1"/>
  <c r="C12" i="2"/>
  <c r="B2" i="2"/>
  <c r="E2" i="2"/>
  <c r="B2" i="4"/>
  <c r="B13" i="2"/>
  <c r="E13" i="2"/>
  <c r="B13" i="4"/>
  <c r="C2" i="2"/>
  <c r="C13" i="2"/>
  <c r="C3" i="2"/>
  <c r="B4" i="2"/>
  <c r="E4" i="2"/>
  <c r="B6" i="2"/>
  <c r="C7" i="2"/>
  <c r="B5" i="2"/>
  <c r="C5" i="2"/>
  <c r="D10" i="2"/>
  <c r="H13" i="1"/>
  <c r="I6" i="1"/>
  <c r="F3" i="2"/>
  <c r="B3" i="4"/>
  <c r="F6" i="1"/>
  <c r="D3" i="4"/>
  <c r="E3" i="4"/>
  <c r="F3" i="4"/>
  <c r="B10" i="4"/>
  <c r="G10" i="2"/>
  <c r="I13" i="1"/>
  <c r="D14" i="2"/>
  <c r="H17" i="1"/>
  <c r="H3" i="2"/>
  <c r="I3" i="2"/>
  <c r="G3" i="4"/>
  <c r="H3" i="4"/>
  <c r="I3" i="4"/>
  <c r="J6" i="1"/>
  <c r="D3" i="2"/>
  <c r="H6" i="1"/>
  <c r="F5" i="1"/>
  <c r="D2" i="2"/>
  <c r="H5" i="1"/>
  <c r="D13" i="2"/>
  <c r="H16" i="1"/>
  <c r="F13" i="2"/>
  <c r="G16" i="1"/>
  <c r="F2" i="2"/>
  <c r="C2" i="4"/>
  <c r="G2" i="2"/>
  <c r="J2" i="4"/>
  <c r="K2" i="4"/>
  <c r="L2" i="4"/>
  <c r="F10" i="2"/>
  <c r="G13" i="1"/>
  <c r="G13" i="2"/>
  <c r="I16" i="1"/>
  <c r="F16" i="1"/>
  <c r="E7" i="2"/>
  <c r="F7" i="2"/>
  <c r="D4" i="2"/>
  <c r="H7" i="1"/>
  <c r="D8" i="2"/>
  <c r="H11" i="1"/>
  <c r="D12" i="2"/>
  <c r="H15" i="1"/>
  <c r="G8" i="2"/>
  <c r="D8" i="4"/>
  <c r="E8" i="4"/>
  <c r="F8" i="4"/>
  <c r="E9" i="2"/>
  <c r="G9" i="2"/>
  <c r="F11" i="1"/>
  <c r="C8" i="4"/>
  <c r="F12" i="2"/>
  <c r="B8" i="4"/>
  <c r="G12" i="2"/>
  <c r="D12" i="4"/>
  <c r="E12" i="4"/>
  <c r="F12" i="4"/>
  <c r="D7" i="2"/>
  <c r="H10" i="1"/>
  <c r="D11" i="2"/>
  <c r="H14" i="1"/>
  <c r="E11" i="2"/>
  <c r="B12" i="4"/>
  <c r="C12" i="4"/>
  <c r="G15" i="1"/>
  <c r="G6" i="1"/>
  <c r="C3" i="4"/>
  <c r="F17" i="1"/>
  <c r="F14" i="2"/>
  <c r="B14" i="4"/>
  <c r="G14" i="2"/>
  <c r="E6" i="2"/>
  <c r="D6" i="2"/>
  <c r="H9" i="1"/>
  <c r="J10" i="4"/>
  <c r="K10" i="4"/>
  <c r="L10" i="4"/>
  <c r="D10" i="4"/>
  <c r="E10" i="4"/>
  <c r="F10" i="4"/>
  <c r="H10" i="2"/>
  <c r="I10" i="2"/>
  <c r="E5" i="2"/>
  <c r="D5" i="2"/>
  <c r="H8" i="1"/>
  <c r="F7" i="1"/>
  <c r="B4" i="4"/>
  <c r="G4" i="2"/>
  <c r="F4" i="2"/>
  <c r="G10" i="4"/>
  <c r="H10" i="4"/>
  <c r="I10" i="4"/>
  <c r="J13" i="1"/>
  <c r="H2" i="2"/>
  <c r="I2" i="2"/>
  <c r="J12" i="4"/>
  <c r="K12" i="4"/>
  <c r="L12" i="4"/>
  <c r="H12" i="2"/>
  <c r="I12" i="2"/>
  <c r="B7" i="4"/>
  <c r="F10" i="1"/>
  <c r="G13" i="4"/>
  <c r="H13" i="4"/>
  <c r="I13" i="4"/>
  <c r="J16" i="1"/>
  <c r="D13" i="4"/>
  <c r="E13" i="4"/>
  <c r="F13" i="4"/>
  <c r="C10" i="4"/>
  <c r="C13" i="4"/>
  <c r="G2" i="4"/>
  <c r="H2" i="4"/>
  <c r="I2" i="4"/>
  <c r="J5" i="1"/>
  <c r="H13" i="2"/>
  <c r="I13" i="2"/>
  <c r="J13" i="4"/>
  <c r="K13" i="4"/>
  <c r="L13" i="4"/>
  <c r="G5" i="1"/>
  <c r="D2" i="4"/>
  <c r="E2" i="4"/>
  <c r="F2" i="4"/>
  <c r="I5" i="1"/>
  <c r="I15" i="1"/>
  <c r="G7" i="2"/>
  <c r="J7" i="4"/>
  <c r="K7" i="4"/>
  <c r="L7" i="4"/>
  <c r="H8" i="2"/>
  <c r="I8" i="2"/>
  <c r="J8" i="4"/>
  <c r="K8" i="4"/>
  <c r="L8" i="4"/>
  <c r="G8" i="4"/>
  <c r="H8" i="4"/>
  <c r="I8" i="4"/>
  <c r="J11" i="1"/>
  <c r="F12" i="1"/>
  <c r="I11" i="1"/>
  <c r="C14" i="3"/>
  <c r="B14" i="3"/>
  <c r="D14" i="3"/>
  <c r="B11" i="4"/>
  <c r="F14" i="1"/>
  <c r="G11" i="2"/>
  <c r="F11" i="2"/>
  <c r="C8" i="3"/>
  <c r="B8" i="3"/>
  <c r="E8" i="3"/>
  <c r="F9" i="2"/>
  <c r="C9" i="4"/>
  <c r="C10" i="3"/>
  <c r="B10" i="3"/>
  <c r="E10" i="3"/>
  <c r="B9" i="4"/>
  <c r="C9" i="3"/>
  <c r="B9" i="3"/>
  <c r="D9" i="3"/>
  <c r="C11" i="3"/>
  <c r="B11" i="3"/>
  <c r="E11" i="3"/>
  <c r="C12" i="3"/>
  <c r="B12" i="3"/>
  <c r="D12" i="3"/>
  <c r="C5" i="3"/>
  <c r="B5" i="3"/>
  <c r="E5" i="3"/>
  <c r="C7" i="3"/>
  <c r="B7" i="3"/>
  <c r="D7" i="3"/>
  <c r="C6" i="3"/>
  <c r="B6" i="3"/>
  <c r="E6" i="3"/>
  <c r="C2" i="3"/>
  <c r="B2" i="3"/>
  <c r="G12" i="4"/>
  <c r="H12" i="4"/>
  <c r="I12" i="4"/>
  <c r="J15" i="1"/>
  <c r="G10" i="1"/>
  <c r="C7" i="4"/>
  <c r="C4" i="4"/>
  <c r="G7" i="1"/>
  <c r="G5" i="2"/>
  <c r="F5" i="2"/>
  <c r="B5" i="4"/>
  <c r="F8" i="1"/>
  <c r="G9" i="4"/>
  <c r="H9" i="4"/>
  <c r="I9" i="4"/>
  <c r="J12" i="1"/>
  <c r="I12" i="1"/>
  <c r="D9" i="4"/>
  <c r="E9" i="4"/>
  <c r="F9" i="4"/>
  <c r="H9" i="2"/>
  <c r="I9" i="2"/>
  <c r="J9" i="4"/>
  <c r="K9" i="4"/>
  <c r="L9" i="4"/>
  <c r="C14" i="4"/>
  <c r="G17" i="1"/>
  <c r="G4" i="4"/>
  <c r="H4" i="4"/>
  <c r="I4" i="4"/>
  <c r="J7" i="1"/>
  <c r="H4" i="2"/>
  <c r="I4" i="2"/>
  <c r="D4" i="4"/>
  <c r="E4" i="4"/>
  <c r="F4" i="4"/>
  <c r="J4" i="4"/>
  <c r="K4" i="4"/>
  <c r="L4" i="4"/>
  <c r="I7" i="1"/>
  <c r="C13" i="3"/>
  <c r="B13" i="3"/>
  <c r="C3" i="3"/>
  <c r="B3" i="3"/>
  <c r="C4" i="3"/>
  <c r="B4" i="3"/>
  <c r="B6" i="4"/>
  <c r="F9" i="1"/>
  <c r="F6" i="2"/>
  <c r="G6" i="2"/>
  <c r="G14" i="4"/>
  <c r="H14" i="4"/>
  <c r="I14" i="4"/>
  <c r="J17" i="1"/>
  <c r="H14" i="2"/>
  <c r="I14" i="2"/>
  <c r="D14" i="4"/>
  <c r="E14" i="4"/>
  <c r="F14" i="4"/>
  <c r="I17" i="1"/>
  <c r="J14" i="4"/>
  <c r="K14" i="4"/>
  <c r="L14" i="4"/>
  <c r="G6" i="4"/>
  <c r="H6" i="4"/>
  <c r="D6" i="4"/>
  <c r="H7" i="2"/>
  <c r="I7" i="2"/>
  <c r="I10" i="1"/>
  <c r="G7" i="4"/>
  <c r="H7" i="4"/>
  <c r="I7" i="4"/>
  <c r="J10" i="1"/>
  <c r="D7" i="4"/>
  <c r="E7" i="4"/>
  <c r="F7" i="4"/>
  <c r="E9" i="3"/>
  <c r="G12" i="1"/>
  <c r="E14" i="3"/>
  <c r="B4" i="5"/>
  <c r="D10" i="3"/>
  <c r="E7" i="3"/>
  <c r="E12" i="3"/>
  <c r="D5" i="3"/>
  <c r="D6" i="3"/>
  <c r="D11" i="3"/>
  <c r="C11" i="4"/>
  <c r="G14" i="1"/>
  <c r="G11" i="4"/>
  <c r="H11" i="4"/>
  <c r="I11" i="4"/>
  <c r="J14" i="1"/>
  <c r="J11" i="4"/>
  <c r="K11" i="4"/>
  <c r="L11" i="4"/>
  <c r="D11" i="4"/>
  <c r="E11" i="4"/>
  <c r="F11" i="4"/>
  <c r="H11" i="2"/>
  <c r="I11" i="2"/>
  <c r="I14" i="1"/>
  <c r="D8" i="3"/>
  <c r="E2" i="3"/>
  <c r="B6" i="5"/>
  <c r="F21" i="1"/>
  <c r="D2" i="3"/>
  <c r="B5" i="5"/>
  <c r="F20" i="1"/>
  <c r="B3" i="5"/>
  <c r="C5" i="4"/>
  <c r="G8" i="1"/>
  <c r="D4" i="3"/>
  <c r="E4" i="3"/>
  <c r="E6" i="4"/>
  <c r="F6" i="4"/>
  <c r="I9" i="1"/>
  <c r="H6" i="2"/>
  <c r="I6" i="2"/>
  <c r="I6" i="4"/>
  <c r="J9" i="1"/>
  <c r="J6" i="4"/>
  <c r="K6" i="4"/>
  <c r="L6" i="4"/>
  <c r="G5" i="4"/>
  <c r="H5" i="4"/>
  <c r="I5" i="4"/>
  <c r="J8" i="1"/>
  <c r="J5" i="4"/>
  <c r="K5" i="4"/>
  <c r="L5" i="4"/>
  <c r="H5" i="2"/>
  <c r="I5" i="2"/>
  <c r="I8" i="1"/>
  <c r="D5" i="4"/>
  <c r="E5" i="4"/>
  <c r="F5" i="4"/>
  <c r="C6" i="4"/>
  <c r="G9" i="1"/>
  <c r="E13" i="3"/>
  <c r="D13" i="3"/>
  <c r="E3" i="3"/>
  <c r="D3" i="3"/>
  <c r="B32" i="5"/>
  <c r="B31" i="5"/>
  <c r="F22" i="1"/>
  <c r="B24" i="5"/>
  <c r="B20" i="5"/>
  <c r="B30" i="5"/>
  <c r="B27" i="5"/>
  <c r="B26" i="5"/>
  <c r="B22" i="5"/>
  <c r="B21" i="5"/>
  <c r="B28" i="5"/>
  <c r="B23" i="5"/>
  <c r="F19" i="1"/>
  <c r="B19" i="5"/>
</calcChain>
</file>

<file path=xl/sharedStrings.xml><?xml version="1.0" encoding="utf-8"?>
<sst xmlns="http://schemas.openxmlformats.org/spreadsheetml/2006/main" count="18238" uniqueCount="2013">
  <si>
    <t>EOR Screening Tool 2026 – Input Data + Live Summary</t>
  </si>
  <si>
    <t>Parameter</t>
  </si>
  <si>
    <t>Value</t>
  </si>
  <si>
    <t>Unit / Notes</t>
  </si>
  <si>
    <t>Screening Summary (Live)</t>
  </si>
  <si>
    <t>Depth</t>
  </si>
  <si>
    <t>ft; True vertical depth of reservoir</t>
  </si>
  <si>
    <t>EOR Type</t>
  </si>
  <si>
    <t>Status</t>
  </si>
  <si>
    <t>Suitability</t>
  </si>
  <si>
    <t>Score (%)</t>
  </si>
  <si>
    <t>ΔRF_EOR (%)</t>
  </si>
  <si>
    <t>EUR P50 (MMstb)</t>
  </si>
  <si>
    <t>Reservoir Pressure</t>
  </si>
  <si>
    <t>psia</t>
  </si>
  <si>
    <t>Temperature</t>
  </si>
  <si>
    <t>°C</t>
  </si>
  <si>
    <t>Oil Viscosity</t>
  </si>
  <si>
    <t>cP</t>
  </si>
  <si>
    <t>API Gravity</t>
  </si>
  <si>
    <t>°API</t>
  </si>
  <si>
    <t>Permeability</t>
  </si>
  <si>
    <t>mD</t>
  </si>
  <si>
    <t>Porosity</t>
  </si>
  <si>
    <t>fraction; e.g. 0.25</t>
  </si>
  <si>
    <t>Salinity (TDS)</t>
  </si>
  <si>
    <t>ppm</t>
  </si>
  <si>
    <t>Hardness (Ca²⁺+Mg²⁺)</t>
  </si>
  <si>
    <t>Rock Type</t>
  </si>
  <si>
    <t>Sandstone / Carbonate</t>
  </si>
  <si>
    <t>Net Pay</t>
  </si>
  <si>
    <t>m</t>
  </si>
  <si>
    <t>Heterogeneity</t>
  </si>
  <si>
    <t>Low / Moderate / High</t>
  </si>
  <si>
    <t>Gas Availability</t>
  </si>
  <si>
    <t>Yes / No; gas source for immiscible gas/WAG</t>
  </si>
  <si>
    <t>Oxygen Present in Polymer System</t>
  </si>
  <si>
    <t>Yes / No</t>
  </si>
  <si>
    <t>OOIP</t>
  </si>
  <si>
    <t>MMstb; Original Oil In Place</t>
  </si>
  <si>
    <t>Base RF (without EOR)</t>
  </si>
  <si>
    <t>%; Current/expected RF before EOR</t>
  </si>
  <si>
    <t>Top Recommended EOR</t>
  </si>
  <si>
    <t>Top Status</t>
  </si>
  <si>
    <t>Drive Mechanism</t>
  </si>
  <si>
    <t>Solution Gas / Water Drive / Gas Cap / Combination / Fractured / Others</t>
  </si>
  <si>
    <t>Top Suitability</t>
  </si>
  <si>
    <t>Drive Mech Multiplier</t>
  </si>
  <si>
    <t>Calculated multiplier for ΔRF</t>
  </si>
  <si>
    <t>Top P50 EUR (MMstb)</t>
  </si>
  <si>
    <t>CO2 Availability</t>
  </si>
  <si>
    <t>Yes / No; dedicated for miscible CO2/WAG screening</t>
  </si>
  <si>
    <t>MMP Satisfied?</t>
  </si>
  <si>
    <t>Yes / No; reservoir pressure at/above MMP</t>
  </si>
  <si>
    <t>Waterflood History</t>
  </si>
  <si>
    <t>Yes / No; successful waterflooding indicates residual oil/contact</t>
  </si>
  <si>
    <t>Water Cut</t>
  </si>
  <si>
    <t>%</t>
  </si>
  <si>
    <t>Field Maturity</t>
  </si>
  <si>
    <t>Early / Mid / Late</t>
  </si>
  <si>
    <t>Maturity Factor</t>
  </si>
  <si>
    <t>Mobility Ratio</t>
  </si>
  <si>
    <t>Favorable / Neutral / Unfavorable</t>
  </si>
  <si>
    <t>Surfactant Adsorption Risk</t>
  </si>
  <si>
    <t>Low / Medium / High</t>
  </si>
  <si>
    <t>Produced Water Handling Complexity</t>
  </si>
  <si>
    <t>Offshore Field?</t>
  </si>
  <si>
    <t>Water Injection Facilities</t>
  </si>
  <si>
    <t>Yes / No; required for WAG</t>
  </si>
  <si>
    <t>Gas Injection Facilities</t>
  </si>
  <si>
    <t>WAG Ratio</t>
  </si>
  <si>
    <t>Gas:Water cycle ratio; default 1:1</t>
  </si>
  <si>
    <t>Gas Injectivity</t>
  </si>
  <si>
    <t>Good / Fair / Poor</t>
  </si>
  <si>
    <t>Water Injectivity</t>
  </si>
  <si>
    <t>Gravity Override Risk</t>
  </si>
  <si>
    <t>HC Gas Availability</t>
  </si>
  <si>
    <t>Yes / No; external or available hydrocarbon gas source</t>
  </si>
  <si>
    <t>Produced GOR Category</t>
  </si>
  <si>
    <t>Low / Moderate / High / Unknown; manual category if numeric GOR is unavailable</t>
  </si>
  <si>
    <t>Produced Gas Reinjectable?</t>
  </si>
  <si>
    <t>Yes / No / Unknown; whether produced/associated gas can be compressed and reinjected</t>
  </si>
  <si>
    <t>HC Gas Source Status</t>
  </si>
  <si>
    <t>Calculated helper for HC gas / gas recycling screening</t>
  </si>
  <si>
    <t>Produced GOR (scf/STB)</t>
  </si>
  <si>
    <t>Optional numeric input; if blank, manual Produced GOR Category is used</t>
  </si>
  <si>
    <t>GOR Category from Numeric</t>
  </si>
  <si>
    <t>Calculated helper from numeric GOR: &gt;=1000 High, 300–999 Moderate, &lt;300 Low</t>
  </si>
  <si>
    <t>Critical Fail?</t>
  </si>
  <si>
    <t>Cause of Fail/Pass</t>
  </si>
  <si>
    <t>Final RF (%)</t>
  </si>
  <si>
    <t>EUR (MMstb)</t>
  </si>
  <si>
    <t>CO2 Miscible Flood</t>
  </si>
  <si>
    <t>CO2 WAG</t>
  </si>
  <si>
    <t>HC Gas Miscible Flood</t>
  </si>
  <si>
    <t>HC Gas WAG</t>
  </si>
  <si>
    <t>Immiscible Gas Flood</t>
  </si>
  <si>
    <t>Immiscible Gas WAG</t>
  </si>
  <si>
    <t>Polymer (HPAM)</t>
  </si>
  <si>
    <t>Polymer (ATBS)</t>
  </si>
  <si>
    <t>SP</t>
  </si>
  <si>
    <t>ASP</t>
  </si>
  <si>
    <t>CSS</t>
  </si>
  <si>
    <t>Steam Flood</t>
  </si>
  <si>
    <t>ISC</t>
  </si>
  <si>
    <t>Rank</t>
  </si>
  <si>
    <t>ΔRF P90 (%)</t>
  </si>
  <si>
    <t>Final RF P90 (%)</t>
  </si>
  <si>
    <t>EUR P90 (MMstb)</t>
  </si>
  <si>
    <t>ΔRF P50 (%)</t>
  </si>
  <si>
    <t>Final RF P50 (%)</t>
  </si>
  <si>
    <t>ΔRF P10 (%)</t>
  </si>
  <si>
    <t>Final RF P10 (%)</t>
  </si>
  <si>
    <t>EUR P10 (MMstb)</t>
  </si>
  <si>
    <t>EOR Screening Summary</t>
  </si>
  <si>
    <t>Top Recommended EOR Method (by score)</t>
  </si>
  <si>
    <t>Main Technical References</t>
  </si>
  <si>
    <t>R1 Taber et al. 1997 – EOR Screening Criteria Revisited</t>
  </si>
  <si>
    <t>R2 Arvis &amp; Min 2025 – Updated screening criteria for EOR methods</t>
  </si>
  <si>
    <t>R3/R4 Recent CO2 and CO2-WAG screening, MMP, and waterflood-history work</t>
  </si>
  <si>
    <t>R5/R6/R7 Polymer and SP updates for HTHS/offshore/carbonate contexts</t>
  </si>
  <si>
    <t>Recovery Factor &amp; EUR Logic</t>
  </si>
  <si>
    <t>ΔRF_EOR = Score × Max Incremental RF × Drive Mechanism Multiplier × Field Maturity Factor</t>
  </si>
  <si>
    <t>P10/P50/P90 ranges scale incremental RF only, not base RF.</t>
  </si>
  <si>
    <t>Top Option Scenario Range</t>
  </si>
  <si>
    <t>P90 Final RF (%)</t>
  </si>
  <si>
    <t>P50 Final RF (%)</t>
  </si>
  <si>
    <t>P10 Final RF (%)</t>
  </si>
  <si>
    <t>P90 EUR (MMstb)</t>
  </si>
  <si>
    <t>P50 EUR (MMstb)</t>
  </si>
  <si>
    <t>P10 EUR (MMstb)</t>
  </si>
  <si>
    <t>Scenario Controls for RF/EUR Ranges</t>
  </si>
  <si>
    <t>Note</t>
  </si>
  <si>
    <t>P90 incremental RF factor</t>
  </si>
  <si>
    <t>Conservative case applied to incremental RF only</t>
  </si>
  <si>
    <t>P50 incremental RF factor</t>
  </si>
  <si>
    <t>Base case = current calculated incremental RF</t>
  </si>
  <si>
    <t>P10 incremental RF factor</t>
  </si>
  <si>
    <t>Upside case applied to incremental RF only</t>
  </si>
  <si>
    <t>Important note</t>
  </si>
  <si>
    <t>These are screening-level scenario factors, not full probabilistic reservoir simulation outputs.</t>
  </si>
  <si>
    <t>2026 Screening Condition</t>
  </si>
  <si>
    <t>Fail When</t>
  </si>
  <si>
    <t>Critical?</t>
  </si>
  <si>
    <t>Ref ID(s)</t>
  </si>
  <si>
    <t>Short Reference / Note</t>
  </si>
  <si>
    <t>Reference URL</t>
  </si>
  <si>
    <t>Yes</t>
  </si>
  <si>
    <t>CO2 unavailable</t>
  </si>
  <si>
    <t>R3;R4</t>
  </si>
  <si>
    <t>CO2-specific source availability is critical; not interchangeable with HC gas.</t>
  </si>
  <si>
    <t>https://www.sciencedirect.com/science/article/pii/S2405656125000161</t>
  </si>
  <si>
    <t>Pressure below MMP</t>
  </si>
  <si>
    <t>CO2 miscibility requires reservoir pressure at/above MMP.</t>
  </si>
  <si>
    <t>https://www.mdpi.com/2073-4441/17/5/651</t>
  </si>
  <si>
    <t>API / Viscosity / Depth</t>
  </si>
  <si>
    <t>&gt;=25° API, &lt;=10 cP, &gt;=2500 ft</t>
  </si>
  <si>
    <t>Outside range</t>
  </si>
  <si>
    <t>R1;R2</t>
  </si>
  <si>
    <t>Updated miscible gas screening range.</t>
  </si>
  <si>
    <t>https://www.nature.com/articles/s41598-025-21696-x</t>
  </si>
  <si>
    <t>WAG Facilities</t>
  </si>
  <si>
    <t>Water + gas injection facilities available</t>
  </si>
  <si>
    <t>Facilities unavailable</t>
  </si>
  <si>
    <t>R4</t>
  </si>
  <si>
    <t>WAG requires both injection systems and cycle management.</t>
  </si>
  <si>
    <t>Low/Medium preferred</t>
  </si>
  <si>
    <t>High = conditional</t>
  </si>
  <si>
    <t>Conditional</t>
  </si>
  <si>
    <t>WAG can improve sweep but override/channeling still penalizes score.</t>
  </si>
  <si>
    <t>HC Gas Source</t>
  </si>
  <si>
    <t>External HC gas OR high GOR with reinjection potential</t>
  </si>
  <si>
    <t>No gas source and no reinjection potential</t>
  </si>
  <si>
    <t>Yes/Conditional</t>
  </si>
  <si>
    <t>R10;R11</t>
  </si>
  <si>
    <t>High GOR + reinjection can be conditional source for HC gas recycling.</t>
  </si>
  <si>
    <t>https://www.onepetro.org/</t>
  </si>
  <si>
    <t>R10</t>
  </si>
  <si>
    <t>HC miscible gas needs MMP check separate from CO2.</t>
  </si>
  <si>
    <t>HC Gas Source + WAG Facilities</t>
  </si>
  <si>
    <t>HC gas source + water/gas injection facilities</t>
  </si>
  <si>
    <t>Source/facilities unavailable</t>
  </si>
  <si>
    <t>HC WAG combines gas recycling/source with WAG facilities.</t>
  </si>
  <si>
    <t>Gas Source</t>
  </si>
  <si>
    <t>Gas available OR high GOR with reinjection potential</t>
  </si>
  <si>
    <t>No gas source</t>
  </si>
  <si>
    <t>R1;R11</t>
  </si>
  <si>
    <t>Immiscible gas can be supported by recycled associated gas if feasible.</t>
  </si>
  <si>
    <t>Gas Source + WAG Facilities</t>
  </si>
  <si>
    <t>Gas source + water/gas injection facilities</t>
  </si>
  <si>
    <t>R4;R11</t>
  </si>
  <si>
    <t>WAG improves sweep versus continuous gas but requires water and gas injectivity.</t>
  </si>
  <si>
    <t>Temperature / Salinity / Hardness</t>
  </si>
  <si>
    <t>&lt;=70°C, &lt;=70k ppm TDS, &lt;=500 ppm hardness</t>
  </si>
  <si>
    <t>R1;R5</t>
  </si>
  <si>
    <t>Conventional HPAM limit retained.</t>
  </si>
  <si>
    <t>https://www.nature.com/articles/s41598-023-44896-9</t>
  </si>
  <si>
    <t>&lt;=120°C, &lt;=250k ppm TDS, &lt;=5000 ppm hardness</t>
  </si>
  <si>
    <t>R5;R9</t>
  </si>
  <si>
    <t>Advanced ATBS/NVP-type polymers broaden operating envelope.</t>
  </si>
  <si>
    <t>https://www.mdpi.com/2227-9717/14/3/408</t>
  </si>
  <si>
    <t>Salinity / adsorption / handling</t>
  </si>
  <si>
    <t>&lt;=100k ppm, low/medium adsorption and handling</t>
  </si>
  <si>
    <t>High salinity/adsorption/handling</t>
  </si>
  <si>
    <t>R6;R7</t>
  </si>
  <si>
    <t>Modern SP can extend to harsher carbonate/offshore systems but adsorption/facility risks matter.</t>
  </si>
  <si>
    <t>https://www.frontiersin.org/journals/chemistry/articles/10.3389/fchem.2024.1408115/full</t>
  </si>
  <si>
    <t>Classic ASP constraints</t>
  </si>
  <si>
    <t>Low salinity/hardness, sandstone preferred</t>
  </si>
  <si>
    <t>High salinity/hardness or non-sandstone</t>
  </si>
  <si>
    <t>ASP kept conservative because carbonate/high hardness remains case-specific.</t>
  </si>
  <si>
    <t>https://doi.org/10.2118/35385-PA</t>
  </si>
  <si>
    <t>CSS / Steam Flood</t>
  </si>
  <si>
    <t>Thermal limits</t>
  </si>
  <si>
    <t>&gt;=100 cP, shallow, high perm</t>
  </si>
  <si>
    <t>Low viscosity/deep/low perm</t>
  </si>
  <si>
    <t>R1;R8</t>
  </si>
  <si>
    <t>Thermal EOR remains heavy-oil focused.</t>
  </si>
  <si>
    <t>https://www.frontiersin.org/journals/earth-science/articles/10.3389/feart.2023.1268103/full</t>
  </si>
  <si>
    <t>Thermal combustion limits</t>
  </si>
  <si>
    <t>10–200 cP, &gt;=200 mD</t>
  </si>
  <si>
    <t>Legacy screen retained; operational complexity high.</t>
  </si>
  <si>
    <t>Produced GOR / associated gas recycling</t>
  </si>
  <si>
    <t>External HC gas OR moderate/high GOR with reinjection feasible</t>
  </si>
  <si>
    <t>No HC gas source and no GOR/reinjection potential</t>
  </si>
  <si>
    <t>R10;R13</t>
  </si>
  <si>
    <t>GOR is optional; moderate/high GOR with reinjection feasible avoids automatic failure but is marked CONDITIONAL.</t>
  </si>
  <si>
    <t>https://www.mdpi.com/1996-1073/18/15/4182</t>
  </si>
  <si>
    <t>Produced GOR + reinjection + WAG facilities</t>
  </si>
  <si>
    <t>Moderate/high GOR + reinjection feasible + water/gas injection facilities</t>
  </si>
  <si>
    <t>No source/facilities</t>
  </si>
  <si>
    <t>R10;R12;R13</t>
  </si>
  <si>
    <t>HC WAG uses gas recycling source logic and WAG mobility/sweep criteria.</t>
  </si>
  <si>
    <t>https://pmc.ncbi.nlm.nih.gov/articles/PMC11356827/</t>
  </si>
  <si>
    <t>Produced GOR / gas source</t>
  </si>
  <si>
    <t>External injection gas OR moderate/high GOR with reinjection feasible</t>
  </si>
  <si>
    <t>No source/reinjection option</t>
  </si>
  <si>
    <t>Immiscible gas screening allows recycled associated gas as conditional source.</t>
  </si>
  <si>
    <t>https://pubs.usgs.gov/fs/fs-0115-00/fs-0115-00po.pdf</t>
  </si>
  <si>
    <t>CO2 vs HC Gas Split</t>
  </si>
  <si>
    <t>Gas type separation</t>
  </si>
  <si>
    <t>CO2 and HC gas screened separately</t>
  </si>
  <si>
    <t>Single generic gas screening may hide source/facility risk</t>
  </si>
  <si>
    <t>Recommended</t>
  </si>
  <si>
    <t>R10;R11;R13</t>
  </si>
  <si>
    <t>CO2 has MMP/corrosion/CCUS/source risks; HC gas depends on produced/recycled gas availability.</t>
  </si>
  <si>
    <t>https://www.energy.gov/sites/default/files/2022-10/CCUS-Chap_8-030521.pdf</t>
  </si>
  <si>
    <t>Optional helper</t>
  </si>
  <si>
    <t>Tool default: &gt;=1000 scf/STB High; 300–999 Moderate; &lt;300 Low</t>
  </si>
  <si>
    <t>Blank uses manual category input</t>
  </si>
  <si>
    <t>Optional</t>
  </si>
  <si>
    <t>Tool assumption; R10</t>
  </si>
  <si>
    <t>This is a screening proxy, not a universal reservoir standard; user may override via Produced GOR Category.</t>
  </si>
  <si>
    <t>Ref ID</t>
  </si>
  <si>
    <t>Reference</t>
  </si>
  <si>
    <t>Year</t>
  </si>
  <si>
    <t>Key use in this workbook</t>
  </si>
  <si>
    <t>URL</t>
  </si>
  <si>
    <t>R1</t>
  </si>
  <si>
    <t>Taber, Martin &amp; Seright, EOR screening criteria revisited (Parts 1–2), SPE Reservoir Engineering.</t>
  </si>
  <si>
    <t>1997</t>
  </si>
  <si>
    <t>Legacy baseline criteria for miscible gas, chemical and thermal EOR.</t>
  </si>
  <si>
    <t>R2</t>
  </si>
  <si>
    <t>Arvis &amp; Min, Updated screening criteria for enhanced oil recovery methods, Scientific Reports.</t>
  </si>
  <si>
    <t>2025</t>
  </si>
  <si>
    <t>Updated screening/scoring workflow and score-based exclusion.</t>
  </si>
  <si>
    <t>R3</t>
  </si>
  <si>
    <t>Recent CO2-EOR / CCUS screening reviews.</t>
  </si>
  <si>
    <t>2024–2025</t>
  </si>
  <si>
    <t>CO2 source, MMP, injectivity, containment, WAG screening factors.</t>
  </si>
  <si>
    <t>Recent CO2 WAG screening and optimization studies.</t>
  </si>
  <si>
    <t>Waterflood history, residual oil contact, WAG suitability and injectivity criteria.</t>
  </si>
  <si>
    <t>R5</t>
  </si>
  <si>
    <t>Zeynalli et al., Review of viscoelastic polymer flooding in sandstone and carbonate rocks, Scientific Reports.</t>
  </si>
  <si>
    <t>2023</t>
  </si>
  <si>
    <t>ATBS/NVP high-temperature/high-salinity polymers, oxygen sensitivity, injectivity.</t>
  </si>
  <si>
    <t>R6</t>
  </si>
  <si>
    <t>Recent offshore carbonate surfactant-polymer formulation studies.</t>
  </si>
  <si>
    <t>2024</t>
  </si>
  <si>
    <t>SP in high-temperature/offshore carbonate reservoirs; adsorption and handling risks.</t>
  </si>
  <si>
    <t>R7</t>
  </si>
  <si>
    <t>Surfactant-polymer flooding in carbonates under harsh conditions review.</t>
  </si>
  <si>
    <t>SP feasibility in high salinity/high temperature carbonate reservoirs.</t>
  </si>
  <si>
    <t>https://www.sciencedirect.com/science/article/pii/S0920410522010956</t>
  </si>
  <si>
    <t>R8</t>
  </si>
  <si>
    <t>Xu et al., Review of steam flooding and applications.</t>
  </si>
  <si>
    <t>Thermal EOR remains suited to heavy/viscous oil, shallow depths, high permeability.</t>
  </si>
  <si>
    <t>R9</t>
  </si>
  <si>
    <t>Recent anti-salt surfactant/polymer screening in low-permeability reservoirs.</t>
  </si>
  <si>
    <t>2026</t>
  </si>
  <si>
    <t>AM/AMPS/AA polymer and SP evidence in lower-perm reservoirs with retention/shear checks.</t>
  </si>
  <si>
    <t>Soltanbekova et al., Potential of Gas-Enhanced Oil Recovery (EOR) Methods: Experimental and Simulation Analysis, Energies.</t>
  </si>
  <si>
    <t>Gas-EOR methods include hydrocarbon gases, nitrogen, flue gas, WAG and CO2 flooding; supports split gas modules.</t>
  </si>
  <si>
    <t>R11</t>
  </si>
  <si>
    <t>U.S. Department of Energy, CCUS Chapter 8 – CO2 Enhanced Oil Recovery.</t>
  </si>
  <si>
    <t>2021</t>
  </si>
  <si>
    <t>CO2-EOR commonly uses WAG and produced CO2 is recycled/reinjected; supports separation of CO2-specific workflow.</t>
  </si>
  <si>
    <t>R12</t>
  </si>
  <si>
    <t>Fang et al., Chemical-Assisted CO2 Water-Alternating-Gas Injection for Enhanced Oil Recovery.</t>
  </si>
  <si>
    <t>WAG can regulate water–gas mobility ratio and enhance sweep efficiency; supports WAG conditional criteria.</t>
  </si>
  <si>
    <t>R13</t>
  </si>
  <si>
    <t>USGS Fact Sheet: Field growth and role of EOR.</t>
  </si>
  <si>
    <t>2000</t>
  </si>
  <si>
    <t>CO2 gas injection and miscible/immiscible hydrocarbon gas injection are distinct EOR techniques; supports separate CO2 vs HC gas rows.</t>
  </si>
  <si>
    <t>RockType</t>
  </si>
  <si>
    <t>YesNo</t>
  </si>
  <si>
    <t>DriveMechanism</t>
  </si>
  <si>
    <t>FieldMaturity</t>
  </si>
  <si>
    <t>MobilityRatio</t>
  </si>
  <si>
    <t>RiskLevel</t>
  </si>
  <si>
    <t>Injectivity</t>
  </si>
  <si>
    <t>WAGRatio</t>
  </si>
  <si>
    <t>GORCategory</t>
  </si>
  <si>
    <t>YesNoUnknown</t>
  </si>
  <si>
    <t>GasSourceStatus</t>
  </si>
  <si>
    <t>Sandstone</t>
  </si>
  <si>
    <t>Low</t>
  </si>
  <si>
    <t>Solution Gas Drive</t>
  </si>
  <si>
    <t>Early</t>
  </si>
  <si>
    <t>Favorable</t>
  </si>
  <si>
    <t>Good</t>
  </si>
  <si>
    <t>1:1</t>
  </si>
  <si>
    <t>Available</t>
  </si>
  <si>
    <t>Carbonate</t>
  </si>
  <si>
    <t>Moderate</t>
  </si>
  <si>
    <t>No</t>
  </si>
  <si>
    <t>Weak Water Drive</t>
  </si>
  <si>
    <t>Mid</t>
  </si>
  <si>
    <t>Neutral</t>
  </si>
  <si>
    <t>Medium</t>
  </si>
  <si>
    <t>Fair</t>
  </si>
  <si>
    <t>2:1</t>
  </si>
  <si>
    <t>High</t>
  </si>
  <si>
    <t>Moderate Water Drive</t>
  </si>
  <si>
    <t>Late</t>
  </si>
  <si>
    <t>Unfavorable</t>
  </si>
  <si>
    <t>Poor</t>
  </si>
  <si>
    <t>1:2</t>
  </si>
  <si>
    <t>Unknown</t>
  </si>
  <si>
    <t>Unavailable</t>
  </si>
  <si>
    <t>Strong Water Drive</t>
  </si>
  <si>
    <t>Custom</t>
  </si>
  <si>
    <t>Gas Cap Expansion</t>
  </si>
  <si>
    <t>Combination Drive</t>
  </si>
  <si>
    <t>Natural Fracture</t>
  </si>
  <si>
    <t>Others</t>
  </si>
  <si>
    <t>EOR Screening Tool – User Guide</t>
  </si>
  <si>
    <t>1. Fill in InputData column B. Dropdowns are provided for categorical criteria.</t>
  </si>
  <si>
    <t>2. WAG-specific inputs are rows 33–38: water/gas facilities, WAG ratio, injectivity, and gravity override risk.</t>
  </si>
  <si>
    <t>3. Screening sheet lists pass/fail, reasons, score, suitability, ΔRF, final RF, and EUR.</t>
  </si>
  <si>
    <t>4. RF_EUR_Ranges shows P90/P50/P10 scenario ranges. Factors can be changed in ScenarioControls.</t>
  </si>
  <si>
    <t>5. Criteria and References_2026 sheets provide traceability for thresholds and 2026 updates.</t>
  </si>
  <si>
    <t>6. P10/P50/P90 values are screening-level estimates, not full probabilistic simulation outputs.</t>
  </si>
  <si>
    <t>7. WAG was added as two separate methods: Miscible CO2 WAG and Immiscible Gas WAG.</t>
  </si>
  <si>
    <t>7. CO2 vs HC gas and GOR logic:</t>
  </si>
  <si>
    <t>- CO2 and HC gas are now screened separately because MMP, source availability, corrosion/CCUS, and recycling logic differ.</t>
  </si>
  <si>
    <t>- Produced GOR is optional. If you do not have a numeric GOR, use Produced GOR Category instead.</t>
  </si>
  <si>
    <t>- If external HC gas is unavailable but Produced GOR is Moderate/High and Produced Gas Reinjectable = Yes, HC gas flood/WAG is treated as CONDITIONAL rather than automatic FAIL.</t>
  </si>
  <si>
    <t>- The numeric GOR helper uses screening defaults: &gt;=1000 scf/STB = High, 300–999 = Moderate, &lt;300 = Low. These are editable assumptions for early screening only.</t>
  </si>
  <si>
    <t xml:space="preserve">DATA GATHERING </t>
  </si>
  <si>
    <t>Section</t>
  </si>
  <si>
    <t>Field</t>
  </si>
  <si>
    <t>Type</t>
  </si>
  <si>
    <t>Units/Notes</t>
  </si>
  <si>
    <t>Guidance</t>
  </si>
  <si>
    <t>Overview</t>
  </si>
  <si>
    <t>Project Name</t>
  </si>
  <si>
    <t>text</t>
  </si>
  <si>
    <t>Garraf EOR Screening</t>
  </si>
  <si>
    <t xml:space="preserve">Project identifier </t>
  </si>
  <si>
    <t xml:space="preserve">Field </t>
  </si>
  <si>
    <t>Garraf</t>
  </si>
  <si>
    <t>Reservoir / Zone</t>
  </si>
  <si>
    <t>Mishrif</t>
  </si>
  <si>
    <t>Current Recovery Mechanism</t>
  </si>
  <si>
    <t>list:Primary; Waterflood; Gasflood; Other</t>
  </si>
  <si>
    <t xml:space="preserve">Waterflood </t>
  </si>
  <si>
    <t>Select one</t>
  </si>
  <si>
    <t>Current RF</t>
  </si>
  <si>
    <t>at Techlife</t>
  </si>
  <si>
    <t>EOR Methods Under Consideration</t>
  </si>
  <si>
    <t>list:CO2 miscible; HC gas miscible; Polymer; ASP; Surfactant; Thermal; WAG; HnP; Other</t>
  </si>
  <si>
    <t>Polymer, ASP, Surfactant</t>
  </si>
  <si>
    <t>Choose most likely method at this stage</t>
  </si>
  <si>
    <t>Data Cutoff Date</t>
  </si>
  <si>
    <t>date</t>
  </si>
  <si>
    <t>YYYY-MM-DD</t>
  </si>
  <si>
    <t>Report Source / Reference</t>
  </si>
  <si>
    <t>Link or document ID</t>
  </si>
  <si>
    <t>Reservoir &amp; Rock</t>
  </si>
  <si>
    <t>Depth TVDSS</t>
  </si>
  <si>
    <t>number</t>
  </si>
  <si>
    <t>Gross Thickness</t>
  </si>
  <si>
    <t>Area</t>
  </si>
  <si>
    <t>km^2</t>
  </si>
  <si>
    <t>Porosity, phi</t>
  </si>
  <si>
    <t>fraction (0-1)</t>
  </si>
  <si>
    <t>Permeability, k</t>
  </si>
  <si>
    <t>NTG</t>
  </si>
  <si>
    <t>Kv/Kh</t>
  </si>
  <si>
    <t>ratio</t>
  </si>
  <si>
    <t>Initial Swi</t>
  </si>
  <si>
    <t>Sor</t>
  </si>
  <si>
    <t>Wettability Index (Amott/USBM)</t>
  </si>
  <si>
    <t>state index &amp; method</t>
  </si>
  <si>
    <t>Capillary Pressure Curves Available?</t>
  </si>
  <si>
    <t>list:Yes; No</t>
  </si>
  <si>
    <t>Yes/No</t>
  </si>
  <si>
    <t>Rock Type / Lithology</t>
  </si>
  <si>
    <t>list:Sandstone; Carbonate; Mixed; Shale; Other</t>
  </si>
  <si>
    <t xml:space="preserve">Carbonate </t>
  </si>
  <si>
    <t>Fracturing (Natural/Induced)</t>
  </si>
  <si>
    <t>list:None; Natural; Induced; Both</t>
  </si>
  <si>
    <t xml:space="preserve">Natural </t>
  </si>
  <si>
    <t>Initial Reservoir Pressure</t>
  </si>
  <si>
    <t>psi</t>
  </si>
  <si>
    <t>Current Reservoir Pressure</t>
  </si>
  <si>
    <t>Bubble Point Pressure, Pb</t>
  </si>
  <si>
    <t>Fluids (PVT &amp; Water)</t>
  </si>
  <si>
    <t>Fluid type</t>
  </si>
  <si>
    <t>Black Oil (Medium)</t>
  </si>
  <si>
    <t>Volatile Oil,  Dry Gas, Wet Gas, Gas‑Condensate, Black Oil (Light/Medium Oil), Heavy Oil, Extra‑Heavy Oil / Bitumen</t>
  </si>
  <si>
    <t>GOR</t>
  </si>
  <si>
    <t>scf/STB</t>
  </si>
  <si>
    <t>Oil Density @ 20°C</t>
  </si>
  <si>
    <t>g/cc</t>
  </si>
  <si>
    <t>Oil Density @ Pb</t>
  </si>
  <si>
    <t>deg API</t>
  </si>
  <si>
    <t>Oil Viscosity @ reservoir</t>
  </si>
  <si>
    <t>Oil Viscosity @ Pb</t>
  </si>
  <si>
    <t>MMP (if available)</t>
  </si>
  <si>
    <t>Solution Gas Composition</t>
  </si>
  <si>
    <t>Number and text</t>
  </si>
  <si>
    <t>98.7 mol%:C1-C7+
0.54 mol%: C02
0.75 mol%:N2</t>
  </si>
  <si>
    <t>mol%</t>
  </si>
  <si>
    <t>mol% (C1-C7+, CO2, N2, H2S)</t>
  </si>
  <si>
    <t>Stock Tank Oil Composition (SARA)</t>
  </si>
  <si>
    <t>44.2 wt%: Saturates
43.5 wt%: Aromatics
11.7 wt%: Resins
0.6 wt%: Asphalthenes</t>
  </si>
  <si>
    <t>wt%</t>
  </si>
  <si>
    <t>%wt Saturates/Aromatics/Resins/Asphaltenes</t>
  </si>
  <si>
    <t>Formation Water Salinity</t>
  </si>
  <si>
    <t>ppm TDS</t>
  </si>
  <si>
    <t>Formation Water Composition</t>
  </si>
  <si>
    <t>ppm cation and Anions (Na, Ca, Mg, Cl, SO4, HCO3 etc)</t>
  </si>
  <si>
    <t>Issue</t>
  </si>
  <si>
    <t>Risk Level</t>
  </si>
  <si>
    <t>Reason</t>
  </si>
  <si>
    <t>Injection Water Composition</t>
  </si>
  <si>
    <t>Wax deposition</t>
  </si>
  <si>
    <t>High saturate content</t>
  </si>
  <si>
    <t xml:space="preserve">Hardness </t>
  </si>
  <si>
    <t>ppm (Ca²⁺+Mg²⁺)</t>
  </si>
  <si>
    <t>Asphaltene precipitation</t>
  </si>
  <si>
    <t>Very Low</t>
  </si>
  <si>
    <t>Only 0.6% asphaltene + high aromatics</t>
  </si>
  <si>
    <t>SCAL / Rock-Fluid</t>
  </si>
  <si>
    <t>Relative Permeability Curves Available?</t>
  </si>
  <si>
    <t>Asphaltene deposition</t>
  </si>
  <si>
    <t>Strong resin stabilization</t>
  </si>
  <si>
    <t>RelPerm Endpoints (Krw/Kro)</t>
  </si>
  <si>
    <t>Number</t>
  </si>
  <si>
    <t>values or reference</t>
  </si>
  <si>
    <t>Emulsion tendency</t>
  </si>
  <si>
    <t>Low–Moderate</t>
  </si>
  <si>
    <t>Resins may stabilize emulsions</t>
  </si>
  <si>
    <t>Viscosity increase at low T</t>
  </si>
  <si>
    <t>Paraffinic components</t>
  </si>
  <si>
    <t>Swi</t>
  </si>
  <si>
    <t>Sorg</t>
  </si>
  <si>
    <t>Assumption (NA)</t>
  </si>
  <si>
    <t>Pc Curves (ow/go)</t>
  </si>
  <si>
    <t>Wettability Alteration Evidence</t>
  </si>
  <si>
    <t>NA</t>
  </si>
  <si>
    <t>lab/field evidence</t>
  </si>
  <si>
    <t>IFT Measurements</t>
  </si>
  <si>
    <t>mN/m</t>
  </si>
  <si>
    <t>Wells &amp; Completions</t>
  </si>
  <si>
    <t>Number of Producers</t>
  </si>
  <si>
    <t>as of Jan 2026</t>
  </si>
  <si>
    <t>count</t>
  </si>
  <si>
    <t>Number of Injectors</t>
  </si>
  <si>
    <t>Completion Type</t>
  </si>
  <si>
    <t>list:Openhole; Cased &amp; Perforated; Slotted Liner; Other</t>
  </si>
  <si>
    <t>Openhole; Cased &amp; Perforated; Slotted Liner; Other</t>
  </si>
  <si>
    <t>Artificial Lift</t>
  </si>
  <si>
    <t>list:None; ESP; Gas Lift; Rod Pump; PCP; Other</t>
  </si>
  <si>
    <t xml:space="preserve">ESP </t>
  </si>
  <si>
    <t>Treatments (Acid/Frac)</t>
  </si>
  <si>
    <t>Acidizing</t>
  </si>
  <si>
    <t>summary</t>
  </si>
  <si>
    <t>Integrity / Scaling / Asphaltene Issues</t>
  </si>
  <si>
    <t>Scaling Issue (CaCo3,CaS04)</t>
  </si>
  <si>
    <t>Patterns &amp; Surveillance</t>
  </si>
  <si>
    <t>Pattern Type</t>
  </si>
  <si>
    <t>list:5-spot; 7-spot; 9-spot; Line drive; Peripheral; N/A</t>
  </si>
  <si>
    <t xml:space="preserve">Inverted 9-spot </t>
  </si>
  <si>
    <t>Average Well Spacing</t>
  </si>
  <si>
    <t>Tracers / Interwell Tests Run?</t>
  </si>
  <si>
    <t xml:space="preserve">No </t>
  </si>
  <si>
    <t>Pressure Monitoring</t>
  </si>
  <si>
    <t>PDG &amp; SGS</t>
  </si>
  <si>
    <t>downhole/surface</t>
  </si>
  <si>
    <t>Waterflood Start Date</t>
  </si>
  <si>
    <t>Gas flood start date</t>
  </si>
  <si>
    <t>Date</t>
  </si>
  <si>
    <t>N/A</t>
  </si>
  <si>
    <t>GOR trend / Watercut trend</t>
  </si>
  <si>
    <t>GOR flat at Rsi, Pres &gt; Pb.
Watercut increasing gently.</t>
  </si>
  <si>
    <t>brief notes</t>
  </si>
  <si>
    <t>EOR Screening</t>
  </si>
  <si>
    <t>Presence of H2S/CO2</t>
  </si>
  <si>
    <t>list:None; CO2; H2S; Both</t>
  </si>
  <si>
    <t>H2S at WellPad K&amp;H</t>
  </si>
  <si>
    <t>Gas Source Availability (CO2/HC/N2)</t>
  </si>
  <si>
    <t>None</t>
  </si>
  <si>
    <t>logistics summary</t>
  </si>
  <si>
    <t>Facilities / Ops / Economics</t>
  </si>
  <si>
    <t>Injection Facilities Capacity</t>
  </si>
  <si>
    <t>400 kbwpd</t>
  </si>
  <si>
    <t>k bbl/d or MMscf/d</t>
  </si>
  <si>
    <t>Produced Fluids Handling Issues</t>
  </si>
  <si>
    <t>Sludge at certain Wellpad</t>
  </si>
  <si>
    <t>emulsion/paraffin/asphaltene</t>
  </si>
  <si>
    <t>Water Source &amp; Treatment</t>
  </si>
  <si>
    <t>Third River</t>
  </si>
  <si>
    <t>Gas Processing / CO2 Capture</t>
  </si>
  <si>
    <t>Simulation and dynamic modeling</t>
  </si>
  <si>
    <t>Software</t>
  </si>
  <si>
    <t>Eclipse-100, Tnav</t>
  </si>
  <si>
    <t>CMG Stars, GEMS, Eclipse-100, Eclipse-300, Tnav, etc</t>
  </si>
  <si>
    <t>latest model name</t>
  </si>
  <si>
    <t>Mishrif Internal Model Jan 2026</t>
  </si>
  <si>
    <t>file name</t>
  </si>
  <si>
    <t>Core sample</t>
  </si>
  <si>
    <t>% Sor Reduction (AS) = Sorw- Sorc / Sorw, %</t>
  </si>
  <si>
    <t>% Sor Reduction (AS,P) = Sorw- Sorp / Sorw, %</t>
  </si>
  <si>
    <t>% Sor Reduction (SP) = Sorw- Sorp / Sorw</t>
  </si>
  <si>
    <t>LB-1_2013</t>
  </si>
  <si>
    <t>LB-2_2013</t>
  </si>
  <si>
    <t>LB-3_2013</t>
  </si>
  <si>
    <t>LB-4_2013</t>
  </si>
  <si>
    <t>LN-1_2013</t>
  </si>
  <si>
    <t>1L_2003</t>
  </si>
  <si>
    <t>2L_2003</t>
  </si>
  <si>
    <t>3L_2003</t>
  </si>
  <si>
    <t>4L_2003</t>
  </si>
  <si>
    <t>1R_2003</t>
  </si>
  <si>
    <t>2R_2003</t>
  </si>
  <si>
    <t>3R_2003</t>
  </si>
  <si>
    <t>4R_2003</t>
  </si>
  <si>
    <t>5R_2003</t>
  </si>
  <si>
    <t>6R_2003</t>
  </si>
  <si>
    <t>7R_2003</t>
  </si>
  <si>
    <t>8R_2003</t>
  </si>
  <si>
    <t>9R_2003</t>
  </si>
  <si>
    <t>10R_2003</t>
  </si>
  <si>
    <t xml:space="preserve">Initial Oil Saturation, Soi  (OOIP % PV) </t>
  </si>
  <si>
    <t>Initial Water  Saturation, Swi,% PV</t>
  </si>
  <si>
    <t xml:space="preserve">Water Flood Recovery, % OOIP </t>
  </si>
  <si>
    <t xml:space="preserve">Water Flood Recovery, % PV </t>
  </si>
  <si>
    <t>Residual Oil Saturation after WF , Sorw, % OOIP</t>
  </si>
  <si>
    <t>Residual Oil Saturation after WF , Sorw, % PV</t>
  </si>
  <si>
    <t xml:space="preserve">Alkaline- Surfactant (AS) Recovery, % OOIP </t>
  </si>
  <si>
    <t>Alkaline- Surfactant (AS) Recovery , % PV</t>
  </si>
  <si>
    <t>Residual Oil Saturation after AS , Sorc (AS), % OOIP</t>
  </si>
  <si>
    <t>Residual Oil Saturation after AS , Sorc (AS), % PV</t>
  </si>
  <si>
    <t>Recovery Factor (AS)= Soi-Sorc/Soi, %</t>
  </si>
  <si>
    <t xml:space="preserve">Polymer (P) Recovery, % OOIP </t>
  </si>
  <si>
    <t xml:space="preserve">Polymer (P) Recovery, % PV </t>
  </si>
  <si>
    <t>Residual Oil Saturation after Polymer Recovery, Sorp (P), % OOIP</t>
  </si>
  <si>
    <t>Residual Oil Saturation after Polymer Recovery, Sorp (P), % PV</t>
  </si>
  <si>
    <t>Recovery Factor (AS,P)= Soi-Sorp/Soi, %</t>
  </si>
  <si>
    <t xml:space="preserve">Alkaline(A) Recovery </t>
  </si>
  <si>
    <t xml:space="preserve">Surfactant (S) Recovery </t>
  </si>
  <si>
    <t xml:space="preserve">Surfactant +Polymer (SP) Recovery </t>
  </si>
  <si>
    <t xml:space="preserve">Alkali +Surfactant +Polymer (ASP) Recovery </t>
  </si>
  <si>
    <t xml:space="preserve">Final Residual Oil Saturation </t>
  </si>
  <si>
    <t>Challenges</t>
  </si>
  <si>
    <t>Lessons Learnt</t>
  </si>
  <si>
    <t>Mitigations / Solutions</t>
  </si>
  <si>
    <r>
      <t>Chemical Compatibility &amp; Water Treatment</t>
    </r>
    <r>
      <rPr>
        <sz val="14"/>
        <color rgb="FF000000"/>
        <rFont val="Aptos"/>
      </rPr>
      <t>.</t>
    </r>
  </si>
  <si>
    <t>Sensitivity of alkaline formulations to divalent ions and added complexity of offshore water softening; desalination increased weight and operational load.</t>
  </si>
  <si>
    <t>Offshore implementation depends on chemical compatibility with seawater; water treatment units significantly impact CAPEX and topside weight.</t>
  </si>
  <si>
    <t>Introduce seawater-tolerant alkaline formulations (e.g., OA-200) to simplify operations and adopt seawater-compatible chemicals to reduce or eliminate extensive softening requirements.</t>
  </si>
  <si>
    <t>Angsi</t>
  </si>
  <si>
    <t>Chemical Validation</t>
  </si>
  <si>
    <t>Lab results needed confirmation in field conditions</t>
  </si>
  <si>
    <t>Laboratory performance alone cannot guarantee field success</t>
  </si>
  <si>
    <t>Conduct pilot field tests (e.g., SWCT) to validate lab findings and guide final chemical selection</t>
  </si>
  <si>
    <t>Chemical Cost &amp; Logistics</t>
  </si>
  <si>
    <t>High cost and large storage volume required offshore</t>
  </si>
  <si>
    <t>Offshore chemical handling and storage are major cost drivers</t>
  </si>
  <si>
    <t>Shift blending onshore and optimize formulations to enhance cost efficiency and streamline logistics</t>
  </si>
  <si>
    <t>Facilities &amp; Infrastructure</t>
  </si>
  <si>
    <t>CEOR vessel design exceeded weight expectations</t>
  </si>
  <si>
    <t>Early design assumptions often underestimate EOR facility footprint</t>
  </si>
  <si>
    <t>Employ modular, compact designs and move some processing onshore to minimize weight and cost</t>
  </si>
  <si>
    <t>Fluid Handling &amp; Pumping Systems</t>
  </si>
  <si>
    <t>High-concentration injected fluids caused elevated pressure and pumping difficulties; handling mixed oil-water-gas phases offshore added complexity.</t>
  </si>
  <si>
    <t>Reliable and efficient multiphase flow management is critical for stable offshore CEOR operations.</t>
  </si>
  <si>
    <t>Deploy twin-screw or high-torque multiphase pumps designed for chemical injection and mixed-phase flow to maintain pressure control and operational stability.</t>
  </si>
  <si>
    <t>Simulation &amp; Risk Management</t>
  </si>
  <si>
    <t>Uncertainty in Sor, adsorption, and IFT performance</t>
  </si>
  <si>
    <t>Static and dynamic uncertainty integration is key to de-risking full-field EOR</t>
  </si>
  <si>
    <t>Utilize probabilistic modeling and pilot testing for performance validation and uncertainty reduction</t>
  </si>
  <si>
    <t xml:space="preserve">Sample No </t>
  </si>
  <si>
    <t xml:space="preserve">Year </t>
  </si>
  <si>
    <t xml:space="preserve">Surfactant </t>
  </si>
  <si>
    <t xml:space="preserve">Days </t>
  </si>
  <si>
    <t>Adsorption c/cO</t>
  </si>
  <si>
    <t>SS-7064_( no alkali)_2003</t>
  </si>
  <si>
    <t>Alcoflood 1235_(no alkali)_2003</t>
  </si>
  <si>
    <t>SS-7064_( with NaoH)_2003</t>
  </si>
  <si>
    <t>Alcoflood 1235_(with NaoH)_2003</t>
  </si>
  <si>
    <t>Formulation 43 (0.2 % M2 surfactant + S3B cosurfactant + 2.5 % NaCl)_2003</t>
  </si>
  <si>
    <t>Formulation 43 (0.2 % M2 surfactant + S3B cosurfactant + 3.5 % NaCl)_2003</t>
  </si>
  <si>
    <t>Formulation 43 (0.5 %M2 surfactant + S3B cosurfactant + 3.5 % NaCl)_2003</t>
  </si>
  <si>
    <t xml:space="preserve">Flopaam 3330S_2003 </t>
  </si>
  <si>
    <t>Flopaam 3430S_2003</t>
  </si>
  <si>
    <t>Flopaam 3530S_2003</t>
  </si>
  <si>
    <t>Flopaam 3630S_2003</t>
  </si>
  <si>
    <t>Alcoflood 1275A_2003</t>
  </si>
  <si>
    <t>Alcoflood 1235_2003</t>
  </si>
  <si>
    <t>Flopaam 2430_2003</t>
  </si>
  <si>
    <t xml:space="preserve">Flopaam 2430_2003 </t>
  </si>
  <si>
    <t>Flopaam 3630_2003</t>
  </si>
  <si>
    <t>SAV301_500 mg/l_2013</t>
  </si>
  <si>
    <t>SAV301_2000 mg/l_2013</t>
  </si>
  <si>
    <t>SAV301_1000 mg/l_2013</t>
  </si>
  <si>
    <t>SAV301_1500 mg/l_2013</t>
  </si>
  <si>
    <t>GLP100_500 mg/l_2013</t>
  </si>
  <si>
    <t>GLP100_1000 mg/l_2013</t>
  </si>
  <si>
    <t>GLP100_1500 mg/l_2013</t>
  </si>
  <si>
    <t>GLP100_2000 mg/l_2013</t>
  </si>
  <si>
    <t>Apparent Viscosity</t>
  </si>
  <si>
    <t>Shear Rate  (1/sec)</t>
  </si>
  <si>
    <t xml:space="preserve">Concentration </t>
  </si>
  <si>
    <t xml:space="preserve">Salinity </t>
  </si>
  <si>
    <t xml:space="preserve">Polymer </t>
  </si>
  <si>
    <t>Polymer Type</t>
  </si>
  <si>
    <t>Analog</t>
  </si>
  <si>
    <t>Viscosity (cp)</t>
  </si>
  <si>
    <t>Viscosity reduction (%)</t>
  </si>
  <si>
    <t>Time (days)</t>
  </si>
  <si>
    <t xml:space="preserve">Polymer Concentration (ppm) </t>
  </si>
  <si>
    <t>Temperature (degc)</t>
  </si>
  <si>
    <t xml:space="preserve">Angsi </t>
  </si>
  <si>
    <t>SuperPusher SAV 10_2025</t>
  </si>
  <si>
    <t>D18</t>
  </si>
  <si>
    <t>SuperPusher SAV 73 XV_2025</t>
  </si>
  <si>
    <t>D19</t>
  </si>
  <si>
    <t>D20</t>
  </si>
  <si>
    <t>D21</t>
  </si>
  <si>
    <t>D22</t>
  </si>
  <si>
    <t>D23</t>
  </si>
  <si>
    <t>D24</t>
  </si>
  <si>
    <t xml:space="preserve">Flopaam AN 132 VHM_2025 </t>
  </si>
  <si>
    <t>D25</t>
  </si>
  <si>
    <t>D26</t>
  </si>
  <si>
    <t>D27</t>
  </si>
  <si>
    <t>D28</t>
  </si>
  <si>
    <t>D29</t>
  </si>
  <si>
    <t>D30</t>
  </si>
  <si>
    <t>Temana</t>
  </si>
  <si>
    <t>SuperPusher SAV 82 XV_2025</t>
  </si>
  <si>
    <t xml:space="preserve">Temana </t>
  </si>
  <si>
    <t>SuperPusher SAV 301_2013</t>
  </si>
  <si>
    <t>GLP 100_2013</t>
  </si>
  <si>
    <t>AN 125 SH_2013</t>
  </si>
  <si>
    <t>HE 100_2013</t>
  </si>
  <si>
    <t>HE 300_2013</t>
  </si>
  <si>
    <t>Flopaam 2630 ST (seawater)_2003</t>
  </si>
  <si>
    <t>Flopaam 2630 ST (Nanofiltered seawater + Na2C03 + ORS-164HF)_2003</t>
  </si>
  <si>
    <t>Reservoir</t>
  </si>
  <si>
    <t>STOIIP (MMSTB)</t>
  </si>
  <si>
    <t>Recovery_Factor_pct</t>
  </si>
  <si>
    <t>Present_EUR_MMSTB</t>
  </si>
  <si>
    <t>Avg_Porosity_pct</t>
  </si>
  <si>
    <t>Initial_Oil_Sat_pct</t>
  </si>
  <si>
    <t>Current_Oil_Sat_pct</t>
  </si>
  <si>
    <t>Initial_Reservoir_Pressure_kPa</t>
  </si>
  <si>
    <t>Current_Reservoir_Pressure_kPa</t>
  </si>
  <si>
    <t>Fracture_Pressure_kPa</t>
  </si>
  <si>
    <t>Reservoir_Temperature_C</t>
  </si>
  <si>
    <t>MOST SUITABLE PROCESS</t>
  </si>
  <si>
    <t>OTHERS PASS METHOD</t>
  </si>
  <si>
    <t>INCREMENTAL EUR (%OOIP)</t>
  </si>
  <si>
    <t>INCREMENTAL EUR (MMSTB)</t>
  </si>
  <si>
    <t xml:space="preserve">Dulang </t>
  </si>
  <si>
    <t>E10/11</t>
  </si>
  <si>
    <t>HCMF WAG</t>
  </si>
  <si>
    <t>IGAS CO2 WAG, IGAS-N2 WAG, WFLD, HORZ WFLD</t>
  </si>
  <si>
    <t>E12/13</t>
  </si>
  <si>
    <t>HORZ WFLD, IGAS-CO2 WAG, IGAS-N2 WAG</t>
  </si>
  <si>
    <t>E14</t>
  </si>
  <si>
    <t>IGAS-CO2 WAG, IGAS-N2 WAG</t>
  </si>
  <si>
    <t>Dulang</t>
  </si>
  <si>
    <t>E7</t>
  </si>
  <si>
    <t>IGAS-CO2 NON WAG</t>
  </si>
  <si>
    <t>HCMF NON-WAG, IGAS-N2 NON-WAG</t>
  </si>
  <si>
    <t>LDI</t>
  </si>
  <si>
    <t>WFLD</t>
  </si>
  <si>
    <t xml:space="preserve">HORZ </t>
  </si>
  <si>
    <t xml:space="preserve">East Bunga Kekwa </t>
  </si>
  <si>
    <t>I-115</t>
  </si>
  <si>
    <t>CO2M WAG, IGAS-CO2 WAG, HORZ, IGAS-N2 WAG</t>
  </si>
  <si>
    <t>J-70</t>
  </si>
  <si>
    <t>CO2M WAG</t>
  </si>
  <si>
    <t>East Bunga Orchid</t>
  </si>
  <si>
    <t>K-21A</t>
  </si>
  <si>
    <t>HCMF WAG, CO2M NON WAG, HCMF NON WAG</t>
  </si>
  <si>
    <t>East Bunga Raya</t>
  </si>
  <si>
    <t>CO2M WAG/HCMF WAG</t>
  </si>
  <si>
    <t>West Bunga Kekwa</t>
  </si>
  <si>
    <t>I-90</t>
  </si>
  <si>
    <t>HCMF WAG, HORZ WF</t>
  </si>
  <si>
    <t>J-60</t>
  </si>
  <si>
    <t>Kepong</t>
  </si>
  <si>
    <t xml:space="preserve"> J18/20</t>
  </si>
  <si>
    <t>CO2M NON WAG</t>
  </si>
  <si>
    <t>HCMF NON WAG</t>
  </si>
  <si>
    <t>Seligi</t>
  </si>
  <si>
    <t>K-10</t>
  </si>
  <si>
    <t>HORZ-PR</t>
  </si>
  <si>
    <t xml:space="preserve">Semangkok </t>
  </si>
  <si>
    <t>E6/16</t>
  </si>
  <si>
    <t>Tabu</t>
  </si>
  <si>
    <t>Lower I</t>
  </si>
  <si>
    <t xml:space="preserve">Tabu </t>
  </si>
  <si>
    <t>Upper I</t>
  </si>
  <si>
    <t>Tapis</t>
  </si>
  <si>
    <t>Upper J</t>
  </si>
  <si>
    <t xml:space="preserve">Tapis </t>
  </si>
  <si>
    <t>Lower J</t>
  </si>
  <si>
    <t xml:space="preserve">Guntong </t>
  </si>
  <si>
    <t xml:space="preserve">Tiong </t>
  </si>
  <si>
    <t>J-20/21</t>
  </si>
  <si>
    <t>Tinggi</t>
  </si>
  <si>
    <t>J-18/20</t>
  </si>
  <si>
    <t>CO2M Non-WAG</t>
  </si>
  <si>
    <t xml:space="preserve">Baronia </t>
  </si>
  <si>
    <t>RV2</t>
  </si>
  <si>
    <t xml:space="preserve">Barton </t>
  </si>
  <si>
    <t>G/H</t>
  </si>
  <si>
    <t>ALSP</t>
  </si>
  <si>
    <t xml:space="preserve">Bayan </t>
  </si>
  <si>
    <t>S4.5</t>
  </si>
  <si>
    <t xml:space="preserve">Betty </t>
  </si>
  <si>
    <t>L7</t>
  </si>
  <si>
    <t>HCMF NON-WAG</t>
  </si>
  <si>
    <t xml:space="preserve">D18 </t>
  </si>
  <si>
    <t>Area 1 &amp; 2</t>
  </si>
  <si>
    <t xml:space="preserve">Samarang </t>
  </si>
  <si>
    <t>1/2A-J1/4</t>
  </si>
  <si>
    <t xml:space="preserve">South Furious Cen. </t>
  </si>
  <si>
    <t>Slice3 PT05</t>
  </si>
  <si>
    <t>SRFP</t>
  </si>
  <si>
    <t>Slice2 PT05</t>
  </si>
  <si>
    <t xml:space="preserve">South Furious East </t>
  </si>
  <si>
    <t>Zone2-SR0026</t>
  </si>
  <si>
    <t xml:space="preserve">St Joseph </t>
  </si>
  <si>
    <t>B/G</t>
  </si>
  <si>
    <t>IGAS-WAG, SRFP, ALSP</t>
  </si>
  <si>
    <t xml:space="preserve">Tembungo West </t>
  </si>
  <si>
    <t>L-1</t>
  </si>
  <si>
    <t>-</t>
  </si>
  <si>
    <t xml:space="preserve">Tukau </t>
  </si>
  <si>
    <t>1-I1/6</t>
  </si>
  <si>
    <t>D35</t>
  </si>
  <si>
    <t>C2B1</t>
  </si>
  <si>
    <t>HCMF WAG, HCMF NON-WAG, IGAS-CO2, IGAS-N2</t>
  </si>
  <si>
    <t>C2B2</t>
  </si>
  <si>
    <t>SIWA</t>
  </si>
  <si>
    <t>J-5/9</t>
  </si>
  <si>
    <t>Guntong</t>
  </si>
  <si>
    <t>LD1</t>
  </si>
  <si>
    <t>East Bunga Orkid</t>
  </si>
  <si>
    <t>HORZ -PR</t>
  </si>
  <si>
    <t>East Bunga Kekwa</t>
  </si>
  <si>
    <t>J20/21</t>
  </si>
  <si>
    <t>Tiong</t>
  </si>
  <si>
    <t>HORZ -BW</t>
  </si>
  <si>
    <t>E-6/16</t>
  </si>
  <si>
    <t>Semangkok</t>
  </si>
  <si>
    <t>E 7</t>
  </si>
  <si>
    <t>E 14</t>
  </si>
  <si>
    <t>E 12/13</t>
  </si>
  <si>
    <t>E 10/11</t>
  </si>
  <si>
    <t>Incremental_EUR_MMSTB</t>
  </si>
  <si>
    <t>Incremental_EUR_pct_OOIP</t>
  </si>
  <si>
    <t>Most_Suitable_Process</t>
  </si>
  <si>
    <t>STOIIP_MMSTB</t>
  </si>
  <si>
    <t>Dataset</t>
  </si>
  <si>
    <t>Formulation</t>
  </si>
  <si>
    <t>Figure</t>
  </si>
  <si>
    <t>Page</t>
  </si>
  <si>
    <t>Validated</t>
  </si>
  <si>
    <t>Phase</t>
  </si>
  <si>
    <t>TDS_wt_pct</t>
  </si>
  <si>
    <t>Solubilization_cc_per_cc</t>
  </si>
  <si>
    <t>Intersection</t>
  </si>
  <si>
    <t>TypeIIIRegion_Min</t>
  </si>
  <si>
    <t>TypeIIIRegion_Max</t>
  </si>
  <si>
    <t>MarkerType</t>
  </si>
  <si>
    <t>MarkerValue</t>
  </si>
  <si>
    <t>Material</t>
  </si>
  <si>
    <t>Temperature_C</t>
  </si>
  <si>
    <t>DaysInOven</t>
  </si>
  <si>
    <t>Viscosity_cP</t>
  </si>
  <si>
    <t>PhaseBehavior</t>
  </si>
  <si>
    <t>11</t>
  </si>
  <si>
    <t>4</t>
  </si>
  <si>
    <t>Y</t>
  </si>
  <si>
    <t>oil</t>
  </si>
  <si>
    <t>water</t>
  </si>
  <si>
    <t>5</t>
  </si>
  <si>
    <t>15</t>
  </si>
  <si>
    <t>6</t>
  </si>
  <si>
    <t>16</t>
  </si>
  <si>
    <t>7</t>
  </si>
  <si>
    <t>17</t>
  </si>
  <si>
    <t>8</t>
  </si>
  <si>
    <t>18</t>
  </si>
  <si>
    <t>9</t>
  </si>
  <si>
    <t>22</t>
  </si>
  <si>
    <t>10</t>
  </si>
  <si>
    <t>23</t>
  </si>
  <si>
    <t>24</t>
  </si>
  <si>
    <t>12</t>
  </si>
  <si>
    <t>25</t>
  </si>
  <si>
    <t>13</t>
  </si>
  <si>
    <t>26</t>
  </si>
  <si>
    <t>14</t>
  </si>
  <si>
    <t>27</t>
  </si>
  <si>
    <t>28</t>
  </si>
  <si>
    <t>29</t>
  </si>
  <si>
    <t>30</t>
  </si>
  <si>
    <t>31</t>
  </si>
  <si>
    <t>19</t>
  </si>
  <si>
    <t>35</t>
  </si>
  <si>
    <t>20</t>
  </si>
  <si>
    <t>40</t>
  </si>
  <si>
    <t>21</t>
  </si>
  <si>
    <t>40-2</t>
  </si>
  <si>
    <t>40-3</t>
  </si>
  <si>
    <t>42</t>
  </si>
  <si>
    <t>43</t>
  </si>
  <si>
    <t>43-2</t>
  </si>
  <si>
    <t>43-3</t>
  </si>
  <si>
    <t>44</t>
  </si>
  <si>
    <t>2</t>
  </si>
  <si>
    <t>3</t>
  </si>
  <si>
    <t>Viscosity</t>
  </si>
  <si>
    <t>Superpusher</t>
  </si>
  <si>
    <t>Polymer A</t>
  </si>
  <si>
    <t xml:space="preserve">Formulation 7. Figure 2 . Page 17 </t>
  </si>
  <si>
    <t>repeat this</t>
  </si>
  <si>
    <t xml:space="preserve">water </t>
  </si>
  <si>
    <t xml:space="preserve">X axis </t>
  </si>
  <si>
    <t xml:space="preserve">Y axis </t>
  </si>
  <si>
    <t xml:space="preserve">Page </t>
  </si>
  <si>
    <t xml:space="preserve">Formulation </t>
  </si>
  <si>
    <t>Total Dissolved Solid ( TDS) (wt%)</t>
  </si>
  <si>
    <t xml:space="preserve">Solubilization Ratio ( cc/cc) </t>
  </si>
  <si>
    <t>Formulation 7</t>
  </si>
  <si>
    <t xml:space="preserve">Type III Region_Min </t>
  </si>
  <si>
    <t>Type III Region_Max</t>
  </si>
  <si>
    <t xml:space="preserve">Formulation 9. Figure 3 . Page 18 </t>
  </si>
  <si>
    <t>Formulation 9</t>
  </si>
  <si>
    <t xml:space="preserve">Formulation 11. Figure 4 . Page 18 </t>
  </si>
  <si>
    <t>[VALIDATED]</t>
  </si>
  <si>
    <t>Formulation 11</t>
  </si>
  <si>
    <t xml:space="preserve">Formulation 11. Figure 5 . Page 19 </t>
  </si>
  <si>
    <t xml:space="preserve">Formulation 15. Figure 6 . Page 19 </t>
  </si>
  <si>
    <t>Formulation 15</t>
  </si>
  <si>
    <t>Formulation 16. Figure 7 . Page 20</t>
  </si>
  <si>
    <t>Formulation 16</t>
  </si>
  <si>
    <t xml:space="preserve">Formulation 17. Figure 8 . Page 20 </t>
  </si>
  <si>
    <t>Formulation 17</t>
  </si>
  <si>
    <t>Formulation 18. Figure 9 . Page 21</t>
  </si>
  <si>
    <t>Formulation 18</t>
  </si>
  <si>
    <t>Formulation 22. Figure 10. Page 21</t>
  </si>
  <si>
    <t>Formulation 22</t>
  </si>
  <si>
    <t>Formulation 23. Figure 11 . Page 22</t>
  </si>
  <si>
    <t>Formulation 23</t>
  </si>
  <si>
    <t xml:space="preserve">Formulation 24. Figure 12 . Page 22 </t>
  </si>
  <si>
    <t>Formulation 24</t>
  </si>
  <si>
    <t xml:space="preserve">Formulation 25. Figure 13 . Page 23 </t>
  </si>
  <si>
    <t>Formulation 25</t>
  </si>
  <si>
    <t>Formulation 26. Figure 14 . Page 23</t>
  </si>
  <si>
    <t>Formulation 26</t>
  </si>
  <si>
    <t>Formulation 27. Figure 15 . Page 24</t>
  </si>
  <si>
    <t>Formulation 27</t>
  </si>
  <si>
    <t>Formulation 28. Figure 16 . Page 24</t>
  </si>
  <si>
    <t>Formulation 28</t>
  </si>
  <si>
    <t>Formulation 29. Figure 17 . Page 25</t>
  </si>
  <si>
    <t>Formulation 30. Figure 18 . Page 25</t>
  </si>
  <si>
    <t>Formulation 30</t>
  </si>
  <si>
    <t>Formulation 31. Figure 19 . Page 26</t>
  </si>
  <si>
    <t>Formulation 31</t>
  </si>
  <si>
    <t>Formulation 35. Figure 20 . Page 26</t>
  </si>
  <si>
    <t>Formulation 35</t>
  </si>
  <si>
    <t>Formulation 40. Figure 21 . Page 27</t>
  </si>
  <si>
    <t>Formulation 40</t>
  </si>
  <si>
    <t>Formulation 40-2. Figure 22 . Page 27</t>
  </si>
  <si>
    <t>Formulation 40-2</t>
  </si>
  <si>
    <t>Formulation 40-3. Figure 23 . Page 28</t>
  </si>
  <si>
    <t>Formulation 40-3</t>
  </si>
  <si>
    <t>Formulation 42. Figure 24. Page 28</t>
  </si>
  <si>
    <t>Formulation 42</t>
  </si>
  <si>
    <t>Formulation 43. Figure 25 . Page 29</t>
  </si>
  <si>
    <t>Formulation 43</t>
  </si>
  <si>
    <t>Formulation 43-2. Figure 26 . Page 29</t>
  </si>
  <si>
    <t>Formulation 43-2</t>
  </si>
  <si>
    <t>E</t>
  </si>
  <si>
    <t>Formulation 43-3. Figure 27 . Page 30</t>
  </si>
  <si>
    <t>Formulation 43-3</t>
  </si>
  <si>
    <t>Formulation 44. Figure 28 . Page 30</t>
  </si>
  <si>
    <t>Formulation 44</t>
  </si>
  <si>
    <t>Figure 29 . Viscosity of Superpusher vs Days in Oven</t>
  </si>
  <si>
    <t>T=100 degC</t>
  </si>
  <si>
    <t>T=110 degC</t>
  </si>
  <si>
    <t>T=120 degC</t>
  </si>
  <si>
    <t>Days in Oven</t>
  </si>
  <si>
    <t>Viscosity (cP)</t>
  </si>
  <si>
    <t>Figure 30 . Viscosity of Polymer A vs Days in Oven</t>
  </si>
  <si>
    <t>#</t>
  </si>
  <si>
    <t xml:space="preserve">IFT low  dyne/cm </t>
  </si>
  <si>
    <t xml:space="preserve">IFT high  dyne/cm </t>
  </si>
  <si>
    <t>Pass Phase Behavior Test ?</t>
  </si>
  <si>
    <t>Agent 2385-81A (S)</t>
  </si>
  <si>
    <t xml:space="preserve">Agent 2385-81B (S)  </t>
  </si>
  <si>
    <t>Onyxide 200 MW/OF (S)</t>
  </si>
  <si>
    <t>Sample no. 6-82 (S)</t>
  </si>
  <si>
    <t>Sample no. 6-79 (S)</t>
  </si>
  <si>
    <t>Sample no. 6-77 (S)</t>
  </si>
  <si>
    <t>SS 6060 (S)</t>
  </si>
  <si>
    <t>SS 6066 (S)</t>
  </si>
  <si>
    <t>SS 6046 (S)</t>
  </si>
  <si>
    <t>ORS-43HF (S)</t>
  </si>
  <si>
    <t>ORS-46HF  (S)</t>
  </si>
  <si>
    <t>ORS-64HF (S)</t>
  </si>
  <si>
    <t>Petronate EOR-2095 (S)</t>
  </si>
  <si>
    <t>Petronate EOR-2037(S)</t>
  </si>
  <si>
    <t>6-72 (S) &amp;  NaOH (A) (i35LW)</t>
  </si>
  <si>
    <t>6-72 (S) &amp; Na2CO3 (A)  (i35LW)</t>
  </si>
  <si>
    <t>6-72 (S) &amp;  NaOH (A) (i68)</t>
  </si>
  <si>
    <t>6-72 (S) &amp; Na2CO3 (A) (i68)</t>
  </si>
  <si>
    <t>Formulation 1 : S3B + S1 (S+CS)</t>
  </si>
  <si>
    <t>Formulation 2 : S3B + S2  (S+CS)</t>
  </si>
  <si>
    <t>Formulation 3 : C8 + S2  (S+CS)</t>
  </si>
  <si>
    <t>Formulation 4 : M2 + S2  (S+CS)</t>
  </si>
  <si>
    <t>Formulation 5 : A6 + S2  (S+CS)</t>
  </si>
  <si>
    <t>Formulation 6 : C1 + S2  (S+CS)</t>
  </si>
  <si>
    <t>Formulation 7 : M2 + S3B  (S+CS)</t>
  </si>
  <si>
    <t>Formulation 8 : C8 + S3B  (S+CS)</t>
  </si>
  <si>
    <t>Formulation 9 : M2 + S3B  (S+CS)</t>
  </si>
  <si>
    <t>Formulation 10 : M2 + S3B  (S+CS)</t>
  </si>
  <si>
    <t>Formulation 1 : M2 + S3B  (S+CS)</t>
  </si>
  <si>
    <t>Formulation 12 : M2 + S3B  (S+CS)</t>
  </si>
  <si>
    <t>Formulation 13 : M2 + S3B  (S+CS)</t>
  </si>
  <si>
    <t>Formulation 14 : M2 + S3B  (S+CS)</t>
  </si>
  <si>
    <t>Formulation 15 : M2 + S3B  (S+CS)</t>
  </si>
  <si>
    <t>Formulation 16 : M2 + S3B  (S+CS)</t>
  </si>
  <si>
    <t>Formulation 17 : M2 + S3B  (S+CS)</t>
  </si>
  <si>
    <t>Formulation 18 : M2 + S3B  (S+CS)</t>
  </si>
  <si>
    <t>Formulation 19 : C8 + S3B  (S+CS)</t>
  </si>
  <si>
    <t>Formulation 20 : C1 + S3B  (S+CS)</t>
  </si>
  <si>
    <t>Formulation 21 : C1 + S3B  (S+CS)</t>
  </si>
  <si>
    <t>Formulation 22 : M2 + S3B  (S+CS)</t>
  </si>
  <si>
    <t>Formulation 23 :M2 + S3B  (S+CS)</t>
  </si>
  <si>
    <t>Formulation 24 : M2 + S3B  (S+CS)</t>
  </si>
  <si>
    <t>Formulation 25 : M2 + S3B  (S+CS)</t>
  </si>
  <si>
    <t>Formulation 26 : M2 + S2  (S+CS)</t>
  </si>
  <si>
    <t>Formulation 27 : M2 + S3B  (S+CS)</t>
  </si>
  <si>
    <t>Formulation 28 : M2 + S3B (S+CS)</t>
  </si>
  <si>
    <t>Formulation 29 : M2 + S3B  (S+CS)</t>
  </si>
  <si>
    <t>Formulation 30 : M2 + S3B  (S+CS)</t>
  </si>
  <si>
    <t>Formulation 31 : M2 + S3B (S+CS)</t>
  </si>
  <si>
    <t>Formulation 32 : M2 + S3B  (S+CS)</t>
  </si>
  <si>
    <t>Formulation 34 : M3 + S3B (S+CS)</t>
  </si>
  <si>
    <t>Formulation 35 : M2 + S3B (S+CS)</t>
  </si>
  <si>
    <t>Formulation 36 : M2 +S12 (S+CS)</t>
  </si>
  <si>
    <t>Formulation 37 : S12 + S3B (S+CS)</t>
  </si>
  <si>
    <t>Formulation 38 : M2 + S3B  (S+CS)</t>
  </si>
  <si>
    <t>Formulation 39 : M2 + S3B  (S+CS)</t>
  </si>
  <si>
    <t>Formulation 40 : M2 + S3B (S+CS)</t>
  </si>
  <si>
    <t>Formulation 40#2 : M2 + S3B  (S+CS)</t>
  </si>
  <si>
    <t>Formulation 40#3 : M2 + S3B  (S+CS)</t>
  </si>
  <si>
    <t>Formulation 41 : M2 + S3B  (S+CS)</t>
  </si>
  <si>
    <t>Formulation 42 : M2 + S3B  (S+CS)</t>
  </si>
  <si>
    <t>Formulation 43 : M2 + S3B  (S+CS)</t>
  </si>
  <si>
    <t>Formulation 43#2 : M2 + S3B  (S+CS)</t>
  </si>
  <si>
    <t>Formulation 43#23 : M2 + S3B  (S+CS)</t>
  </si>
  <si>
    <t>Formulation 44 : M2 + S3B  (S+CS)</t>
  </si>
  <si>
    <t>Formulation 45 : SXS + S3B  (S+CS)</t>
  </si>
  <si>
    <t>Formulation 46 : S3B + S3B  (S+CS)</t>
  </si>
  <si>
    <t xml:space="preserve">Number </t>
  </si>
  <si>
    <t>Formulation (A/S/P)</t>
  </si>
  <si>
    <t>Remarks</t>
  </si>
  <si>
    <t xml:space="preserve">Percipitation </t>
  </si>
  <si>
    <t xml:space="preserve">No Percepitation </t>
  </si>
  <si>
    <t>Agent 2385-81A (S) + Superfloc BD319 (P)</t>
  </si>
  <si>
    <t>Agent 2385-81B  (S)  + Superfloc BD319 (P)</t>
  </si>
  <si>
    <t>Onyxide 200 MW/OF (S)  + Superfloc BD319 (P)</t>
  </si>
  <si>
    <t>Sample no. 6-82 (S) + Superfloc BD319 (P)</t>
  </si>
  <si>
    <t>Sample no. 6-79(S)  + Superfloc BD319 (P)</t>
  </si>
  <si>
    <t>Sample no. 6-77(S)  + Superfloc BD319 (P)</t>
  </si>
  <si>
    <t>SS 6060(S)  + Superfloc BD319 (P)</t>
  </si>
  <si>
    <t>SS 6066(S)   + Superfloc BD319 (P)</t>
  </si>
  <si>
    <t>SS 6046 (S) + Superfloc BD319 (P)</t>
  </si>
  <si>
    <t>ORS-43HF(S)  + Superfloc BD319 (P)</t>
  </si>
  <si>
    <t>ORS-46HF(S)  + Superfloc BD319 (P)</t>
  </si>
  <si>
    <t>ORS-64HF(S)  + Superfloc BD319 (P)</t>
  </si>
  <si>
    <t>Petronate EOR-2095(S)  + Superfloc BD319 (P)</t>
  </si>
  <si>
    <t>Petronate EOR-2037 (S) + Superfloc BD319 (P)</t>
  </si>
  <si>
    <t>6-72 (S) &amp;  NaOH (A)(i35LW)</t>
  </si>
  <si>
    <r>
      <t>6-72 (S) &amp; Na</t>
    </r>
    <r>
      <rPr>
        <vertAlign val="subscript"/>
        <sz val="11"/>
        <color theme="1"/>
        <rFont val="Aptos Narrow"/>
        <family val="2"/>
      </rPr>
      <t>2</t>
    </r>
    <r>
      <rPr>
        <sz val="11"/>
        <color theme="1"/>
        <rFont val="Aptos Narrow"/>
        <family val="2"/>
      </rPr>
      <t>CO</t>
    </r>
    <r>
      <rPr>
        <vertAlign val="subscript"/>
        <sz val="11"/>
        <color theme="1"/>
        <rFont val="Aptos Narrow"/>
        <family val="2"/>
      </rPr>
      <t>3</t>
    </r>
    <r>
      <rPr>
        <sz val="11"/>
        <color theme="1"/>
        <rFont val="Aptos Narrow"/>
        <family val="2"/>
      </rPr>
      <t xml:space="preserve"> (A) (i35LW)</t>
    </r>
  </si>
  <si>
    <t>6-72 (S)  &amp;  NaOH (A) (i68)</t>
  </si>
  <si>
    <r>
      <t>6-72(S)  &amp; Na</t>
    </r>
    <r>
      <rPr>
        <vertAlign val="subscript"/>
        <sz val="11"/>
        <color theme="1"/>
        <rFont val="Aptos Narrow"/>
        <family val="2"/>
      </rPr>
      <t>2</t>
    </r>
    <r>
      <rPr>
        <sz val="11"/>
        <color theme="1"/>
        <rFont val="Aptos Narrow"/>
        <family val="2"/>
      </rPr>
      <t>CO</t>
    </r>
    <r>
      <rPr>
        <vertAlign val="subscript"/>
        <sz val="11"/>
        <color theme="1"/>
        <rFont val="Aptos Narrow"/>
        <family val="2"/>
      </rPr>
      <t xml:space="preserve">3 </t>
    </r>
    <r>
      <rPr>
        <sz val="11"/>
        <color theme="1"/>
        <rFont val="Aptos Narrow"/>
        <family val="2"/>
      </rPr>
      <t>(A) (i68)</t>
    </r>
  </si>
  <si>
    <t xml:space="preserve">No interaction surfactant and oil </t>
  </si>
  <si>
    <t xml:space="preserve">Cloudy </t>
  </si>
  <si>
    <t>Pass</t>
  </si>
  <si>
    <t xml:space="preserve">Clear up till 5% salinity  only </t>
  </si>
  <si>
    <t xml:space="preserve">Clear up till 5% salinity only </t>
  </si>
  <si>
    <t xml:space="preserve">Macro emulsion  </t>
  </si>
  <si>
    <t>40 #2</t>
  </si>
  <si>
    <t xml:space="preserve">Type III. Pass </t>
  </si>
  <si>
    <t>40 #3</t>
  </si>
  <si>
    <t>43#2</t>
  </si>
  <si>
    <t>43#3</t>
  </si>
  <si>
    <t xml:space="preserve">Superfloc BD319_2013 </t>
  </si>
  <si>
    <t>Flopaam 3430S_2013</t>
  </si>
  <si>
    <t>Alcoflood 1285 REL</t>
  </si>
  <si>
    <t xml:space="preserve"> Superfloc BD274 </t>
  </si>
  <si>
    <t xml:space="preserve">Alcoflood 1275A </t>
  </si>
  <si>
    <t xml:space="preserve"> Magnafloc 358 </t>
  </si>
  <si>
    <t xml:space="preserve">Flopaam 3330S </t>
  </si>
  <si>
    <t xml:space="preserve"> AN 125 </t>
  </si>
  <si>
    <t>9 Superfloc BD317</t>
  </si>
  <si>
    <t xml:space="preserve">10 Flopaam 3630S </t>
  </si>
  <si>
    <t>11 Superfloc BD318</t>
  </si>
  <si>
    <t>12 Cynatrol 720H</t>
  </si>
  <si>
    <t xml:space="preserve">13 Flopaam 3530S </t>
  </si>
  <si>
    <t xml:space="preserve">14 Alcoflood 1235 </t>
  </si>
  <si>
    <t>Types of EOR</t>
  </si>
  <si>
    <t xml:space="preserve">Type of Study </t>
  </si>
  <si>
    <t>LATITUDE</t>
  </si>
  <si>
    <t>LONGITUDE</t>
  </si>
  <si>
    <t>CEOR ASP</t>
  </si>
  <si>
    <t xml:space="preserve">R&amp;D /Lab Reports </t>
  </si>
  <si>
    <t>CEOR AS</t>
  </si>
  <si>
    <t>Pilot Field Application</t>
  </si>
  <si>
    <t xml:space="preserve">CEOR AS </t>
  </si>
  <si>
    <t xml:space="preserve">FDP Study </t>
  </si>
  <si>
    <t xml:space="preserve">CEOR ASP </t>
  </si>
  <si>
    <t>SITOS Report</t>
  </si>
  <si>
    <t xml:space="preserve">CEOR Polymer </t>
  </si>
  <si>
    <t>Presentation Pack</t>
  </si>
  <si>
    <t xml:space="preserve">WAG </t>
  </si>
  <si>
    <t>R&amp;D Report</t>
  </si>
  <si>
    <t>MEOR</t>
  </si>
  <si>
    <t>EWAG</t>
  </si>
  <si>
    <t xml:space="preserve">CEOR S-Foam </t>
  </si>
  <si>
    <t>CEOR Alkaline</t>
  </si>
  <si>
    <t>OOR</t>
  </si>
  <si>
    <t>Baram</t>
  </si>
  <si>
    <t>WAG</t>
  </si>
  <si>
    <t>Baronia</t>
  </si>
  <si>
    <t>Nanoparticle</t>
  </si>
  <si>
    <t>Evaluation Report</t>
  </si>
  <si>
    <t>Betty</t>
  </si>
  <si>
    <t>4.60881 </t>
  </si>
  <si>
    <t>Bokor</t>
  </si>
  <si>
    <t>Samarang</t>
  </si>
  <si>
    <t>GASWAG</t>
  </si>
  <si>
    <t>South Furious 30</t>
  </si>
  <si>
    <t>Barton</t>
  </si>
  <si>
    <t>St Joseph</t>
  </si>
  <si>
    <t>Sumandak</t>
  </si>
  <si>
    <t>West Lutong</t>
  </si>
  <si>
    <t>Core Floof Sample</t>
  </si>
  <si>
    <t xml:space="preserve">Alkali Type &amp; Concentration  </t>
  </si>
  <si>
    <t>Surfactant Type &amp; Concentration</t>
  </si>
  <si>
    <t xml:space="preserve">Polymer Type &amp; Concentration  </t>
  </si>
  <si>
    <t>1 % NaOH</t>
  </si>
  <si>
    <t>0.075% ORS6-72</t>
  </si>
  <si>
    <t>1000 ppm SuperPusher</t>
  </si>
  <si>
    <r>
      <t>1 % Na</t>
    </r>
    <r>
      <rPr>
        <vertAlign val="subscript"/>
        <sz val="9"/>
        <color theme="1"/>
        <rFont val="Arial"/>
        <family val="2"/>
      </rPr>
      <t>2</t>
    </r>
    <r>
      <rPr>
        <sz val="9"/>
        <color theme="1"/>
        <rFont val="Arial"/>
        <family val="2"/>
      </rPr>
      <t>C0</t>
    </r>
    <r>
      <rPr>
        <vertAlign val="subscript"/>
        <sz val="9"/>
        <color theme="1"/>
        <rFont val="Arial"/>
        <family val="2"/>
      </rPr>
      <t>3</t>
    </r>
  </si>
  <si>
    <t>% NaOH</t>
  </si>
  <si>
    <t>ORS 6-49</t>
  </si>
  <si>
    <t>Flopaam 3630ST</t>
  </si>
  <si>
    <t>% Na2C03</t>
  </si>
  <si>
    <t xml:space="preserve"> 6 -72</t>
  </si>
  <si>
    <t>Flopaam 3430ST</t>
  </si>
  <si>
    <t xml:space="preserve"> 6 -79</t>
  </si>
  <si>
    <t>HE 300</t>
  </si>
  <si>
    <t>AN125</t>
  </si>
  <si>
    <t>S</t>
  </si>
  <si>
    <t>0.1% 6-79</t>
  </si>
  <si>
    <t>AS</t>
  </si>
  <si>
    <t>0.05% NaOH</t>
  </si>
  <si>
    <t>0.05% 6-72</t>
  </si>
  <si>
    <t>0.15% 6-79</t>
  </si>
  <si>
    <t>0.05% HE300</t>
  </si>
  <si>
    <t>0.075% 6-72</t>
  </si>
  <si>
    <t>0.03% AN125</t>
  </si>
  <si>
    <t>0.05% AN125</t>
  </si>
  <si>
    <t>1.25 % NaOH</t>
  </si>
  <si>
    <t>0.1% 6-72</t>
  </si>
  <si>
    <t>AS+P</t>
  </si>
  <si>
    <r>
      <t>1 % NA</t>
    </r>
    <r>
      <rPr>
        <vertAlign val="subscript"/>
        <sz val="8"/>
        <color theme="1"/>
        <rFont val="Arial"/>
        <family val="2"/>
      </rPr>
      <t>2</t>
    </r>
    <r>
      <rPr>
        <sz val="8"/>
        <color theme="1"/>
        <rFont val="Arial"/>
        <family val="2"/>
      </rPr>
      <t>Co3</t>
    </r>
  </si>
  <si>
    <t>0.05% ORS-164</t>
  </si>
  <si>
    <t>Remarks_Nis</t>
  </si>
  <si>
    <t xml:space="preserve">Field &amp; Reservoir </t>
  </si>
  <si>
    <t>STOIIP_ARPR 1.1.2025</t>
  </si>
  <si>
    <t>Np_ARPR 1.1.2025</t>
  </si>
  <si>
    <t>UR_ARPR 1.1.2025</t>
  </si>
  <si>
    <t>EUR_ARPR 1.1.2026</t>
  </si>
  <si>
    <t xml:space="preserve">RF_ARPR 1.1.2025 (calculated) </t>
  </si>
  <si>
    <t>RCI</t>
  </si>
  <si>
    <t>Benchmark RF (%)</t>
  </si>
  <si>
    <t xml:space="preserve">RF Gap =Benchmark  RF - Field RF (%) </t>
  </si>
  <si>
    <t xml:space="preserve">RF Gap =Benchmark  RF - Field RF (%) abs </t>
  </si>
  <si>
    <t>CR volume potential = RF Gap x STOIIP  (MMSTB)</t>
  </si>
  <si>
    <t xml:space="preserve">Non producing reservoirs </t>
  </si>
  <si>
    <t>Reservoir Temperature (F)</t>
  </si>
  <si>
    <t xml:space="preserve"># Idle Well (June 25) </t>
  </si>
  <si>
    <t>Temp (deg C)</t>
  </si>
  <si>
    <t>Oil API</t>
  </si>
  <si>
    <t>Gross Thickness (ft)</t>
  </si>
  <si>
    <t>Oil Column (ft)</t>
  </si>
  <si>
    <t>Avg Porosity</t>
  </si>
  <si>
    <t>Avg Permeability (mD)</t>
  </si>
  <si>
    <t>Oil Producers</t>
  </si>
  <si>
    <t>Injected Fluid</t>
  </si>
  <si>
    <t>Injectors</t>
  </si>
  <si>
    <t>Historical Pressure Management</t>
  </si>
  <si>
    <t>Gas cap m-ratio</t>
  </si>
  <si>
    <t>Initial Reservoir Pressure (psi)</t>
  </si>
  <si>
    <t>Bubble point (psi)</t>
  </si>
  <si>
    <t>Initial Oil Saturation (Soi)</t>
  </si>
  <si>
    <t>Oil FVF (Boi)</t>
  </si>
  <si>
    <t>Oil Viscosity (cP)</t>
  </si>
  <si>
    <t>Solution GOR (scf/bbl)</t>
  </si>
  <si>
    <t>done</t>
  </si>
  <si>
    <t>Alab Block 1</t>
  </si>
  <si>
    <t>j3</t>
  </si>
  <si>
    <t>PRODUCING</t>
  </si>
  <si>
    <t>NONE</t>
  </si>
  <si>
    <t>wellmanaged</t>
  </si>
  <si>
    <t>k5</t>
  </si>
  <si>
    <t>i-68_main</t>
  </si>
  <si>
    <t>ANGSI_i-68_main</t>
  </si>
  <si>
    <t>WAT</t>
  </si>
  <si>
    <t>i-15l_south</t>
  </si>
  <si>
    <t>ANGSI_i-15l_south</t>
  </si>
  <si>
    <t>poorlymanaged</t>
  </si>
  <si>
    <t>Not updated</t>
  </si>
  <si>
    <t>i-40_main</t>
  </si>
  <si>
    <t>ANGSI_i-40_main</t>
  </si>
  <si>
    <t>DONE</t>
  </si>
  <si>
    <t>i-45_west</t>
  </si>
  <si>
    <t>ANGSI_i-45_west</t>
  </si>
  <si>
    <t>i-35m_north</t>
  </si>
  <si>
    <t>ANGSI_i-35m_north</t>
  </si>
  <si>
    <t>i-27_northwest</t>
  </si>
  <si>
    <t>ANGSI_i-27_northwest</t>
  </si>
  <si>
    <t>NONPRODUCING</t>
  </si>
  <si>
    <t>i-27_south c</t>
  </si>
  <si>
    <t>ANGSI_i-27_south c</t>
  </si>
  <si>
    <t>i-27_south d</t>
  </si>
  <si>
    <t>ANGSI_i-27_south d</t>
  </si>
  <si>
    <t>stooip is updated</t>
  </si>
  <si>
    <t>i-27_west</t>
  </si>
  <si>
    <t>ANGSI_i-27_west</t>
  </si>
  <si>
    <t>i-35l_west</t>
  </si>
  <si>
    <t>ANGSI_i-35l_west</t>
  </si>
  <si>
    <t>i-35u_main</t>
  </si>
  <si>
    <t>ANGSI_i-35u_main</t>
  </si>
  <si>
    <t>i-35u_north</t>
  </si>
  <si>
    <t>ANGSI_i-35u_north</t>
  </si>
  <si>
    <t>i-35u_southernchannel</t>
  </si>
  <si>
    <t>ANGSI_i-35u_southernchannel</t>
  </si>
  <si>
    <t>i-35u_southwest</t>
  </si>
  <si>
    <t>ANGSI_i-35u_southwest</t>
  </si>
  <si>
    <t>i-35u_west</t>
  </si>
  <si>
    <t>ANGSI_i-35u_west</t>
  </si>
  <si>
    <t>10c-i_10</t>
  </si>
  <si>
    <t>BARAM_10c-i_10</t>
  </si>
  <si>
    <t>fairlymanaged</t>
  </si>
  <si>
    <t>10w-i_10</t>
  </si>
  <si>
    <t>BARAM_10w-i_10</t>
  </si>
  <si>
    <t>1c-i_1c</t>
  </si>
  <si>
    <t>BARAM_1c-i_1c</t>
  </si>
  <si>
    <t>12/31-i-1/3_12/31</t>
  </si>
  <si>
    <t>BARAM_12/31-i-1/3_12/31</t>
  </si>
  <si>
    <t>12/31-i-4_12/31</t>
  </si>
  <si>
    <t>BARAM_12/31-i-4_12/31</t>
  </si>
  <si>
    <t>1b-i-4_1b</t>
  </si>
  <si>
    <t>BARAM_1b-i-4_1b</t>
  </si>
  <si>
    <t>1m-i_1m</t>
  </si>
  <si>
    <t>BARAM_1m-i_1m</t>
  </si>
  <si>
    <t>10c-k/l_10</t>
  </si>
  <si>
    <t>BARAM_10c-k/l_10</t>
  </si>
  <si>
    <t>10e-k/l_10</t>
  </si>
  <si>
    <t>BARAM_10e-k/l_10</t>
  </si>
  <si>
    <t>1b-i-6_1b</t>
  </si>
  <si>
    <t>BARAM_1b-i-6_1b</t>
  </si>
  <si>
    <t>Np is lower</t>
  </si>
  <si>
    <t>1a-i_1a</t>
  </si>
  <si>
    <t>BARAM_1a-i_1a</t>
  </si>
  <si>
    <t>12/31-i-6/7_12/31</t>
  </si>
  <si>
    <t>BARAM_12/31-i-6/7_12/31</t>
  </si>
  <si>
    <t>1b-i-7_1b</t>
  </si>
  <si>
    <t>BARAM_1b-i-7_1b</t>
  </si>
  <si>
    <t>12/31-k_12/31</t>
  </si>
  <si>
    <t>BARAM_12/31-k_12/31</t>
  </si>
  <si>
    <t>2-i_2</t>
  </si>
  <si>
    <t>BARAM_2-i_2</t>
  </si>
  <si>
    <t>3-i_3</t>
  </si>
  <si>
    <t>BARAM_3-i_3</t>
  </si>
  <si>
    <t>Not updated. Little info in ARPR. Only H110-H150</t>
  </si>
  <si>
    <t>11-i_11</t>
  </si>
  <si>
    <t>BARAM_11-i_11</t>
  </si>
  <si>
    <t>1a-k_1a</t>
  </si>
  <si>
    <t>BARAM_1a-k_1a</t>
  </si>
  <si>
    <t>11-k_11</t>
  </si>
  <si>
    <t>BARAM_11-k_11</t>
  </si>
  <si>
    <t>updated</t>
  </si>
  <si>
    <t>2-k_2</t>
  </si>
  <si>
    <t>BARAM_2-k_2</t>
  </si>
  <si>
    <t>12e-l_12e</t>
  </si>
  <si>
    <t>BARAM_12e-l_12e</t>
  </si>
  <si>
    <t>31w-l_31w</t>
  </si>
  <si>
    <t>BARAM_31w-l_31w</t>
  </si>
  <si>
    <t>Check Np</t>
  </si>
  <si>
    <t>10w-k/l_10</t>
  </si>
  <si>
    <t>BARAM_10w-k/l_10</t>
  </si>
  <si>
    <t>Np is different</t>
  </si>
  <si>
    <t>11-l_11</t>
  </si>
  <si>
    <t>BARAM_11-l_11</t>
  </si>
  <si>
    <t>10c-n_10</t>
  </si>
  <si>
    <t>BARAM_10c-n_10</t>
  </si>
  <si>
    <t>10d-n_10</t>
  </si>
  <si>
    <t>BARAM_10d-n_10</t>
  </si>
  <si>
    <t>10e-n_10</t>
  </si>
  <si>
    <t>BARAM_10e-n_10</t>
  </si>
  <si>
    <t>10w-n_10</t>
  </si>
  <si>
    <t>BARAM_10w-n_10</t>
  </si>
  <si>
    <t>10w-m_10</t>
  </si>
  <si>
    <t>BARAM_10w-m_10</t>
  </si>
  <si>
    <t>12e-m_12e</t>
  </si>
  <si>
    <t>BARAM_12e-m_12e</t>
  </si>
  <si>
    <t>10c-o_10</t>
  </si>
  <si>
    <t>BARAM_10c-o_10</t>
  </si>
  <si>
    <t>10e-o-1/4_10</t>
  </si>
  <si>
    <t>BARAM_10e-o-1/4_10</t>
  </si>
  <si>
    <t>3-m_3</t>
  </si>
  <si>
    <t>BARAM_3-m_3</t>
  </si>
  <si>
    <t>11-n_11</t>
  </si>
  <si>
    <t>BARAM_3-n_11</t>
  </si>
  <si>
    <t>Unit 7,8,9. done</t>
  </si>
  <si>
    <t>31w-n3.0/3.5_31w</t>
  </si>
  <si>
    <t>BARAM_31w-n3.0/3.5_31w</t>
  </si>
  <si>
    <t>2-m_2</t>
  </si>
  <si>
    <t>BARAM_2-m_2</t>
  </si>
  <si>
    <t>11-o-1/4_11</t>
  </si>
  <si>
    <t>BARAM_11-o-1/4_11</t>
  </si>
  <si>
    <t>3-n_3</t>
  </si>
  <si>
    <t>BARAM_3-n_3</t>
  </si>
  <si>
    <t>10e-o-5/8_10</t>
  </si>
  <si>
    <t>BARAM_10e-o-5/8_10</t>
  </si>
  <si>
    <t>10w-o5/8_10</t>
  </si>
  <si>
    <t>BARAM_10w-o5/8_10</t>
  </si>
  <si>
    <t>2-n_2</t>
  </si>
  <si>
    <t>BARAM_2-n_2</t>
  </si>
  <si>
    <t>No Np</t>
  </si>
  <si>
    <t>11-o-5/8_11</t>
  </si>
  <si>
    <t>BARAM_11-o-5/8_11</t>
  </si>
  <si>
    <t>3b-o_3b</t>
  </si>
  <si>
    <t>BARAM_3b-o_3b</t>
  </si>
  <si>
    <t>1a-o-1/4_1a</t>
  </si>
  <si>
    <t>BARAM_1a-o-1/4_1a</t>
  </si>
  <si>
    <t>2-o-1/4_2</t>
  </si>
  <si>
    <t>BARAM_2-o-1/4_2</t>
  </si>
  <si>
    <t>3-o-1/4_3</t>
  </si>
  <si>
    <t>BARAM_3-o-1/4_3</t>
  </si>
  <si>
    <t>2-p-1/4_2</t>
  </si>
  <si>
    <t>BARAM_2-p-1/4_2</t>
  </si>
  <si>
    <t>3b-p_3b</t>
  </si>
  <si>
    <t>BARAM_3b-p_3b</t>
  </si>
  <si>
    <t>2-o-5/8_2</t>
  </si>
  <si>
    <t>BARAM_2-o-5/8_2</t>
  </si>
  <si>
    <t>10-p-1/4_10</t>
  </si>
  <si>
    <t>BARAM_10-p-1/4_10</t>
  </si>
  <si>
    <t>1a-o-5/8_1a</t>
  </si>
  <si>
    <t>BARAM_1a-o-5/8_1a</t>
  </si>
  <si>
    <t>OK</t>
  </si>
  <si>
    <t>1a-p-1/4_1a</t>
  </si>
  <si>
    <t>BARAM_1a-p-1/4_1a</t>
  </si>
  <si>
    <t>32-p-1/4_32</t>
  </si>
  <si>
    <t>BARAM_32-p-1/4_32</t>
  </si>
  <si>
    <t>2-p-5/8_2</t>
  </si>
  <si>
    <t>BARAM_2-p-5/8_2</t>
  </si>
  <si>
    <t xml:space="preserve">updated </t>
  </si>
  <si>
    <t>31w-p-1/1.5_31w</t>
  </si>
  <si>
    <t>BARAM_31w-p-1/1.5_31w</t>
  </si>
  <si>
    <t>4-p-5/8_4</t>
  </si>
  <si>
    <t>BARAM_4-p-5/8_4</t>
  </si>
  <si>
    <t>in place updated</t>
  </si>
  <si>
    <t>36a-p_36a</t>
  </si>
  <si>
    <t>BARAM_36a-p_36a</t>
  </si>
  <si>
    <t>36-p_36</t>
  </si>
  <si>
    <t>BARAM_36-p_36</t>
  </si>
  <si>
    <t>36-q-1/4_36</t>
  </si>
  <si>
    <t>BARAM_36-q-1/4_36</t>
  </si>
  <si>
    <t>3-p-1/4_3</t>
  </si>
  <si>
    <t>BARAM_3-p-1/4_3</t>
  </si>
  <si>
    <t>11-p-1/4_11</t>
  </si>
  <si>
    <t>BARAM_11-p-1/4_11</t>
  </si>
  <si>
    <t>1a-p-5/8_1a</t>
  </si>
  <si>
    <t>BARAM_1a-p-5/8_1a</t>
  </si>
  <si>
    <t>2-q-1/4_2</t>
  </si>
  <si>
    <t>BARAM_2-q-1/4_2</t>
  </si>
  <si>
    <t>33-q-1/4_33</t>
  </si>
  <si>
    <t>BARAM_33-q-1/4_33</t>
  </si>
  <si>
    <t>update in place</t>
  </si>
  <si>
    <t>10c-r-1/4_10</t>
  </si>
  <si>
    <t>BARAM_10c-r-1/4_10</t>
  </si>
  <si>
    <t>10c-s-1/3_10</t>
  </si>
  <si>
    <t>BARAM_10c-s-1/3_10</t>
  </si>
  <si>
    <t>10d-s-1/3_10</t>
  </si>
  <si>
    <t>BARAM_10d-s-1/3_10</t>
  </si>
  <si>
    <t>no entry in ARPR</t>
  </si>
  <si>
    <t>1a-q-1/4_1a</t>
  </si>
  <si>
    <t>BARAM_1a-q-1/4_1a</t>
  </si>
  <si>
    <t>4-q-5/8_4</t>
  </si>
  <si>
    <t>BARAM_4-q-5/8_4</t>
  </si>
  <si>
    <t>2-r-1/4_2</t>
  </si>
  <si>
    <t>BARAM_2-r-1/4_2</t>
  </si>
  <si>
    <t>10d-q-5/8_10</t>
  </si>
  <si>
    <t>BARAM_10d-q-5/8_10</t>
  </si>
  <si>
    <t>10-q-5/8_10</t>
  </si>
  <si>
    <t>BARAM_10-q-5/8_10</t>
  </si>
  <si>
    <t>32-q-5.0_32</t>
  </si>
  <si>
    <t>32-q-5/8_32</t>
  </si>
  <si>
    <t>33-q-5/8_33</t>
  </si>
  <si>
    <t>34a-q3.0/3.1_34a</t>
  </si>
  <si>
    <t>34a-q-5/8_34a</t>
  </si>
  <si>
    <t>2-q-5/8_2</t>
  </si>
  <si>
    <t>34a-r-1/4_34a</t>
  </si>
  <si>
    <t>3-q-5/8_3</t>
  </si>
  <si>
    <t>1a-q-5/8_1a</t>
  </si>
  <si>
    <t>33-r-1/4_33</t>
  </si>
  <si>
    <t>there is no g6.1 reservoir. Retain</t>
  </si>
  <si>
    <t>10-r-1/4_10</t>
  </si>
  <si>
    <t>2-s-1/3_2</t>
  </si>
  <si>
    <t>3-s-1/3_3</t>
  </si>
  <si>
    <t>5-s-1/3_5</t>
  </si>
  <si>
    <t>10-s-1/3_10</t>
  </si>
  <si>
    <t xml:space="preserve">Block 1a &amp; 1b </t>
  </si>
  <si>
    <t>1a-r-1/4_1a</t>
  </si>
  <si>
    <t>3-r-1/4_3</t>
  </si>
  <si>
    <t>36-q-5/8_36</t>
  </si>
  <si>
    <t>4-s-1/3_4</t>
  </si>
  <si>
    <t>10-s-4/6_10</t>
  </si>
  <si>
    <t>10c-s-4/6_10</t>
  </si>
  <si>
    <t>33-s-1.0/1.1/1.2_33</t>
  </si>
  <si>
    <t>done. ARPR naming is : K5.0/7.0</t>
  </si>
  <si>
    <t>33-s-1/3_33</t>
  </si>
  <si>
    <t>33s-s1.0/1.1/1.2_33s</t>
  </si>
  <si>
    <t>34a-s-1/3_34a</t>
  </si>
  <si>
    <t>34a-s-8/11_34a</t>
  </si>
  <si>
    <t>34s-s-1/3_34s</t>
  </si>
  <si>
    <t>10c-s-8/10_10</t>
  </si>
  <si>
    <t>10-s-8/10_10</t>
  </si>
  <si>
    <t>2-s-8/10_2</t>
  </si>
  <si>
    <t>3-s-8/10_3</t>
  </si>
  <si>
    <t>5-s-8/10_5</t>
  </si>
  <si>
    <t>2-s-11/13_2</t>
  </si>
  <si>
    <t>2-s-4/6_2</t>
  </si>
  <si>
    <t>33-s-4/6_33</t>
  </si>
  <si>
    <t>34s-s-8.1/8.3_34s</t>
  </si>
  <si>
    <t>3-s-11/13_3</t>
  </si>
  <si>
    <t>3-s-14/16_3</t>
  </si>
  <si>
    <t>3-s-4/6_3</t>
  </si>
  <si>
    <t>4-s-4/6_4</t>
  </si>
  <si>
    <t>5-s-11/13_5</t>
  </si>
  <si>
    <t>5-s-4/6_5</t>
  </si>
  <si>
    <t>11-s-11/16_11</t>
  </si>
  <si>
    <t>Block 2. nor block 2e</t>
  </si>
  <si>
    <t>33-s-5.0/6.0/6.1_33</t>
  </si>
  <si>
    <t xml:space="preserve">done. At all blocks . Different in place </t>
  </si>
  <si>
    <t>34a-s-6.0/6.1/6.3/6.5_34a</t>
  </si>
  <si>
    <t>Block 2, instead of 2e</t>
  </si>
  <si>
    <t>4-s-8/10_4</t>
  </si>
  <si>
    <t>2-s-14/16_2</t>
  </si>
  <si>
    <t>32-s-4/6_32</t>
  </si>
  <si>
    <t>arpr combined 2E-3E-4E-6E ( 5MMSTB TO 13 MMSTB)</t>
  </si>
  <si>
    <t>36-s-4/6_36</t>
  </si>
  <si>
    <t>ARPR  ONLY 1,23 FBs . But the RFI excel is 6 e ( 11 MM STB VS 183 MMSTB) . So retain</t>
  </si>
  <si>
    <t>5-s-14/16_5</t>
  </si>
  <si>
    <t>ARPR reservoir K1/K5</t>
  </si>
  <si>
    <t>33-s-8/9/10_33</t>
  </si>
  <si>
    <t xml:space="preserve">North blocks </t>
  </si>
  <si>
    <t>32-s-8/10_32</t>
  </si>
  <si>
    <t xml:space="preserve">the in place is lower </t>
  </si>
  <si>
    <t>33n-s-8/11_33n</t>
  </si>
  <si>
    <t>in place is updated</t>
  </si>
  <si>
    <t>4-s-11/13_4</t>
  </si>
  <si>
    <t>BARAM_4-s-11/13_4</t>
  </si>
  <si>
    <t>4-s-14/16_4</t>
  </si>
  <si>
    <t>32-s-11/16_32</t>
  </si>
  <si>
    <t xml:space="preserve">No inplace is recorded 0 . Will retain the original </t>
  </si>
  <si>
    <t>36-s-11/16_36</t>
  </si>
  <si>
    <t>updated in place in ARPR</t>
  </si>
  <si>
    <t>33-s-11/16_33</t>
  </si>
  <si>
    <t>rmrn</t>
  </si>
  <si>
    <t>BARONIA_rmrn</t>
  </si>
  <si>
    <t>WATGAS</t>
  </si>
  <si>
    <t>rrrs_main</t>
  </si>
  <si>
    <t>BARONIA_rrrs_main</t>
  </si>
  <si>
    <t>rv2_main</t>
  </si>
  <si>
    <t>BARONIA_rv2_main</t>
  </si>
  <si>
    <t>Baronia Barat</t>
  </si>
  <si>
    <t>rt1.1/1.2_block sk15</t>
  </si>
  <si>
    <t>BARONIA B_rt1.1/1.2_block sk15</t>
  </si>
  <si>
    <t>rt2.0_block sk15</t>
  </si>
  <si>
    <t>BARONIA B_rt2.0_block sk15</t>
  </si>
  <si>
    <t>Bayan</t>
  </si>
  <si>
    <t>s0_west bayan</t>
  </si>
  <si>
    <t xml:space="preserve">why ARPR is zero?retain </t>
  </si>
  <si>
    <t>s0_north west bayan (5w123)</t>
  </si>
  <si>
    <t>ciii_north west bayan (blk 5e)</t>
  </si>
  <si>
    <t>0</t>
  </si>
  <si>
    <t>ciii_west bayan (blk 2b)</t>
  </si>
  <si>
    <t>s2_west bayan (blk 1/4)</t>
  </si>
  <si>
    <t>s2_west bayan (blk 2b)</t>
  </si>
  <si>
    <t>s3.4_north west bayan 5w123</t>
  </si>
  <si>
    <t>GAS</t>
  </si>
  <si>
    <t>block 6 &amp; 23</t>
  </si>
  <si>
    <t>s3.4_north west bayan blk 3</t>
  </si>
  <si>
    <t>s2_north west bayan (5w123)</t>
  </si>
  <si>
    <t>s2_north west bayan (blk 3)</t>
  </si>
  <si>
    <t>s2_north west bayan (blk 5e)</t>
  </si>
  <si>
    <t>s3.8 &amp; s4.5_west bayan (blk 1/4)</t>
  </si>
  <si>
    <t>s7.2_west bayan (blk 1)</t>
  </si>
  <si>
    <t>s7.4_west bayan (blk 1)</t>
  </si>
  <si>
    <t>s7.0-s7.3_north bayan</t>
  </si>
  <si>
    <t>s7.4-s7.7_north bayan</t>
  </si>
  <si>
    <t>Bekok</t>
  </si>
  <si>
    <t>j15</t>
  </si>
  <si>
    <t>j18/19/20</t>
  </si>
  <si>
    <t>arpr - reservoir 1A, block 3</t>
  </si>
  <si>
    <t>j30/40</t>
  </si>
  <si>
    <t>k20/25</t>
  </si>
  <si>
    <t>k30</t>
  </si>
  <si>
    <t>Bestari</t>
  </si>
  <si>
    <t>lower kamunsu_central (cqd)</t>
  </si>
  <si>
    <t>H1,H2,H3</t>
  </si>
  <si>
    <t>l2.0/l3.0_1</t>
  </si>
  <si>
    <t>l6.0_1</t>
  </si>
  <si>
    <t>l6.5/l7.0_1</t>
  </si>
  <si>
    <t>m3.0_1</t>
  </si>
  <si>
    <t>m5.0_1</t>
  </si>
  <si>
    <t>m7.0_1</t>
  </si>
  <si>
    <t>a1.4b - a2.0_1</t>
  </si>
  <si>
    <t>BOKOR_a1.4b - a2.0_1</t>
  </si>
  <si>
    <t>a3.0 - a7.0_1</t>
  </si>
  <si>
    <t>b1.0 - b9.0_1</t>
  </si>
  <si>
    <t>c3.0 - c5.0_1</t>
  </si>
  <si>
    <t>d1.0 - d3.2_1</t>
  </si>
  <si>
    <t>e1.0 - e7.0_1</t>
  </si>
  <si>
    <t>NONE/WAT</t>
  </si>
  <si>
    <t>g1.0 - g5.0_1</t>
  </si>
  <si>
    <t>e8.0 - f6.2_1</t>
  </si>
  <si>
    <t>h1.0 - h5.6_1</t>
  </si>
  <si>
    <t>BOKOR_h1.0 - h5.6_1</t>
  </si>
  <si>
    <t>i1.0 - i9.1_1</t>
  </si>
  <si>
    <t>BOKOR_i1.0 - i9.1_1</t>
  </si>
  <si>
    <t>j1.0 - j8.5_1</t>
  </si>
  <si>
    <t>BOKOR_j1.0 - j8.5_1</t>
  </si>
  <si>
    <t>k1.0 - k4.0_1</t>
  </si>
  <si>
    <t>l1.0 - l4.1_1</t>
  </si>
  <si>
    <t>Updated</t>
  </si>
  <si>
    <t>n1.0_1</t>
  </si>
  <si>
    <t>D12</t>
  </si>
  <si>
    <t>zone-5-101_101</t>
  </si>
  <si>
    <t>zone-5-103_103</t>
  </si>
  <si>
    <t>m10/m20_r32</t>
  </si>
  <si>
    <t>D18_m10/m20_r32</t>
  </si>
  <si>
    <t>cii_top/ul40/41/42/45/m10/20_46-85</t>
  </si>
  <si>
    <t>cii_top/ul40/41/42/45_45</t>
  </si>
  <si>
    <t>m10/m20_7-21</t>
  </si>
  <si>
    <t>m20/m24_58-59</t>
  </si>
  <si>
    <t>m24_22</t>
  </si>
  <si>
    <t>m30/m34_49-56</t>
  </si>
  <si>
    <t>m30/m34_r50-61</t>
  </si>
  <si>
    <t>m30_43</t>
  </si>
  <si>
    <t>m20/m24_r4-6</t>
  </si>
  <si>
    <t>cii_top_to_m40_10-17</t>
  </si>
  <si>
    <t>K1,K2</t>
  </si>
  <si>
    <t>m44_34</t>
  </si>
  <si>
    <t>lower Np</t>
  </si>
  <si>
    <t>m30/m34/m40_2-66</t>
  </si>
  <si>
    <t>m34_65</t>
  </si>
  <si>
    <t>m44_25</t>
  </si>
  <si>
    <t>L1,L2,L3,L4</t>
  </si>
  <si>
    <t>m10/m20/m24/m30/m34/m40_54-62-63</t>
  </si>
  <si>
    <t>ciia_fb4a</t>
  </si>
  <si>
    <t>ciia_fb6</t>
  </si>
  <si>
    <t>ciib_fb5</t>
  </si>
  <si>
    <t>ciib_fb6</t>
  </si>
  <si>
    <t>ciic_fb3</t>
  </si>
  <si>
    <t>ciic_fb5</t>
  </si>
  <si>
    <t>m34</t>
  </si>
  <si>
    <t>M1,M2,M3,M4</t>
  </si>
  <si>
    <t>m40 (d28.2/op1</t>
  </si>
  <si>
    <t>D34</t>
  </si>
  <si>
    <t>m10</t>
  </si>
  <si>
    <t>update EUR ( CR only</t>
  </si>
  <si>
    <t>iii-b1_south east tank13a</t>
  </si>
  <si>
    <t>iii-m2_n.west tank 12</t>
  </si>
  <si>
    <t>iii-m2_north</t>
  </si>
  <si>
    <t>N1,N2,N3,N4,N5,N6,N7</t>
  </si>
  <si>
    <t>iii-m2_south</t>
  </si>
  <si>
    <t>ii-m2</t>
  </si>
  <si>
    <t>ii-sheets_main culmination</t>
  </si>
  <si>
    <t>e20/22_se1</t>
  </si>
  <si>
    <t>e23_se1</t>
  </si>
  <si>
    <t>e2_east</t>
  </si>
  <si>
    <t>e6/7/8_east</t>
  </si>
  <si>
    <t>e1/2_s1</t>
  </si>
  <si>
    <t>ld1/2/3_n1</t>
  </si>
  <si>
    <t>ld1/2/3_n2</t>
  </si>
  <si>
    <t>ld1/2/3_n3b</t>
  </si>
  <si>
    <t>ld1/2/3_n3c</t>
  </si>
  <si>
    <t>ld1/2/3_n3d</t>
  </si>
  <si>
    <t>ld1/2/3_s1</t>
  </si>
  <si>
    <t>ld1/2/3_se1</t>
  </si>
  <si>
    <t>e1/2_n1</t>
  </si>
  <si>
    <t>e1/2_n2</t>
  </si>
  <si>
    <t>e1/2_n3b</t>
  </si>
  <si>
    <t>e1/2_n3c</t>
  </si>
  <si>
    <t>e1/2_n3e</t>
  </si>
  <si>
    <t>e1/2_se1</t>
  </si>
  <si>
    <t>e1/2_se2</t>
  </si>
  <si>
    <t>e10/11/12/13/14_east</t>
  </si>
  <si>
    <t>e1/2_s2</t>
  </si>
  <si>
    <t>e1/2_viii</t>
  </si>
  <si>
    <t>e32/34/36_s2</t>
  </si>
  <si>
    <t>n5 as well</t>
  </si>
  <si>
    <t>e40/42_s1</t>
  </si>
  <si>
    <t>e40/42_s2</t>
  </si>
  <si>
    <t>e6/7/8_s1</t>
  </si>
  <si>
    <t>e6/7/8_s2</t>
  </si>
  <si>
    <t>e6/7/8_se2</t>
  </si>
  <si>
    <t>e6/7/8_viii</t>
  </si>
  <si>
    <t>ld1/2/3_s2</t>
  </si>
  <si>
    <t>e6/7/8_se1</t>
  </si>
  <si>
    <t>e1/2_ix</t>
  </si>
  <si>
    <t>No block 19 entry</t>
  </si>
  <si>
    <t>e1/2_s3_n3a</t>
  </si>
  <si>
    <t>e10/11/12/13/14_n1</t>
  </si>
  <si>
    <t>e10/11/12/13/14_n2</t>
  </si>
  <si>
    <t>e10/11/12/13/14_n3b</t>
  </si>
  <si>
    <t>e10/11/12/13/14_n3c</t>
  </si>
  <si>
    <t>e10/11/12/13/14_n3d</t>
  </si>
  <si>
    <t>np is reduced</t>
  </si>
  <si>
    <t>e10/11/12/13/14_n3e</t>
  </si>
  <si>
    <t xml:space="preserve">done. change stooip </t>
  </si>
  <si>
    <t>e10/11/12/13/14_s2</t>
  </si>
  <si>
    <t>e10/11/12/13/14_s3_n3a</t>
  </si>
  <si>
    <t>e10/11/12/13/14_se1</t>
  </si>
  <si>
    <t>arpr combined m&amp;n reservoirs. There 4 million CR unaccounted</t>
  </si>
  <si>
    <t>e10/11/12/13/14_se2</t>
  </si>
  <si>
    <t>e20/22_s3_n3a</t>
  </si>
  <si>
    <t>e23_s3_n3a</t>
  </si>
  <si>
    <t>e32/34/36_s3_n3a</t>
  </si>
  <si>
    <t>e6/7/8_n3c</t>
  </si>
  <si>
    <t>e6/7/8_n3d</t>
  </si>
  <si>
    <t>e6/7/8_s3_n3a</t>
  </si>
  <si>
    <t>ld1/2/3_s3_n3a</t>
  </si>
  <si>
    <t>e10/11/12/13/14_s1</t>
  </si>
  <si>
    <t>e10/11/12/13/14_ix</t>
  </si>
  <si>
    <t>e10/11/12/13/14_viii</t>
  </si>
  <si>
    <t>e20/22_n2</t>
  </si>
  <si>
    <t>e20_east</t>
  </si>
  <si>
    <t>e20/22_se2</t>
  </si>
  <si>
    <t>e23_se2</t>
  </si>
  <si>
    <t>e32/34/36_n3d_n3e_se1</t>
  </si>
  <si>
    <t>e32/34/36_s1</t>
  </si>
  <si>
    <t>e32/34/36_se2</t>
  </si>
  <si>
    <t>e6/7/8_n1</t>
  </si>
  <si>
    <t>e6/7/8_n2</t>
  </si>
  <si>
    <t>CIIM30(M30,M34,M36,M40,M44)</t>
  </si>
  <si>
    <t>e6/7/8_n3b</t>
  </si>
  <si>
    <t>remove this already combined with M34</t>
  </si>
  <si>
    <t>e6/7/8_ix</t>
  </si>
  <si>
    <t>e23_east</t>
  </si>
  <si>
    <t>e22_east</t>
  </si>
  <si>
    <t>e32_east</t>
  </si>
  <si>
    <t>e32/34/36_n1</t>
  </si>
  <si>
    <t>e32/34/36_n3c</t>
  </si>
  <si>
    <t>e32/40_east</t>
  </si>
  <si>
    <t>e40/42_east</t>
  </si>
  <si>
    <t>e40/42_n3b</t>
  </si>
  <si>
    <t>e40/42_n3d</t>
  </si>
  <si>
    <t>e47/51_east</t>
  </si>
  <si>
    <t>Erb West</t>
  </si>
  <si>
    <t>m4/4.5_1</t>
  </si>
  <si>
    <t>m4/4.5_2a</t>
  </si>
  <si>
    <t>m4/4.5_2b</t>
  </si>
  <si>
    <t>m4/4.5_3</t>
  </si>
  <si>
    <t>ARPR DOES NOT SEG NORTH &amp; SOUTH. Retain Np . Unknown CR</t>
  </si>
  <si>
    <t>n 2/3/4/5/6/7/8_1</t>
  </si>
  <si>
    <t>n 2/3/4/5/6/7/8_2a</t>
  </si>
  <si>
    <t>ARPR in place is lower</t>
  </si>
  <si>
    <t>n 2/3/4/5/6/7/8_2b</t>
  </si>
  <si>
    <t>n 2/3/4/5/6/7/8_3</t>
  </si>
  <si>
    <t>north eastern_1a2</t>
  </si>
  <si>
    <t>north eastern_1a3/1a4</t>
  </si>
  <si>
    <t>north eastern_1a5</t>
  </si>
  <si>
    <t>Fairley Baram</t>
  </si>
  <si>
    <t>l1.0_50s</t>
  </si>
  <si>
    <t>n3.0_50s</t>
  </si>
  <si>
    <t>o5.0_50s</t>
  </si>
  <si>
    <t>p1.0_50n</t>
  </si>
  <si>
    <t>p1.0_50s</t>
  </si>
  <si>
    <t>p2.0_50n</t>
  </si>
  <si>
    <t>p2.0_50s</t>
  </si>
  <si>
    <t>o5.0_50n</t>
  </si>
  <si>
    <t>name arpr  RR2/RS2</t>
  </si>
  <si>
    <t>p4.0_50n</t>
  </si>
  <si>
    <t>p4.0_50s</t>
  </si>
  <si>
    <t>p5.0_5.5_50n</t>
  </si>
  <si>
    <t>p5.0_5.5_50s</t>
  </si>
  <si>
    <t>p6.0_50n</t>
  </si>
  <si>
    <t>q1.0_50n</t>
  </si>
  <si>
    <t>q6.0_6.1_50</t>
  </si>
  <si>
    <t>r1.0_3.0_50</t>
  </si>
  <si>
    <t>J4</t>
  </si>
  <si>
    <t>c2a</t>
  </si>
  <si>
    <t>c2b/b1</t>
  </si>
  <si>
    <t>cycle-3</t>
  </si>
  <si>
    <t>Reduced Np</t>
  </si>
  <si>
    <t>Jangas</t>
  </si>
  <si>
    <t>h115</t>
  </si>
  <si>
    <t>update stoip. Done</t>
  </si>
  <si>
    <t>h115a</t>
  </si>
  <si>
    <t>h115b</t>
  </si>
  <si>
    <t>h120</t>
  </si>
  <si>
    <t>h130</t>
  </si>
  <si>
    <t>h136</t>
  </si>
  <si>
    <t>h136a</t>
  </si>
  <si>
    <t>h136b</t>
  </si>
  <si>
    <t>h140</t>
  </si>
  <si>
    <t>h145</t>
  </si>
  <si>
    <t>Kental</t>
  </si>
  <si>
    <t>kamunsu a</t>
  </si>
  <si>
    <t>kamunsu b</t>
  </si>
  <si>
    <t>kamunsu h</t>
  </si>
  <si>
    <t>kinarut a</t>
  </si>
  <si>
    <t>lower kamunsu e.1</t>
  </si>
  <si>
    <t>lower kamunsu e.2</t>
  </si>
  <si>
    <t>lower kamunsu e.3</t>
  </si>
  <si>
    <t>kinarut b</t>
  </si>
  <si>
    <t>kinarut c</t>
  </si>
  <si>
    <t>kinarut d</t>
  </si>
  <si>
    <t>kinarut e</t>
  </si>
  <si>
    <t>Limbayong</t>
  </si>
  <si>
    <t>upper kinarut_central</t>
  </si>
  <si>
    <t>LMBY_upper kinarut_central</t>
  </si>
  <si>
    <t>lower kinarut_east</t>
  </si>
  <si>
    <t>LMBY_lower kinarut_east</t>
  </si>
  <si>
    <t>North Lukut</t>
  </si>
  <si>
    <t>j-80</t>
  </si>
  <si>
    <t>ARPR  Wbayan S0.0</t>
  </si>
  <si>
    <t>Padang</t>
  </si>
  <si>
    <t>k-5</t>
  </si>
  <si>
    <t>Penara</t>
  </si>
  <si>
    <t>k-10u</t>
  </si>
  <si>
    <t>k-10u/l_d</t>
  </si>
  <si>
    <t>k-10l</t>
  </si>
  <si>
    <t>k-20_a &amp; d</t>
  </si>
  <si>
    <t>k-50_a &amp; d</t>
  </si>
  <si>
    <t>Pulai</t>
  </si>
  <si>
    <t>k10</t>
  </si>
  <si>
    <t>k20_30</t>
  </si>
  <si>
    <t>WI,W2,W3</t>
  </si>
  <si>
    <t>Puteri</t>
  </si>
  <si>
    <t>k-10</t>
  </si>
  <si>
    <t>k-15</t>
  </si>
  <si>
    <t>1/1a - j1.0/4.0</t>
  </si>
  <si>
    <t>1/1a - k5.0</t>
  </si>
  <si>
    <t>Block 46-85. updated in place</t>
  </si>
  <si>
    <t>1/1a- m1.0</t>
  </si>
  <si>
    <t>Block 45 . Done</t>
  </si>
  <si>
    <t>1/1a- m3.0</t>
  </si>
  <si>
    <t>1/1a- m4.0/7.0</t>
  </si>
  <si>
    <t>update in place done</t>
  </si>
  <si>
    <t>1/1a- n1.0</t>
  </si>
  <si>
    <t>2- f2.0/3.0</t>
  </si>
  <si>
    <t>2- f3.5</t>
  </si>
  <si>
    <t xml:space="preserve">update IN PLACE </t>
  </si>
  <si>
    <t>2- f4.0</t>
  </si>
  <si>
    <t>STOIIP is too low for new . From 29 to 3</t>
  </si>
  <si>
    <t>2- j1.0/4.0</t>
  </si>
  <si>
    <t>2- k5.0/7.0</t>
  </si>
  <si>
    <t>2- m1.0</t>
  </si>
  <si>
    <t>2- m4.0/7.0</t>
  </si>
  <si>
    <t>2a- f2.0/3.0</t>
  </si>
  <si>
    <t>2a- g4.0/5.0</t>
  </si>
  <si>
    <t>2a- g7.0/8.0</t>
  </si>
  <si>
    <t>reduced Np</t>
  </si>
  <si>
    <t>2a- h1.0/2.0</t>
  </si>
  <si>
    <t xml:space="preserve">reduced Np </t>
  </si>
  <si>
    <t>2a- h3.0</t>
  </si>
  <si>
    <t>2a- h4.0</t>
  </si>
  <si>
    <t>2a- i1.0</t>
  </si>
  <si>
    <t>2a- j1.0/4.0</t>
  </si>
  <si>
    <t>2a- k5.0/7.0</t>
  </si>
  <si>
    <t>np is lower</t>
  </si>
  <si>
    <t>2a- m4.0/7.0</t>
  </si>
  <si>
    <t>ARPR : S0.0 NWBayan</t>
  </si>
  <si>
    <t>2e- k5.0</t>
  </si>
  <si>
    <t>2e-3e k1.0</t>
  </si>
  <si>
    <t>2e-4e k5.0</t>
  </si>
  <si>
    <t>ARPR res : CIII-3</t>
  </si>
  <si>
    <t>3- k5.0/7.0</t>
  </si>
  <si>
    <t>ARPR res : CIII-2</t>
  </si>
  <si>
    <t>3- m4.0/7.0</t>
  </si>
  <si>
    <t>ARPR : S2.2 &amp; S2.6 reservoirs. Block 1 &amp; 4</t>
  </si>
  <si>
    <t>6e- j1.0/4.5</t>
  </si>
  <si>
    <t>No entry  for block 2b in ARPR. Used S2.2 &amp; S2.6</t>
  </si>
  <si>
    <t>6e- k5.0/7.0</t>
  </si>
  <si>
    <t>7e- k1.0</t>
  </si>
  <si>
    <t>n- q3.0/q6.0/q7.0</t>
  </si>
  <si>
    <t>s- o1.0</t>
  </si>
  <si>
    <t>s- p1.0</t>
  </si>
  <si>
    <t>s- q3.0/q6.0/q7.0</t>
  </si>
  <si>
    <t>s- q8.0</t>
  </si>
  <si>
    <t>s- r1.0</t>
  </si>
  <si>
    <t>s- s1.0</t>
  </si>
  <si>
    <t>Sepat</t>
  </si>
  <si>
    <t>d50</t>
  </si>
  <si>
    <t>e6/7</t>
  </si>
  <si>
    <t>this is FB 34A not 34 s</t>
  </si>
  <si>
    <t>d55</t>
  </si>
  <si>
    <t>in plac is different</t>
  </si>
  <si>
    <t>d60</t>
  </si>
  <si>
    <t>e8</t>
  </si>
  <si>
    <t>Siwa</t>
  </si>
  <si>
    <t>e7.0_1</t>
  </si>
  <si>
    <t>g1.0_1</t>
  </si>
  <si>
    <t>SIWA_g1.0_1</t>
  </si>
  <si>
    <t>g6.1_1</t>
  </si>
  <si>
    <t xml:space="preserve">No Np </t>
  </si>
  <si>
    <t>j5.0_1</t>
  </si>
  <si>
    <t>j9.2_1</t>
  </si>
  <si>
    <t>k1.0_1</t>
  </si>
  <si>
    <t>Sumandak Main</t>
  </si>
  <si>
    <t>u 2.0 - u 4.0</t>
  </si>
  <si>
    <t>SMDK M_u 2.0 - u 4.0</t>
  </si>
  <si>
    <t>u 5.0 - u 6.0</t>
  </si>
  <si>
    <t>SMDK M_u 5.0 - u 6.0</t>
  </si>
  <si>
    <t>u 1.0 - u 1.2</t>
  </si>
  <si>
    <t>SMDK M_u 1.0 - u 1.2</t>
  </si>
  <si>
    <t>Sumandak Selatan</t>
  </si>
  <si>
    <t>u9.0</t>
  </si>
  <si>
    <t>SMDK S_u9.0</t>
  </si>
  <si>
    <t>NON PSC. STOOIP higher</t>
  </si>
  <si>
    <t>u9.1</t>
  </si>
  <si>
    <t>SMDK S_u9.1</t>
  </si>
  <si>
    <t>u9.2</t>
  </si>
  <si>
    <t>SMDK S_u9.2</t>
  </si>
  <si>
    <t>Sumandak Tepi</t>
  </si>
  <si>
    <t>mid u6.0-9.0</t>
  </si>
  <si>
    <t>SMDK T_mid u6.0-9.0</t>
  </si>
  <si>
    <t>mid u9.2</t>
  </si>
  <si>
    <t>SMDK T_mid u9.2</t>
  </si>
  <si>
    <t>no arpr input</t>
  </si>
  <si>
    <t>h30_8-h30</t>
  </si>
  <si>
    <t>TEMANA_h30_8-h30</t>
  </si>
  <si>
    <t>h47_8-h47</t>
  </si>
  <si>
    <t>h47_6/7 - h47</t>
  </si>
  <si>
    <t>h_6/7 - h21</t>
  </si>
  <si>
    <t>TEMANA_h_6/7 - h21</t>
  </si>
  <si>
    <t>h_6/7-h15</t>
  </si>
  <si>
    <t>h_6/7 - h20</t>
  </si>
  <si>
    <t>h_6/7 - h22</t>
  </si>
  <si>
    <t>TEMANA_h_6/7 - h22</t>
  </si>
  <si>
    <t>h_6/7-h25</t>
  </si>
  <si>
    <t>h45_6/7</t>
  </si>
  <si>
    <t>h21/h22_11</t>
  </si>
  <si>
    <t>h25/h30_12</t>
  </si>
  <si>
    <t>REG FLEG Np is bigger than STOOIP</t>
  </si>
  <si>
    <t>h_11 - h45</t>
  </si>
  <si>
    <t>TEMANA_h_11 - h45</t>
  </si>
  <si>
    <t>h21/h22_10</t>
  </si>
  <si>
    <t>h25_10</t>
  </si>
  <si>
    <t>h_6/7-h30</t>
  </si>
  <si>
    <t>h25/h30/h45_11</t>
  </si>
  <si>
    <t>TEMANA_h25/h30/h45_11</t>
  </si>
  <si>
    <t>h65_9</t>
  </si>
  <si>
    <t xml:space="preserve">no info in ARPR </t>
  </si>
  <si>
    <t>h45_10</t>
  </si>
  <si>
    <t xml:space="preserve">updated in place </t>
  </si>
  <si>
    <t>i17_8</t>
  </si>
  <si>
    <t>i10_10</t>
  </si>
  <si>
    <t>i16_8</t>
  </si>
  <si>
    <t>TEMANA_i16_8</t>
  </si>
  <si>
    <t>NWBayanBlock 3</t>
  </si>
  <si>
    <t>h60/65_10</t>
  </si>
  <si>
    <t>i16_6/23</t>
  </si>
  <si>
    <t>h21_5 - h21</t>
  </si>
  <si>
    <t>Done</t>
  </si>
  <si>
    <t>i20/21/22_13</t>
  </si>
  <si>
    <t>i20/i21/i22_8</t>
  </si>
  <si>
    <t>h15/h20_5</t>
  </si>
  <si>
    <t>i68_17</t>
  </si>
  <si>
    <t>j20_21</t>
  </si>
  <si>
    <t>j_19 - j25</t>
  </si>
  <si>
    <t>h_6 - h60</t>
  </si>
  <si>
    <t>h_6 - h65</t>
  </si>
  <si>
    <t>No Np in ARPR</t>
  </si>
  <si>
    <t>i10_6/23 - i10</t>
  </si>
  <si>
    <t>for all FB . Not just 21</t>
  </si>
  <si>
    <t>i12_6/23</t>
  </si>
  <si>
    <t>i14_6/23</t>
  </si>
  <si>
    <t>i15_6/23</t>
  </si>
  <si>
    <t>i17_6/23 - i17</t>
  </si>
  <si>
    <t>i19_23</t>
  </si>
  <si>
    <t>j25_21</t>
  </si>
  <si>
    <t xml:space="preserve">Reduced Np </t>
  </si>
  <si>
    <t>i_15-i17</t>
  </si>
  <si>
    <t>i35_14</t>
  </si>
  <si>
    <t>i12_11</t>
  </si>
  <si>
    <t>i14/15/16/17/19_11</t>
  </si>
  <si>
    <t xml:space="preserve">done </t>
  </si>
  <si>
    <t>j10/12/15_18</t>
  </si>
  <si>
    <t>i_14-i60</t>
  </si>
  <si>
    <t>h_5-h25</t>
  </si>
  <si>
    <t>i25/30/35/40_13</t>
  </si>
  <si>
    <t>j20_18 j20</t>
  </si>
  <si>
    <t>i_5 - i22</t>
  </si>
  <si>
    <t>j20_19</t>
  </si>
  <si>
    <t>i35_8/9</t>
  </si>
  <si>
    <t>i40_9</t>
  </si>
  <si>
    <t>i14/i15/i16/i17_10</t>
  </si>
  <si>
    <t>i40_15</t>
  </si>
  <si>
    <t>where is the in place???</t>
  </si>
  <si>
    <t>j30_21</t>
  </si>
  <si>
    <t>j40_20</t>
  </si>
  <si>
    <t>i30_15</t>
  </si>
  <si>
    <t>i35_15</t>
  </si>
  <si>
    <t>i_14-i68</t>
  </si>
  <si>
    <t>i21_23</t>
  </si>
  <si>
    <t>i22_23</t>
  </si>
  <si>
    <t>i20_23</t>
  </si>
  <si>
    <t>j10/12/15_21</t>
  </si>
  <si>
    <t>h65_5- h65</t>
  </si>
  <si>
    <t>i_17-i60</t>
  </si>
  <si>
    <t>i65_9</t>
  </si>
  <si>
    <t>j40_19</t>
  </si>
  <si>
    <t>i20_11</t>
  </si>
  <si>
    <t>i30_23</t>
  </si>
  <si>
    <t>i16_5</t>
  </si>
  <si>
    <t>i17_5</t>
  </si>
  <si>
    <t>i35_5 - i35</t>
  </si>
  <si>
    <t>i30/35_11</t>
  </si>
  <si>
    <t>S2.2 &amp; S2.6</t>
  </si>
  <si>
    <t>i40_23</t>
  </si>
  <si>
    <t>S2.2  &amp; S2.6</t>
  </si>
  <si>
    <t>i25/i30/i35/i40_6</t>
  </si>
  <si>
    <t>j_16-j20</t>
  </si>
  <si>
    <t xml:space="preserve">low in place. </t>
  </si>
  <si>
    <t>j_16-j25</t>
  </si>
  <si>
    <t>i40_11</t>
  </si>
  <si>
    <t>i_11 - i60</t>
  </si>
  <si>
    <t>i12_5</t>
  </si>
  <si>
    <t>j12/j15_15</t>
  </si>
  <si>
    <t xml:space="preserve">??????. No entry </t>
  </si>
  <si>
    <t>j27/j28_16</t>
  </si>
  <si>
    <t>j27/28_21</t>
  </si>
  <si>
    <t>h48_23</t>
  </si>
  <si>
    <t>i_16-i65</t>
  </si>
  <si>
    <t>i_23 - i60</t>
  </si>
  <si>
    <t>i68_16</t>
  </si>
  <si>
    <t xml:space="preserve">3.8, 4.4, 4.5 ( BLOCK1  &amp; 4 ) </t>
  </si>
  <si>
    <t>i25/i30/i35/i40/i50_10</t>
  </si>
  <si>
    <t>i20_5</t>
  </si>
  <si>
    <t>missing n3e and se1</t>
  </si>
  <si>
    <t>i25_11</t>
  </si>
  <si>
    <t>no entry in ARPR. Retain entry</t>
  </si>
  <si>
    <t>i65_11</t>
  </si>
  <si>
    <t>i60/i65_6</t>
  </si>
  <si>
    <t>j_15 - j10</t>
  </si>
  <si>
    <t>i68_5</t>
  </si>
  <si>
    <t>i21_5</t>
  </si>
  <si>
    <t>i68_11</t>
  </si>
  <si>
    <t>j10/j15_16</t>
  </si>
  <si>
    <t>j47/47b/47f/47h/50_21</t>
  </si>
  <si>
    <t>j55/j82/j84_21</t>
  </si>
  <si>
    <t>j25/j27/j28/j30_5</t>
  </si>
  <si>
    <t>no np</t>
  </si>
  <si>
    <t>j_5 - j20</t>
  </si>
  <si>
    <t>j40_5</t>
  </si>
  <si>
    <t>j46_5</t>
  </si>
  <si>
    <t>j35/36/40/41/43_12</t>
  </si>
  <si>
    <t>j46/47/47f/47h_12</t>
  </si>
  <si>
    <t>j_12 - j50</t>
  </si>
  <si>
    <t>k25/k30_21</t>
  </si>
  <si>
    <t>k45_12</t>
  </si>
  <si>
    <t>k42/45_6</t>
  </si>
  <si>
    <t>Tembungo</t>
  </si>
  <si>
    <t>nerritics_b2</t>
  </si>
  <si>
    <t>TEMBUNGO_nerritics_b2</t>
  </si>
  <si>
    <t>nerritics_ii</t>
  </si>
  <si>
    <t>u1_iv</t>
  </si>
  <si>
    <t>u3.1_iv</t>
  </si>
  <si>
    <t>u3.2_iv</t>
  </si>
  <si>
    <t xml:space="preserve">pnding no ARPR info . Retain </t>
  </si>
  <si>
    <t>u3.3_iv</t>
  </si>
  <si>
    <t>l_iii</t>
  </si>
  <si>
    <t>WBayanWBK1</t>
  </si>
  <si>
    <t>m1_iii</t>
  </si>
  <si>
    <t>m2_iii</t>
  </si>
  <si>
    <t xml:space="preserve">for all area ( North, west, south grabn etc) </t>
  </si>
  <si>
    <t>u3.2_iii</t>
  </si>
  <si>
    <t>all fb</t>
  </si>
  <si>
    <t>l1_vii</t>
  </si>
  <si>
    <t>l2_vii</t>
  </si>
  <si>
    <t>no entry in ARPR. Retain Np for UR. No CR</t>
  </si>
  <si>
    <t>l3u_vii</t>
  </si>
  <si>
    <t>u3.2_vi</t>
  </si>
  <si>
    <t>u3.3_vi</t>
  </si>
  <si>
    <t>l1/l2_iv</t>
  </si>
  <si>
    <t>all blocks</t>
  </si>
  <si>
    <t>l3u_iv</t>
  </si>
  <si>
    <t>m2_iv</t>
  </si>
  <si>
    <t>m1_iv</t>
  </si>
  <si>
    <t xml:space="preserve">UPDATED IN PLACE </t>
  </si>
  <si>
    <t>m1_ii</t>
  </si>
  <si>
    <t>m2_ii</t>
  </si>
  <si>
    <t>u3.1_ii</t>
  </si>
  <si>
    <t>u3.3_ii</t>
  </si>
  <si>
    <t>l2_ii</t>
  </si>
  <si>
    <t>l3u_ii</t>
  </si>
  <si>
    <t>tst_ii</t>
  </si>
  <si>
    <t>ARPR in place is higher</t>
  </si>
  <si>
    <t>l1_i</t>
  </si>
  <si>
    <t>l2_i</t>
  </si>
  <si>
    <t>m1_i</t>
  </si>
  <si>
    <t>NBayanNBA, NWBayanBlock5E</t>
  </si>
  <si>
    <t>m2_i</t>
  </si>
  <si>
    <t>NBayanNBA</t>
  </si>
  <si>
    <t>u3.2_i</t>
  </si>
  <si>
    <t>u3.3_i</t>
  </si>
  <si>
    <t>l3l_i</t>
  </si>
  <si>
    <t>l3u_i</t>
  </si>
  <si>
    <t>j-15/16/18_main</t>
  </si>
  <si>
    <t>done. ALL BLOCK</t>
  </si>
  <si>
    <t>j-19/20_main</t>
  </si>
  <si>
    <t>no entry in ARPR. Retain Np. No info for CR</t>
  </si>
  <si>
    <t>Tiong/Kepong</t>
  </si>
  <si>
    <t>i-100/120</t>
  </si>
  <si>
    <t>j-18/19/20/21/30</t>
  </si>
  <si>
    <t>updated in place ( from C2-A1a to C2-A3)</t>
  </si>
  <si>
    <t>Tukau</t>
  </si>
  <si>
    <t>2-d9/e9_block 2</t>
  </si>
  <si>
    <t>upadate in place</t>
  </si>
  <si>
    <t>1-e9/f4.8_block 1</t>
  </si>
  <si>
    <t>2-f1/f6_block 2</t>
  </si>
  <si>
    <t>1ab-e6/f4.8_block 1ab</t>
  </si>
  <si>
    <t>1-f6/g6_block 1</t>
  </si>
  <si>
    <t>2-f8/g5.5_block 2</t>
  </si>
  <si>
    <t xml:space="preserve">PNLP no ARPR INFO . Update Np in FPC </t>
  </si>
  <si>
    <t>1ab-f6/g5.5_block 1ab</t>
  </si>
  <si>
    <t>2-i1/i6_block 2</t>
  </si>
  <si>
    <t>1ab-h1/h6_block 1ab</t>
  </si>
  <si>
    <t>2-i7/i9_block 2</t>
  </si>
  <si>
    <t>1-h1/h3.5_block 1</t>
  </si>
  <si>
    <t>1-h4/h9_block 1</t>
  </si>
  <si>
    <t>2-j2/j9_block 2</t>
  </si>
  <si>
    <t>1-i1/6_block 1</t>
  </si>
  <si>
    <t>Please update in FPC. No info in ARPR</t>
  </si>
  <si>
    <t>1-i7/9_block 1</t>
  </si>
  <si>
    <t>1-j1/9_block 1</t>
  </si>
  <si>
    <t>1-l5/n5.5_block 1</t>
  </si>
  <si>
    <t>c1_1</t>
  </si>
  <si>
    <t>WLUTONG_c1_1</t>
  </si>
  <si>
    <t>has to removed  Zone 5 is combined</t>
  </si>
  <si>
    <t>e3_1</t>
  </si>
  <si>
    <t>WLUTONG_e3_1</t>
  </si>
  <si>
    <t>f2_1</t>
  </si>
  <si>
    <t>g1_1</t>
  </si>
  <si>
    <t>h_1</t>
  </si>
  <si>
    <t>i0_1</t>
  </si>
  <si>
    <t>j0_1</t>
  </si>
  <si>
    <t>k_1</t>
  </si>
  <si>
    <t>l_1</t>
  </si>
  <si>
    <t>ok</t>
  </si>
  <si>
    <t>m_1</t>
  </si>
  <si>
    <t>n_1</t>
  </si>
  <si>
    <t>w1_1</t>
  </si>
  <si>
    <t>Zuhal East</t>
  </si>
  <si>
    <t>ivc 1a lower_fb1a</t>
  </si>
  <si>
    <t>5° 50' 0" N</t>
  </si>
  <si>
    <t>104° 8' 0" E</t>
  </si>
  <si>
    <t>6° 21' 04.70" N</t>
  </si>
  <si>
    <t>115° 40' 54.80"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</si>
</sst>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"/>
    <numFmt numFmtId="165" formatCode="yyyy\-mm\-dd"/>
  </numFmts>
  <fonts count="36">
    <font>
      <sz val="11"/>
      <name val="Carlito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4"/>
      <color rgb="FF005B50"/>
      <name val="Carlito"/>
    </font>
    <font>
      <b/>
      <sz val="11"/>
      <color rgb="FFFFFFFF"/>
      <name val="Carlito"/>
    </font>
    <font>
      <b/>
      <sz val="11"/>
      <color rgb="FF005B50"/>
      <name val="Carlito"/>
    </font>
    <font>
      <b/>
      <sz val="11"/>
      <name val="Carlito"/>
    </font>
    <font>
      <b/>
      <sz val="14"/>
      <color rgb="FF00796B"/>
      <name val="Carlito"/>
    </font>
    <font>
      <b/>
      <sz val="11"/>
      <color rgb="FF00796B"/>
      <name val="Carlito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4"/>
      <color rgb="FFFFFFFF"/>
      <name val="Aptos"/>
    </font>
    <font>
      <b/>
      <sz val="14"/>
      <color rgb="FF000000"/>
      <name val="Aptos"/>
    </font>
    <font>
      <sz val="14"/>
      <color rgb="FF000000"/>
      <name val="Aptos"/>
    </font>
    <font>
      <sz val="11"/>
      <color indexed="8"/>
      <name val="Calibri"/>
      <family val="2"/>
    </font>
    <font>
      <b/>
      <sz val="11"/>
      <name val="Calibri"/>
    </font>
    <font>
      <b/>
      <sz val="11"/>
      <color rgb="FFFF0000"/>
      <name val="Arial"/>
      <family val="2"/>
    </font>
    <font>
      <sz val="11"/>
      <color theme="1"/>
      <name val="Aptos Narrow"/>
      <family val="2"/>
    </font>
    <font>
      <sz val="11"/>
      <color rgb="FF000000"/>
      <name val="Aptos Narrow"/>
      <family val="2"/>
    </font>
    <font>
      <sz val="11"/>
      <color rgb="FF00B050"/>
      <name val="Aptos Narrow"/>
      <family val="2"/>
    </font>
    <font>
      <sz val="11"/>
      <color rgb="FFFF0000"/>
      <name val="Aptos Narrow"/>
      <family val="2"/>
    </font>
    <font>
      <vertAlign val="subscript"/>
      <sz val="11"/>
      <color theme="1"/>
      <name val="Aptos Narrow"/>
      <family val="2"/>
    </font>
    <font>
      <sz val="18"/>
      <color rgb="FFFF0000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vertAlign val="subscript"/>
      <sz val="9"/>
      <color theme="1"/>
      <name val="Arial"/>
      <family val="2"/>
    </font>
    <font>
      <sz val="8"/>
      <color theme="1"/>
      <name val="Arial"/>
      <family val="2"/>
    </font>
    <font>
      <vertAlign val="subscript"/>
      <sz val="8"/>
      <color theme="1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E0F2F1"/>
      </patternFill>
    </fill>
    <fill>
      <patternFill patternType="solid">
        <fgColor rgb="FF00796B"/>
      </patternFill>
    </fill>
    <fill>
      <patternFill patternType="solid">
        <fgColor rgb="FFFFFFFF"/>
      </patternFill>
    </fill>
    <fill>
      <patternFill patternType="solid">
        <fgColor rgb="FF00796B"/>
      </patternFill>
    </fill>
    <fill>
      <patternFill patternType="solid">
        <fgColor rgb="FFE0F2F1"/>
      </patternFill>
    </fill>
    <fill>
      <patternFill patternType="solid">
        <fgColor theme="0" tint="-0.249977111117893"/>
        <bgColor rgb="FFFFD966"/>
      </patternFill>
    </fill>
    <fill>
      <patternFill patternType="solid">
        <fgColor rgb="FFFFFFFF"/>
        <bgColor rgb="FFFFFFFF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59999389629810485"/>
        <bgColor theme="4" tint="0.79998168889431442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156082"/>
        <bgColor indexed="64"/>
      </patternFill>
    </fill>
    <fill>
      <patternFill patternType="solid">
        <fgColor rgb="FFCCD2D8"/>
        <bgColor indexed="64"/>
      </patternFill>
    </fill>
    <fill>
      <patternFill patternType="solid">
        <fgColor rgb="FFE7EAED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49992370372631"/>
        <bgColor indexed="64"/>
      </patternFill>
    </fill>
  </fills>
  <borders count="47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D9E1E6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10" fillId="0" borderId="1"/>
    <xf numFmtId="0" fontId="3" fillId="0" borderId="1"/>
    <xf numFmtId="0" fontId="2" fillId="0" borderId="1"/>
    <xf numFmtId="0" fontId="1" fillId="0" borderId="1"/>
  </cellStyleXfs>
  <cellXfs count="371">
    <xf numFmtId="0" fontId="0" fillId="0" borderId="0" xfId="0"/>
    <xf numFmtId="0" fontId="4" fillId="2" borderId="0" xfId="0" applyFont="1" applyFill="1"/>
    <xf numFmtId="0" fontId="5" fillId="3" borderId="0" xfId="0" applyFont="1" applyFill="1"/>
    <xf numFmtId="0" fontId="6" fillId="2" borderId="0" xfId="0" applyFont="1" applyFill="1"/>
    <xf numFmtId="0" fontId="0" fillId="0" borderId="0" xfId="0" applyAlignment="1">
      <alignment wrapText="1"/>
    </xf>
    <xf numFmtId="0" fontId="7" fillId="0" borderId="0" xfId="0" applyFont="1" applyAlignment="1">
      <alignment wrapText="1"/>
    </xf>
    <xf numFmtId="0" fontId="0" fillId="4" borderId="0" xfId="0" applyFill="1" applyAlignment="1">
      <alignment wrapText="1"/>
    </xf>
    <xf numFmtId="164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/>
    <xf numFmtId="164" fontId="0" fillId="0" borderId="0" xfId="0" applyNumberFormat="1" applyAlignment="1">
      <alignment wrapText="1"/>
    </xf>
    <xf numFmtId="0" fontId="4" fillId="2" borderId="0" xfId="0" applyFont="1" applyFill="1" applyAlignment="1">
      <alignment wrapText="1"/>
    </xf>
    <xf numFmtId="0" fontId="5" fillId="5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wrapText="1"/>
    </xf>
    <xf numFmtId="0" fontId="9" fillId="6" borderId="0" xfId="0" applyFont="1" applyFill="1" applyAlignment="1">
      <alignment wrapText="1"/>
    </xf>
    <xf numFmtId="0" fontId="9" fillId="6" borderId="0" xfId="0" applyFont="1" applyFill="1" applyAlignment="1">
      <alignment horizontal="center" wrapText="1"/>
    </xf>
    <xf numFmtId="0" fontId="11" fillId="0" borderId="1" xfId="1" applyFont="1" applyAlignment="1">
      <alignment wrapText="1"/>
    </xf>
    <xf numFmtId="0" fontId="10" fillId="0" borderId="1" xfId="1" applyAlignment="1">
      <alignment wrapText="1"/>
    </xf>
    <xf numFmtId="0" fontId="10" fillId="0" borderId="1" xfId="1"/>
    <xf numFmtId="0" fontId="12" fillId="7" borderId="2" xfId="1" applyFont="1" applyFill="1" applyBorder="1" applyAlignment="1">
      <alignment horizontal="center" vertical="center" wrapText="1"/>
    </xf>
    <xf numFmtId="0" fontId="12" fillId="7" borderId="2" xfId="1" applyFont="1" applyFill="1" applyBorder="1" applyAlignment="1">
      <alignment horizontal="center" vertical="center"/>
    </xf>
    <xf numFmtId="0" fontId="10" fillId="0" borderId="2" xfId="1" applyBorder="1" applyAlignment="1">
      <alignment wrapText="1"/>
    </xf>
    <xf numFmtId="0" fontId="10" fillId="0" borderId="2" xfId="1" applyBorder="1"/>
    <xf numFmtId="9" fontId="10" fillId="0" borderId="2" xfId="1" applyNumberFormat="1" applyBorder="1"/>
    <xf numFmtId="14" fontId="10" fillId="0" borderId="2" xfId="1" applyNumberFormat="1" applyBorder="1"/>
    <xf numFmtId="0" fontId="10" fillId="0" borderId="2" xfId="1" applyBorder="1" applyAlignment="1">
      <alignment horizontal="right"/>
    </xf>
    <xf numFmtId="0" fontId="13" fillId="0" borderId="1" xfId="1" applyFont="1" applyAlignment="1">
      <alignment horizontal="center" vertical="center" wrapText="1"/>
    </xf>
    <xf numFmtId="0" fontId="13" fillId="0" borderId="1" xfId="1" applyFont="1" applyAlignment="1">
      <alignment vertical="center" wrapText="1"/>
    </xf>
    <xf numFmtId="0" fontId="10" fillId="0" borderId="1" xfId="1" applyAlignment="1">
      <alignment vertical="center" wrapText="1"/>
    </xf>
    <xf numFmtId="17" fontId="10" fillId="0" borderId="2" xfId="1" applyNumberFormat="1" applyBorder="1"/>
    <xf numFmtId="165" fontId="10" fillId="0" borderId="2" xfId="1" applyNumberFormat="1" applyBorder="1" applyAlignment="1">
      <alignment horizontal="center"/>
    </xf>
    <xf numFmtId="0" fontId="13" fillId="0" borderId="1" xfId="1" applyFont="1" applyAlignment="1">
      <alignment wrapText="1"/>
    </xf>
    <xf numFmtId="0" fontId="0" fillId="8" borderId="3" xfId="0" applyFill="1" applyBorder="1" applyAlignment="1" applyProtection="1">
      <alignment horizontal="right"/>
      <protection locked="0"/>
    </xf>
    <xf numFmtId="0" fontId="17" fillId="0" borderId="1" xfId="2" applyFont="1" applyAlignment="1">
      <alignment horizontal="center" wrapText="1"/>
    </xf>
    <xf numFmtId="0" fontId="18" fillId="9" borderId="1" xfId="2" applyFont="1" applyFill="1" applyAlignment="1">
      <alignment horizontal="center" wrapText="1"/>
    </xf>
    <xf numFmtId="0" fontId="3" fillId="0" borderId="1" xfId="2" applyAlignment="1">
      <alignment horizontal="center" vertical="center" wrapText="1"/>
    </xf>
    <xf numFmtId="0" fontId="3" fillId="0" borderId="1" xfId="2"/>
    <xf numFmtId="0" fontId="18" fillId="9" borderId="4" xfId="2" applyFont="1" applyFill="1" applyBorder="1" applyAlignment="1">
      <alignment horizontal="center" wrapText="1"/>
    </xf>
    <xf numFmtId="164" fontId="3" fillId="0" borderId="1" xfId="2" applyNumberFormat="1" applyAlignment="1">
      <alignment horizontal="center" vertical="center" wrapText="1"/>
    </xf>
    <xf numFmtId="0" fontId="18" fillId="10" borderId="5" xfId="2" applyFont="1" applyFill="1" applyBorder="1" applyAlignment="1">
      <alignment horizontal="center" wrapText="1"/>
    </xf>
    <xf numFmtId="0" fontId="18" fillId="9" borderId="5" xfId="2" applyFont="1" applyFill="1" applyBorder="1" applyAlignment="1">
      <alignment horizontal="center" wrapText="1"/>
    </xf>
    <xf numFmtId="0" fontId="18" fillId="9" borderId="6" xfId="2" applyFont="1" applyFill="1" applyBorder="1" applyAlignment="1">
      <alignment horizontal="center" wrapText="1"/>
    </xf>
    <xf numFmtId="0" fontId="17" fillId="11" borderId="7" xfId="2" applyFont="1" applyFill="1" applyBorder="1" applyAlignment="1">
      <alignment horizontal="center" wrapText="1"/>
    </xf>
    <xf numFmtId="0" fontId="17" fillId="12" borderId="7" xfId="2" applyFont="1" applyFill="1" applyBorder="1" applyAlignment="1">
      <alignment horizontal="center" wrapText="1"/>
    </xf>
    <xf numFmtId="0" fontId="17" fillId="13" borderId="7" xfId="2" applyFont="1" applyFill="1" applyBorder="1" applyAlignment="1">
      <alignment horizontal="center" wrapText="1"/>
    </xf>
    <xf numFmtId="0" fontId="17" fillId="14" borderId="7" xfId="2" applyFont="1" applyFill="1" applyBorder="1" applyAlignment="1">
      <alignment horizontal="center" wrapText="1"/>
    </xf>
    <xf numFmtId="0" fontId="17" fillId="15" borderId="7" xfId="2" applyFont="1" applyFill="1" applyBorder="1" applyAlignment="1">
      <alignment horizontal="center" wrapText="1"/>
    </xf>
    <xf numFmtId="0" fontId="17" fillId="16" borderId="7" xfId="2" applyFont="1" applyFill="1" applyBorder="1" applyAlignment="1">
      <alignment horizontal="center" wrapText="1"/>
    </xf>
    <xf numFmtId="0" fontId="17" fillId="17" borderId="8" xfId="2" applyFont="1" applyFill="1" applyBorder="1" applyAlignment="1">
      <alignment horizontal="center" wrapText="1"/>
    </xf>
    <xf numFmtId="0" fontId="17" fillId="0" borderId="1" xfId="2" applyFont="1"/>
    <xf numFmtId="0" fontId="17" fillId="11" borderId="2" xfId="2" applyFont="1" applyFill="1" applyBorder="1" applyAlignment="1">
      <alignment horizontal="center" wrapText="1"/>
    </xf>
    <xf numFmtId="0" fontId="18" fillId="12" borderId="2" xfId="2" applyFont="1" applyFill="1" applyBorder="1" applyAlignment="1">
      <alignment horizontal="center" wrapText="1"/>
    </xf>
    <xf numFmtId="0" fontId="17" fillId="12" borderId="2" xfId="2" applyFont="1" applyFill="1" applyBorder="1" applyAlignment="1">
      <alignment horizontal="center" wrapText="1"/>
    </xf>
    <xf numFmtId="0" fontId="17" fillId="13" borderId="2" xfId="2" applyFont="1" applyFill="1" applyBorder="1" applyAlignment="1">
      <alignment horizontal="center" wrapText="1"/>
    </xf>
    <xf numFmtId="0" fontId="17" fillId="14" borderId="2" xfId="2" applyFont="1" applyFill="1" applyBorder="1" applyAlignment="1">
      <alignment horizontal="center" wrapText="1"/>
    </xf>
    <xf numFmtId="0" fontId="17" fillId="15" borderId="2" xfId="2" applyFont="1" applyFill="1" applyBorder="1" applyAlignment="1">
      <alignment horizontal="center" wrapText="1"/>
    </xf>
    <xf numFmtId="164" fontId="17" fillId="15" borderId="2" xfId="2" applyNumberFormat="1" applyFont="1" applyFill="1" applyBorder="1" applyAlignment="1">
      <alignment horizontal="center" wrapText="1"/>
    </xf>
    <xf numFmtId="164" fontId="17" fillId="12" borderId="2" xfId="2" applyNumberFormat="1" applyFont="1" applyFill="1" applyBorder="1" applyAlignment="1">
      <alignment horizontal="center" wrapText="1"/>
    </xf>
    <xf numFmtId="164" fontId="17" fillId="13" borderId="2" xfId="2" applyNumberFormat="1" applyFont="1" applyFill="1" applyBorder="1" applyAlignment="1">
      <alignment horizontal="center" wrapText="1"/>
    </xf>
    <xf numFmtId="164" fontId="17" fillId="16" borderId="1" xfId="2" applyNumberFormat="1" applyFont="1" applyFill="1" applyAlignment="1">
      <alignment horizontal="center" wrapText="1"/>
    </xf>
    <xf numFmtId="0" fontId="17" fillId="17" borderId="9" xfId="2" applyFont="1" applyFill="1" applyBorder="1" applyAlignment="1">
      <alignment horizontal="center" wrapText="1"/>
    </xf>
    <xf numFmtId="0" fontId="17" fillId="11" borderId="10" xfId="2" applyFont="1" applyFill="1" applyBorder="1" applyAlignment="1">
      <alignment horizontal="center" wrapText="1"/>
    </xf>
    <xf numFmtId="0" fontId="18" fillId="12" borderId="10" xfId="2" applyFont="1" applyFill="1" applyBorder="1" applyAlignment="1">
      <alignment horizontal="center" wrapText="1"/>
    </xf>
    <xf numFmtId="0" fontId="17" fillId="12" borderId="10" xfId="2" applyFont="1" applyFill="1" applyBorder="1" applyAlignment="1">
      <alignment horizontal="center" wrapText="1"/>
    </xf>
    <xf numFmtId="0" fontId="17" fillId="13" borderId="10" xfId="2" applyFont="1" applyFill="1" applyBorder="1" applyAlignment="1">
      <alignment horizontal="center" wrapText="1"/>
    </xf>
    <xf numFmtId="0" fontId="17" fillId="14" borderId="10" xfId="2" applyFont="1" applyFill="1" applyBorder="1" applyAlignment="1">
      <alignment horizontal="center" wrapText="1"/>
    </xf>
    <xf numFmtId="0" fontId="17" fillId="15" borderId="10" xfId="2" applyFont="1" applyFill="1" applyBorder="1" applyAlignment="1">
      <alignment horizontal="center" wrapText="1"/>
    </xf>
    <xf numFmtId="164" fontId="17" fillId="15" borderId="10" xfId="2" applyNumberFormat="1" applyFont="1" applyFill="1" applyBorder="1" applyAlignment="1">
      <alignment horizontal="center" wrapText="1"/>
    </xf>
    <xf numFmtId="164" fontId="17" fillId="12" borderId="10" xfId="2" applyNumberFormat="1" applyFont="1" applyFill="1" applyBorder="1" applyAlignment="1">
      <alignment horizontal="center" wrapText="1"/>
    </xf>
    <xf numFmtId="164" fontId="17" fillId="13" borderId="10" xfId="2" applyNumberFormat="1" applyFont="1" applyFill="1" applyBorder="1" applyAlignment="1">
      <alignment horizontal="center" wrapText="1"/>
    </xf>
    <xf numFmtId="0" fontId="17" fillId="0" borderId="11" xfId="2" applyFont="1" applyBorder="1" applyAlignment="1">
      <alignment horizontal="center" wrapText="1"/>
    </xf>
    <xf numFmtId="0" fontId="17" fillId="17" borderId="12" xfId="2" applyFont="1" applyFill="1" applyBorder="1" applyAlignment="1">
      <alignment horizontal="center" wrapText="1"/>
    </xf>
    <xf numFmtId="0" fontId="18" fillId="12" borderId="13" xfId="2" applyFont="1" applyFill="1" applyBorder="1" applyAlignment="1">
      <alignment horizontal="center" wrapText="1"/>
    </xf>
    <xf numFmtId="0" fontId="17" fillId="12" borderId="13" xfId="2" applyFont="1" applyFill="1" applyBorder="1" applyAlignment="1">
      <alignment horizontal="center" wrapText="1"/>
    </xf>
    <xf numFmtId="0" fontId="17" fillId="13" borderId="13" xfId="2" applyFont="1" applyFill="1" applyBorder="1" applyAlignment="1">
      <alignment horizontal="center" wrapText="1"/>
    </xf>
    <xf numFmtId="0" fontId="17" fillId="14" borderId="13" xfId="2" applyFont="1" applyFill="1" applyBorder="1" applyAlignment="1">
      <alignment horizontal="center" wrapText="1"/>
    </xf>
    <xf numFmtId="0" fontId="17" fillId="15" borderId="13" xfId="2" applyFont="1" applyFill="1" applyBorder="1" applyAlignment="1">
      <alignment horizontal="center" wrapText="1"/>
    </xf>
    <xf numFmtId="164" fontId="17" fillId="15" borderId="13" xfId="2" applyNumberFormat="1" applyFont="1" applyFill="1" applyBorder="1" applyAlignment="1">
      <alignment horizontal="center" wrapText="1"/>
    </xf>
    <xf numFmtId="164" fontId="17" fillId="12" borderId="13" xfId="2" applyNumberFormat="1" applyFont="1" applyFill="1" applyBorder="1" applyAlignment="1">
      <alignment horizontal="center" wrapText="1"/>
    </xf>
    <xf numFmtId="164" fontId="17" fillId="13" borderId="13" xfId="2" applyNumberFormat="1" applyFont="1" applyFill="1" applyBorder="1" applyAlignment="1">
      <alignment horizontal="center" wrapText="1"/>
    </xf>
    <xf numFmtId="0" fontId="17" fillId="0" borderId="14" xfId="2" applyFont="1" applyBorder="1" applyAlignment="1">
      <alignment horizontal="center" wrapText="1"/>
    </xf>
    <xf numFmtId="0" fontId="17" fillId="17" borderId="15" xfId="2" applyFont="1" applyFill="1" applyBorder="1" applyAlignment="1">
      <alignment horizontal="center" wrapText="1"/>
    </xf>
    <xf numFmtId="0" fontId="18" fillId="12" borderId="7" xfId="2" applyFont="1" applyFill="1" applyBorder="1" applyAlignment="1">
      <alignment horizontal="center" wrapText="1"/>
    </xf>
    <xf numFmtId="164" fontId="17" fillId="15" borderId="7" xfId="2" applyNumberFormat="1" applyFont="1" applyFill="1" applyBorder="1" applyAlignment="1">
      <alignment horizontal="center" wrapText="1"/>
    </xf>
    <xf numFmtId="164" fontId="17" fillId="12" borderId="7" xfId="2" applyNumberFormat="1" applyFont="1" applyFill="1" applyBorder="1" applyAlignment="1">
      <alignment horizontal="center" wrapText="1"/>
    </xf>
    <xf numFmtId="164" fontId="17" fillId="13" borderId="7" xfId="2" applyNumberFormat="1" applyFont="1" applyFill="1" applyBorder="1" applyAlignment="1">
      <alignment horizontal="center" wrapText="1"/>
    </xf>
    <xf numFmtId="164" fontId="17" fillId="15" borderId="16" xfId="2" applyNumberFormat="1" applyFont="1" applyFill="1" applyBorder="1" applyAlignment="1">
      <alignment horizontal="center" wrapText="1"/>
    </xf>
    <xf numFmtId="0" fontId="17" fillId="18" borderId="14" xfId="2" applyFont="1" applyFill="1" applyBorder="1" applyAlignment="1">
      <alignment horizontal="center" wrapText="1"/>
    </xf>
    <xf numFmtId="0" fontId="17" fillId="0" borderId="13" xfId="2" applyFont="1" applyBorder="1" applyAlignment="1">
      <alignment horizontal="center" wrapText="1"/>
    </xf>
    <xf numFmtId="2" fontId="17" fillId="15" borderId="16" xfId="2" applyNumberFormat="1" applyFont="1" applyFill="1" applyBorder="1" applyAlignment="1">
      <alignment horizontal="center" wrapText="1"/>
    </xf>
    <xf numFmtId="164" fontId="17" fillId="0" borderId="13" xfId="2" applyNumberFormat="1" applyFont="1" applyBorder="1" applyAlignment="1">
      <alignment horizontal="center" wrapText="1"/>
    </xf>
    <xf numFmtId="0" fontId="18" fillId="12" borderId="16" xfId="2" applyFont="1" applyFill="1" applyBorder="1" applyAlignment="1">
      <alignment horizontal="center" wrapText="1"/>
    </xf>
    <xf numFmtId="0" fontId="17" fillId="13" borderId="16" xfId="2" applyFont="1" applyFill="1" applyBorder="1" applyAlignment="1">
      <alignment horizontal="center" wrapText="1"/>
    </xf>
    <xf numFmtId="0" fontId="17" fillId="12" borderId="16" xfId="2" applyFont="1" applyFill="1" applyBorder="1" applyAlignment="1">
      <alignment horizontal="center" wrapText="1"/>
    </xf>
    <xf numFmtId="0" fontId="17" fillId="17" borderId="17" xfId="2" applyFont="1" applyFill="1" applyBorder="1" applyAlignment="1">
      <alignment horizontal="center" wrapText="1"/>
    </xf>
    <xf numFmtId="0" fontId="17" fillId="18" borderId="1" xfId="2" applyFont="1" applyFill="1" applyAlignment="1">
      <alignment horizontal="center" wrapText="1"/>
    </xf>
    <xf numFmtId="0" fontId="17" fillId="0" borderId="2" xfId="2" applyFont="1" applyBorder="1" applyAlignment="1">
      <alignment horizontal="center" wrapText="1"/>
    </xf>
    <xf numFmtId="2" fontId="17" fillId="15" borderId="7" xfId="2" applyNumberFormat="1" applyFont="1" applyFill="1" applyBorder="1" applyAlignment="1">
      <alignment horizontal="center" wrapText="1"/>
    </xf>
    <xf numFmtId="164" fontId="17" fillId="0" borderId="2" xfId="2" applyNumberFormat="1" applyFont="1" applyBorder="1" applyAlignment="1">
      <alignment horizontal="center" wrapText="1"/>
    </xf>
    <xf numFmtId="0" fontId="17" fillId="17" borderId="18" xfId="2" applyFont="1" applyFill="1" applyBorder="1" applyAlignment="1">
      <alignment horizontal="center" wrapText="1"/>
    </xf>
    <xf numFmtId="0" fontId="18" fillId="0" borderId="2" xfId="2" applyFont="1" applyBorder="1" applyAlignment="1">
      <alignment horizontal="center" wrapText="1"/>
    </xf>
    <xf numFmtId="0" fontId="17" fillId="18" borderId="11" xfId="2" applyFont="1" applyFill="1" applyBorder="1" applyAlignment="1">
      <alignment horizontal="center" wrapText="1"/>
    </xf>
    <xf numFmtId="0" fontId="18" fillId="0" borderId="10" xfId="2" applyFont="1" applyBorder="1" applyAlignment="1">
      <alignment horizontal="center" wrapText="1"/>
    </xf>
    <xf numFmtId="0" fontId="17" fillId="0" borderId="10" xfId="2" applyFont="1" applyBorder="1" applyAlignment="1">
      <alignment horizontal="center" wrapText="1"/>
    </xf>
    <xf numFmtId="2" fontId="17" fillId="15" borderId="10" xfId="2" applyNumberFormat="1" applyFont="1" applyFill="1" applyBorder="1" applyAlignment="1">
      <alignment horizontal="center" wrapText="1"/>
    </xf>
    <xf numFmtId="164" fontId="17" fillId="0" borderId="10" xfId="2" applyNumberFormat="1" applyFont="1" applyBorder="1" applyAlignment="1">
      <alignment horizontal="center" wrapText="1"/>
    </xf>
    <xf numFmtId="0" fontId="17" fillId="17" borderId="19" xfId="2" applyFont="1" applyFill="1" applyBorder="1" applyAlignment="1">
      <alignment horizontal="center" wrapText="1"/>
    </xf>
    <xf numFmtId="0" fontId="19" fillId="19" borderId="20" xfId="2" applyFont="1" applyFill="1" applyBorder="1" applyAlignment="1">
      <alignment horizontal="left" vertical="center" readingOrder="1"/>
    </xf>
    <xf numFmtId="0" fontId="20" fillId="20" borderId="21" xfId="2" applyFont="1" applyFill="1" applyBorder="1" applyAlignment="1">
      <alignment horizontal="left" vertical="center" wrapText="1" readingOrder="1"/>
    </xf>
    <xf numFmtId="0" fontId="21" fillId="20" borderId="21" xfId="2" applyFont="1" applyFill="1" applyBorder="1" applyAlignment="1">
      <alignment horizontal="left" vertical="center" wrapText="1" readingOrder="1"/>
    </xf>
    <xf numFmtId="0" fontId="3" fillId="0" borderId="1" xfId="2" applyAlignment="1">
      <alignment wrapText="1"/>
    </xf>
    <xf numFmtId="0" fontId="20" fillId="21" borderId="22" xfId="2" applyFont="1" applyFill="1" applyBorder="1" applyAlignment="1">
      <alignment horizontal="left" vertical="center" wrapText="1" readingOrder="1"/>
    </xf>
    <xf numFmtId="0" fontId="21" fillId="21" borderId="22" xfId="2" applyFont="1" applyFill="1" applyBorder="1" applyAlignment="1">
      <alignment horizontal="left" vertical="center" wrapText="1" readingOrder="1"/>
    </xf>
    <xf numFmtId="0" fontId="20" fillId="20" borderId="22" xfId="2" applyFont="1" applyFill="1" applyBorder="1" applyAlignment="1">
      <alignment horizontal="left" vertical="center" wrapText="1" readingOrder="1"/>
    </xf>
    <xf numFmtId="0" fontId="21" fillId="20" borderId="22" xfId="2" applyFont="1" applyFill="1" applyBorder="1" applyAlignment="1">
      <alignment horizontal="left" vertical="center" wrapText="1" readingOrder="1"/>
    </xf>
    <xf numFmtId="0" fontId="22" fillId="0" borderId="1" xfId="2" applyFont="1"/>
    <xf numFmtId="1" fontId="22" fillId="0" borderId="1" xfId="2" applyNumberFormat="1" applyFont="1"/>
    <xf numFmtId="0" fontId="3" fillId="0" borderId="1" xfId="2" applyAlignment="1">
      <alignment horizontal="center" vertical="center"/>
    </xf>
    <xf numFmtId="0" fontId="3" fillId="13" borderId="1" xfId="2" applyFill="1" applyAlignment="1">
      <alignment horizontal="center" vertical="center"/>
    </xf>
    <xf numFmtId="0" fontId="3" fillId="22" borderId="1" xfId="2" applyFill="1"/>
    <xf numFmtId="1" fontId="3" fillId="22" borderId="1" xfId="2" applyNumberFormat="1" applyFill="1"/>
    <xf numFmtId="1" fontId="3" fillId="0" borderId="1" xfId="2" applyNumberFormat="1"/>
    <xf numFmtId="0" fontId="13" fillId="0" borderId="2" xfId="1" applyFont="1" applyBorder="1" applyAlignment="1">
      <alignment horizontal="center" vertical="top"/>
    </xf>
    <xf numFmtId="0" fontId="13" fillId="0" borderId="23" xfId="1" applyFont="1" applyBorder="1" applyAlignment="1">
      <alignment horizontal="center" vertical="top"/>
    </xf>
    <xf numFmtId="0" fontId="13" fillId="0" borderId="24" xfId="1" applyFont="1" applyBorder="1" applyAlignment="1">
      <alignment horizontal="center" vertical="top"/>
    </xf>
    <xf numFmtId="2" fontId="10" fillId="0" borderId="1" xfId="1" applyNumberFormat="1"/>
    <xf numFmtId="0" fontId="10" fillId="15" borderId="1" xfId="1" applyFill="1"/>
    <xf numFmtId="1" fontId="10" fillId="0" borderId="1" xfId="1" applyNumberFormat="1"/>
    <xf numFmtId="0" fontId="23" fillId="0" borderId="2" xfId="1" applyFont="1" applyBorder="1" applyAlignment="1">
      <alignment horizontal="center" vertical="top"/>
    </xf>
    <xf numFmtId="0" fontId="3" fillId="23" borderId="1" xfId="2" applyFill="1"/>
    <xf numFmtId="0" fontId="14" fillId="23" borderId="1" xfId="2" applyFont="1" applyFill="1"/>
    <xf numFmtId="0" fontId="24" fillId="0" borderId="1" xfId="2" applyFont="1"/>
    <xf numFmtId="0" fontId="3" fillId="24" borderId="1" xfId="2" applyFill="1"/>
    <xf numFmtId="0" fontId="3" fillId="25" borderId="1" xfId="2" applyFill="1" applyAlignment="1">
      <alignment horizontal="center" vertical="center"/>
    </xf>
    <xf numFmtId="0" fontId="3" fillId="26" borderId="1" xfId="2" applyFill="1" applyAlignment="1">
      <alignment horizontal="center" vertical="center"/>
    </xf>
    <xf numFmtId="0" fontId="3" fillId="27" borderId="25" xfId="2" applyFill="1" applyBorder="1" applyAlignment="1">
      <alignment horizontal="center"/>
    </xf>
    <xf numFmtId="0" fontId="3" fillId="27" borderId="26" xfId="2" applyFill="1" applyBorder="1" applyAlignment="1">
      <alignment horizontal="center"/>
    </xf>
    <xf numFmtId="0" fontId="16" fillId="0" borderId="27" xfId="2" applyFont="1" applyBorder="1" applyAlignment="1">
      <alignment horizontal="center" vertical="center"/>
    </xf>
    <xf numFmtId="0" fontId="16" fillId="0" borderId="28" xfId="2" applyFont="1" applyBorder="1" applyAlignment="1">
      <alignment horizontal="center" vertical="center"/>
    </xf>
    <xf numFmtId="0" fontId="16" fillId="27" borderId="13" xfId="2" applyFont="1" applyFill="1" applyBorder="1" applyAlignment="1">
      <alignment horizontal="center" vertical="center"/>
    </xf>
    <xf numFmtId="0" fontId="16" fillId="27" borderId="10" xfId="2" applyFont="1" applyFill="1" applyBorder="1" applyAlignment="1">
      <alignment horizontal="center" vertical="center"/>
    </xf>
    <xf numFmtId="0" fontId="16" fillId="27" borderId="29" xfId="2" applyFont="1" applyFill="1" applyBorder="1" applyAlignment="1">
      <alignment horizontal="center" vertical="center"/>
    </xf>
    <xf numFmtId="0" fontId="16" fillId="27" borderId="30" xfId="2" applyFont="1" applyFill="1" applyBorder="1" applyAlignment="1">
      <alignment horizontal="center" vertical="center"/>
    </xf>
    <xf numFmtId="0" fontId="3" fillId="0" borderId="25" xfId="2" applyBorder="1"/>
    <xf numFmtId="0" fontId="3" fillId="0" borderId="26" xfId="2" applyBorder="1"/>
    <xf numFmtId="0" fontId="3" fillId="0" borderId="14" xfId="2" applyBorder="1" applyAlignment="1">
      <alignment horizontal="center"/>
    </xf>
    <xf numFmtId="2" fontId="3" fillId="0" borderId="11" xfId="2" applyNumberFormat="1" applyBorder="1" applyAlignment="1">
      <alignment horizontal="center"/>
    </xf>
    <xf numFmtId="0" fontId="3" fillId="0" borderId="25" xfId="2" applyBorder="1" applyAlignment="1">
      <alignment horizontal="center" vertical="center"/>
    </xf>
    <xf numFmtId="0" fontId="3" fillId="0" borderId="26" xfId="2" applyBorder="1" applyAlignment="1">
      <alignment horizontal="center" vertical="center"/>
    </xf>
    <xf numFmtId="0" fontId="3" fillId="0" borderId="14" xfId="2" applyBorder="1"/>
    <xf numFmtId="0" fontId="3" fillId="0" borderId="11" xfId="2" applyBorder="1"/>
    <xf numFmtId="0" fontId="3" fillId="0" borderId="14" xfId="2" applyBorder="1" applyAlignment="1">
      <alignment horizontal="center" vertical="center"/>
    </xf>
    <xf numFmtId="0" fontId="3" fillId="0" borderId="11" xfId="2" applyBorder="1" applyAlignment="1">
      <alignment horizontal="center" vertical="center"/>
    </xf>
    <xf numFmtId="0" fontId="3" fillId="0" borderId="15" xfId="2" applyBorder="1" applyAlignment="1">
      <alignment horizontal="center" vertical="center"/>
    </xf>
    <xf numFmtId="0" fontId="3" fillId="0" borderId="12" xfId="2" applyBorder="1" applyAlignment="1">
      <alignment horizontal="center" vertical="center"/>
    </xf>
    <xf numFmtId="0" fontId="3" fillId="27" borderId="14" xfId="2" applyFill="1" applyBorder="1" applyAlignment="1">
      <alignment horizontal="center" vertical="center"/>
    </xf>
    <xf numFmtId="0" fontId="3" fillId="27" borderId="11" xfId="2" applyFill="1" applyBorder="1" applyAlignment="1">
      <alignment horizontal="center" vertical="center"/>
    </xf>
    <xf numFmtId="2" fontId="3" fillId="0" borderId="10" xfId="2" applyNumberFormat="1" applyBorder="1" applyAlignment="1">
      <alignment horizontal="center"/>
    </xf>
    <xf numFmtId="0" fontId="3" fillId="0" borderId="15" xfId="2" applyBorder="1"/>
    <xf numFmtId="0" fontId="3" fillId="0" borderId="12" xfId="2" applyBorder="1"/>
    <xf numFmtId="0" fontId="3" fillId="0" borderId="15" xfId="2" applyBorder="1" applyAlignment="1">
      <alignment horizontal="center"/>
    </xf>
    <xf numFmtId="2" fontId="3" fillId="0" borderId="12" xfId="2" applyNumberFormat="1" applyBorder="1" applyAlignment="1">
      <alignment horizontal="center"/>
    </xf>
    <xf numFmtId="0" fontId="3" fillId="27" borderId="15" xfId="2" applyFill="1" applyBorder="1" applyAlignment="1">
      <alignment horizontal="center" vertical="center"/>
    </xf>
    <xf numFmtId="0" fontId="3" fillId="27" borderId="12" xfId="2" applyFill="1" applyBorder="1" applyAlignment="1">
      <alignment horizontal="center" vertical="center"/>
    </xf>
    <xf numFmtId="0" fontId="16" fillId="0" borderId="31" xfId="2" applyFont="1" applyBorder="1" applyAlignment="1">
      <alignment horizontal="center" vertical="center"/>
    </xf>
    <xf numFmtId="0" fontId="3" fillId="28" borderId="31" xfId="2" applyFill="1" applyBorder="1" applyAlignment="1">
      <alignment horizontal="center" vertical="center"/>
    </xf>
    <xf numFmtId="0" fontId="3" fillId="0" borderId="31" xfId="2" applyBorder="1" applyAlignment="1">
      <alignment horizontal="center" vertical="center"/>
    </xf>
    <xf numFmtId="0" fontId="16" fillId="0" borderId="9" xfId="2" applyFont="1" applyBorder="1" applyAlignment="1">
      <alignment horizontal="center" vertical="center"/>
    </xf>
    <xf numFmtId="0" fontId="3" fillId="28" borderId="9" xfId="2" applyFill="1" applyBorder="1" applyAlignment="1">
      <alignment horizontal="center" vertical="center"/>
    </xf>
    <xf numFmtId="0" fontId="3" fillId="0" borderId="9" xfId="2" applyBorder="1" applyAlignment="1">
      <alignment horizontal="center" vertical="center"/>
    </xf>
    <xf numFmtId="0" fontId="16" fillId="0" borderId="1" xfId="2" applyFont="1" applyAlignment="1">
      <alignment horizontal="center" vertical="center"/>
    </xf>
    <xf numFmtId="0" fontId="3" fillId="15" borderId="1" xfId="2" applyFill="1" applyAlignment="1">
      <alignment horizontal="center" vertical="center"/>
    </xf>
    <xf numFmtId="0" fontId="16" fillId="0" borderId="32" xfId="2" applyFont="1" applyBorder="1" applyAlignment="1">
      <alignment horizontal="center" vertical="center"/>
    </xf>
    <xf numFmtId="0" fontId="16" fillId="0" borderId="33" xfId="2" applyFont="1" applyBorder="1" applyAlignment="1">
      <alignment horizontal="center" vertical="center"/>
    </xf>
    <xf numFmtId="0" fontId="16" fillId="27" borderId="32" xfId="2" applyFont="1" applyFill="1" applyBorder="1" applyAlignment="1">
      <alignment horizontal="center" vertical="center"/>
    </xf>
    <xf numFmtId="0" fontId="16" fillId="27" borderId="34" xfId="2" applyFont="1" applyFill="1" applyBorder="1" applyAlignment="1">
      <alignment horizontal="center" vertical="center"/>
    </xf>
    <xf numFmtId="0" fontId="3" fillId="0" borderId="25" xfId="2" applyBorder="1" applyAlignment="1">
      <alignment horizontal="center"/>
    </xf>
    <xf numFmtId="0" fontId="3" fillId="27" borderId="14" xfId="2" applyFill="1" applyBorder="1" applyAlignment="1">
      <alignment horizontal="center"/>
    </xf>
    <xf numFmtId="0" fontId="3" fillId="27" borderId="11" xfId="2" applyFill="1" applyBorder="1"/>
    <xf numFmtId="0" fontId="3" fillId="27" borderId="14" xfId="2" applyFill="1" applyBorder="1"/>
    <xf numFmtId="0" fontId="3" fillId="27" borderId="15" xfId="2" applyFill="1" applyBorder="1" applyAlignment="1">
      <alignment horizontal="center"/>
    </xf>
    <xf numFmtId="0" fontId="3" fillId="27" borderId="12" xfId="2" applyFill="1" applyBorder="1"/>
    <xf numFmtId="0" fontId="3" fillId="27" borderId="15" xfId="2" applyFill="1" applyBorder="1"/>
    <xf numFmtId="0" fontId="16" fillId="23" borderId="1" xfId="2" applyFont="1" applyFill="1"/>
    <xf numFmtId="0" fontId="14" fillId="29" borderId="1" xfId="2" applyFont="1" applyFill="1" applyAlignment="1">
      <alignment horizontal="center"/>
    </xf>
    <xf numFmtId="0" fontId="16" fillId="0" borderId="1" xfId="2" applyFont="1"/>
    <xf numFmtId="2" fontId="3" fillId="0" borderId="14" xfId="2" applyNumberFormat="1" applyBorder="1"/>
    <xf numFmtId="2" fontId="3" fillId="0" borderId="11" xfId="2" applyNumberFormat="1" applyBorder="1"/>
    <xf numFmtId="2" fontId="3" fillId="27" borderId="14" xfId="2" applyNumberFormat="1" applyFill="1" applyBorder="1"/>
    <xf numFmtId="2" fontId="3" fillId="27" borderId="11" xfId="2" applyNumberFormat="1" applyFill="1" applyBorder="1"/>
    <xf numFmtId="0" fontId="15" fillId="0" borderId="14" xfId="2" applyFont="1" applyBorder="1"/>
    <xf numFmtId="0" fontId="15" fillId="0" borderId="11" xfId="2" applyFont="1" applyBorder="1"/>
    <xf numFmtId="2" fontId="15" fillId="18" borderId="14" xfId="2" applyNumberFormat="1" applyFont="1" applyFill="1" applyBorder="1"/>
    <xf numFmtId="2" fontId="15" fillId="18" borderId="11" xfId="2" applyNumberFormat="1" applyFont="1" applyFill="1" applyBorder="1"/>
    <xf numFmtId="0" fontId="15" fillId="27" borderId="14" xfId="2" applyFont="1" applyFill="1" applyBorder="1" applyAlignment="1">
      <alignment horizontal="center"/>
    </xf>
    <xf numFmtId="0" fontId="15" fillId="27" borderId="11" xfId="2" applyFont="1" applyFill="1" applyBorder="1"/>
    <xf numFmtId="0" fontId="15" fillId="18" borderId="14" xfId="2" applyFont="1" applyFill="1" applyBorder="1"/>
    <xf numFmtId="0" fontId="15" fillId="0" borderId="15" xfId="2" applyFont="1" applyBorder="1"/>
    <xf numFmtId="0" fontId="15" fillId="0" borderId="12" xfId="2" applyFont="1" applyBorder="1"/>
    <xf numFmtId="0" fontId="15" fillId="27" borderId="15" xfId="2" applyFont="1" applyFill="1" applyBorder="1" applyAlignment="1">
      <alignment horizontal="center"/>
    </xf>
    <xf numFmtId="0" fontId="15" fillId="27" borderId="12" xfId="2" applyFont="1" applyFill="1" applyBorder="1"/>
    <xf numFmtId="0" fontId="15" fillId="18" borderId="15" xfId="2" applyFont="1" applyFill="1" applyBorder="1"/>
    <xf numFmtId="0" fontId="15" fillId="18" borderId="12" xfId="2" applyFont="1" applyFill="1" applyBorder="1"/>
    <xf numFmtId="0" fontId="15" fillId="0" borderId="1" xfId="2" applyFont="1"/>
    <xf numFmtId="0" fontId="16" fillId="27" borderId="17" xfId="2" applyFont="1" applyFill="1" applyBorder="1" applyAlignment="1">
      <alignment horizontal="center" vertical="center"/>
    </xf>
    <xf numFmtId="0" fontId="16" fillId="27" borderId="19" xfId="2" applyFont="1" applyFill="1" applyBorder="1" applyAlignment="1">
      <alignment horizontal="center" vertical="center"/>
    </xf>
    <xf numFmtId="2" fontId="3" fillId="0" borderId="25" xfId="2" applyNumberFormat="1" applyBorder="1" applyAlignment="1">
      <alignment horizontal="center"/>
    </xf>
    <xf numFmtId="2" fontId="3" fillId="0" borderId="26" xfId="2" applyNumberFormat="1" applyBorder="1"/>
    <xf numFmtId="2" fontId="3" fillId="0" borderId="14" xfId="2" applyNumberFormat="1" applyBorder="1" applyAlignment="1">
      <alignment horizontal="center"/>
    </xf>
    <xf numFmtId="2" fontId="3" fillId="27" borderId="14" xfId="2" applyNumberFormat="1" applyFill="1" applyBorder="1" applyAlignment="1">
      <alignment horizontal="center"/>
    </xf>
    <xf numFmtId="164" fontId="3" fillId="27" borderId="11" xfId="2" applyNumberFormat="1" applyFill="1" applyBorder="1"/>
    <xf numFmtId="0" fontId="3" fillId="27" borderId="31" xfId="2" applyFill="1" applyBorder="1" applyAlignment="1">
      <alignment horizontal="center"/>
    </xf>
    <xf numFmtId="0" fontId="16" fillId="27" borderId="28" xfId="2" applyFont="1" applyFill="1" applyBorder="1" applyAlignment="1">
      <alignment horizontal="center" vertical="center"/>
    </xf>
    <xf numFmtId="2" fontId="3" fillId="0" borderId="1" xfId="2" applyNumberFormat="1"/>
    <xf numFmtId="2" fontId="3" fillId="18" borderId="14" xfId="2" applyNumberFormat="1" applyFill="1" applyBorder="1"/>
    <xf numFmtId="2" fontId="3" fillId="18" borderId="11" xfId="2" applyNumberFormat="1" applyFill="1" applyBorder="1"/>
    <xf numFmtId="0" fontId="3" fillId="27" borderId="1" xfId="2" applyFill="1"/>
    <xf numFmtId="0" fontId="3" fillId="27" borderId="9" xfId="2" applyFill="1" applyBorder="1"/>
    <xf numFmtId="0" fontId="3" fillId="18" borderId="15" xfId="2" applyFill="1" applyBorder="1"/>
    <xf numFmtId="0" fontId="3" fillId="18" borderId="12" xfId="2" applyFill="1" applyBorder="1"/>
    <xf numFmtId="0" fontId="16" fillId="27" borderId="35" xfId="2" applyFont="1" applyFill="1" applyBorder="1" applyAlignment="1">
      <alignment horizontal="center" vertical="center"/>
    </xf>
    <xf numFmtId="0" fontId="3" fillId="27" borderId="1" xfId="2" applyFill="1" applyAlignment="1">
      <alignment horizontal="center"/>
    </xf>
    <xf numFmtId="164" fontId="3" fillId="27" borderId="1" xfId="2" applyNumberFormat="1" applyFill="1"/>
    <xf numFmtId="0" fontId="3" fillId="25" borderId="25" xfId="2" applyFill="1" applyBorder="1" applyAlignment="1">
      <alignment horizontal="center" vertical="center"/>
    </xf>
    <xf numFmtId="0" fontId="3" fillId="25" borderId="31" xfId="2" applyFill="1" applyBorder="1" applyAlignment="1">
      <alignment horizontal="center" vertical="center"/>
    </xf>
    <xf numFmtId="0" fontId="3" fillId="26" borderId="31" xfId="2" applyFill="1" applyBorder="1" applyAlignment="1">
      <alignment horizontal="center" vertical="center"/>
    </xf>
    <xf numFmtId="0" fontId="3" fillId="26" borderId="26" xfId="2" applyFill="1" applyBorder="1" applyAlignment="1">
      <alignment horizontal="center" vertical="center"/>
    </xf>
    <xf numFmtId="2" fontId="3" fillId="0" borderId="15" xfId="2" applyNumberFormat="1" applyBorder="1"/>
    <xf numFmtId="2" fontId="3" fillId="0" borderId="12" xfId="2" applyNumberFormat="1" applyBorder="1"/>
    <xf numFmtId="2" fontId="3" fillId="0" borderId="25" xfId="2" applyNumberFormat="1" applyBorder="1"/>
    <xf numFmtId="0" fontId="16" fillId="27" borderId="36" xfId="2" applyFont="1" applyFill="1" applyBorder="1" applyAlignment="1">
      <alignment horizontal="center" vertical="center"/>
    </xf>
    <xf numFmtId="0" fontId="16" fillId="27" borderId="37" xfId="2" applyFont="1" applyFill="1" applyBorder="1" applyAlignment="1">
      <alignment horizontal="center" vertical="center"/>
    </xf>
    <xf numFmtId="0" fontId="14" fillId="23" borderId="1" xfId="2" applyFont="1" applyFill="1" applyAlignment="1">
      <alignment horizontal="center"/>
    </xf>
    <xf numFmtId="0" fontId="3" fillId="30" borderId="9" xfId="2" applyFill="1" applyBorder="1" applyAlignment="1">
      <alignment horizontal="center" vertical="center"/>
    </xf>
    <xf numFmtId="0" fontId="3" fillId="25" borderId="9" xfId="2" applyFill="1" applyBorder="1" applyAlignment="1">
      <alignment horizontal="center" vertical="center"/>
    </xf>
    <xf numFmtId="0" fontId="3" fillId="31" borderId="9" xfId="2" applyFill="1" applyBorder="1" applyAlignment="1">
      <alignment horizontal="center" vertical="center"/>
    </xf>
    <xf numFmtId="0" fontId="16" fillId="0" borderId="35" xfId="2" applyFont="1" applyBorder="1" applyAlignment="1">
      <alignment horizontal="center" vertical="center"/>
    </xf>
    <xf numFmtId="0" fontId="16" fillId="0" borderId="38" xfId="2" applyFont="1" applyBorder="1" applyAlignment="1">
      <alignment horizontal="center" vertical="center"/>
    </xf>
    <xf numFmtId="1" fontId="3" fillId="0" borderId="14" xfId="2" applyNumberFormat="1" applyBorder="1"/>
    <xf numFmtId="0" fontId="3" fillId="0" borderId="39" xfId="2" applyBorder="1" applyAlignment="1">
      <alignment horizontal="center" vertical="center"/>
    </xf>
    <xf numFmtId="0" fontId="3" fillId="0" borderId="26" xfId="2" applyBorder="1" applyAlignment="1">
      <alignment horizontal="center"/>
    </xf>
    <xf numFmtId="0" fontId="3" fillId="0" borderId="11" xfId="2" applyBorder="1" applyAlignment="1">
      <alignment horizontal="center"/>
    </xf>
    <xf numFmtId="0" fontId="3" fillId="0" borderId="12" xfId="2" applyBorder="1" applyAlignment="1">
      <alignment horizontal="center"/>
    </xf>
    <xf numFmtId="0" fontId="25" fillId="22" borderId="18" xfId="2" applyFont="1" applyFill="1" applyBorder="1" applyAlignment="1">
      <alignment horizontal="center" vertical="center"/>
    </xf>
    <xf numFmtId="0" fontId="25" fillId="22" borderId="40" xfId="2" applyFont="1" applyFill="1" applyBorder="1" applyAlignment="1">
      <alignment horizontal="center" vertical="center"/>
    </xf>
    <xf numFmtId="0" fontId="25" fillId="22" borderId="2" xfId="2" applyFont="1" applyFill="1" applyBorder="1" applyAlignment="1">
      <alignment horizontal="center" vertical="center"/>
    </xf>
    <xf numFmtId="0" fontId="25" fillId="25" borderId="2" xfId="2" applyFont="1" applyFill="1" applyBorder="1" applyAlignment="1">
      <alignment horizontal="center" vertical="center"/>
    </xf>
    <xf numFmtId="0" fontId="25" fillId="32" borderId="2" xfId="2" applyFont="1" applyFill="1" applyBorder="1" applyAlignment="1">
      <alignment horizontal="center" vertical="center"/>
    </xf>
    <xf numFmtId="0" fontId="25" fillId="33" borderId="2" xfId="2" applyFont="1" applyFill="1" applyBorder="1" applyAlignment="1">
      <alignment horizontal="center" vertical="center"/>
    </xf>
    <xf numFmtId="0" fontId="3" fillId="33" borderId="1" xfId="2" applyFill="1" applyAlignment="1">
      <alignment horizontal="center" vertical="center"/>
    </xf>
    <xf numFmtId="0" fontId="3" fillId="33" borderId="11" xfId="2" applyFill="1" applyBorder="1" applyAlignment="1">
      <alignment horizontal="center" vertical="center"/>
    </xf>
    <xf numFmtId="0" fontId="3" fillId="33" borderId="11" xfId="2" applyFill="1" applyBorder="1" applyAlignment="1">
      <alignment horizontal="center"/>
    </xf>
    <xf numFmtId="0" fontId="24" fillId="0" borderId="25" xfId="2" applyFont="1" applyBorder="1" applyAlignment="1">
      <alignment horizontal="center" vertical="center"/>
    </xf>
    <xf numFmtId="2" fontId="24" fillId="0" borderId="26" xfId="2" applyNumberFormat="1" applyFont="1" applyBorder="1" applyAlignment="1">
      <alignment horizontal="center" vertical="center"/>
    </xf>
    <xf numFmtId="0" fontId="25" fillId="0" borderId="41" xfId="2" applyFont="1" applyBorder="1" applyAlignment="1">
      <alignment horizontal="center" vertical="center"/>
    </xf>
    <xf numFmtId="0" fontId="25" fillId="0" borderId="40" xfId="2" applyFont="1" applyBorder="1" applyAlignment="1">
      <alignment horizontal="center" vertical="center"/>
    </xf>
    <xf numFmtId="0" fontId="26" fillId="34" borderId="40" xfId="2" applyFont="1" applyFill="1" applyBorder="1" applyAlignment="1">
      <alignment horizontal="center" vertical="center"/>
    </xf>
    <xf numFmtId="2" fontId="27" fillId="0" borderId="40" xfId="2" applyNumberFormat="1" applyFont="1" applyBorder="1" applyAlignment="1">
      <alignment horizontal="center" vertical="center"/>
    </xf>
    <xf numFmtId="2" fontId="27" fillId="0" borderId="42" xfId="2" applyNumberFormat="1" applyFont="1" applyBorder="1" applyAlignment="1">
      <alignment horizontal="center" vertical="center"/>
    </xf>
    <xf numFmtId="0" fontId="25" fillId="0" borderId="13" xfId="2" applyFont="1" applyBorder="1" applyAlignment="1">
      <alignment horizontal="center" vertical="center"/>
    </xf>
    <xf numFmtId="0" fontId="25" fillId="0" borderId="2" xfId="2" applyFont="1" applyBorder="1" applyAlignment="1">
      <alignment horizontal="center" vertical="center"/>
    </xf>
    <xf numFmtId="0" fontId="26" fillId="0" borderId="2" xfId="2" applyFont="1" applyBorder="1" applyAlignment="1">
      <alignment horizontal="center" vertical="center"/>
    </xf>
    <xf numFmtId="2" fontId="27" fillId="0" borderId="2" xfId="2" applyNumberFormat="1" applyFont="1" applyBorder="1" applyAlignment="1">
      <alignment horizontal="center" vertical="center"/>
    </xf>
    <xf numFmtId="2" fontId="28" fillId="0" borderId="10" xfId="2" applyNumberFormat="1" applyFont="1" applyBorder="1" applyAlignment="1">
      <alignment horizontal="center" vertical="center"/>
    </xf>
    <xf numFmtId="2" fontId="27" fillId="0" borderId="10" xfId="2" applyNumberFormat="1" applyFont="1" applyBorder="1" applyAlignment="1">
      <alignment horizontal="center" vertical="center"/>
    </xf>
    <xf numFmtId="0" fontId="25" fillId="0" borderId="17" xfId="2" applyFont="1" applyBorder="1" applyAlignment="1">
      <alignment horizontal="center" vertical="center"/>
    </xf>
    <xf numFmtId="0" fontId="25" fillId="0" borderId="18" xfId="2" applyFont="1" applyBorder="1" applyAlignment="1">
      <alignment horizontal="center" vertical="center"/>
    </xf>
    <xf numFmtId="0" fontId="26" fillId="0" borderId="18" xfId="2" applyFont="1" applyBorder="1" applyAlignment="1">
      <alignment horizontal="center" vertical="center"/>
    </xf>
    <xf numFmtId="2" fontId="27" fillId="0" borderId="18" xfId="2" applyNumberFormat="1" applyFont="1" applyBorder="1" applyAlignment="1">
      <alignment horizontal="center" vertical="center"/>
    </xf>
    <xf numFmtId="2" fontId="28" fillId="0" borderId="19" xfId="2" applyNumberFormat="1" applyFont="1" applyBorder="1" applyAlignment="1">
      <alignment horizontal="center" vertical="center"/>
    </xf>
    <xf numFmtId="2" fontId="25" fillId="0" borderId="40" xfId="2" applyNumberFormat="1" applyFont="1" applyBorder="1" applyAlignment="1">
      <alignment horizontal="center" vertical="center"/>
    </xf>
    <xf numFmtId="2" fontId="25" fillId="0" borderId="42" xfId="2" applyNumberFormat="1" applyFont="1" applyBorder="1" applyAlignment="1">
      <alignment horizontal="center" vertical="center"/>
    </xf>
    <xf numFmtId="2" fontId="25" fillId="0" borderId="2" xfId="2" applyNumberFormat="1" applyFont="1" applyBorder="1" applyAlignment="1">
      <alignment horizontal="center" vertical="center"/>
    </xf>
    <xf numFmtId="2" fontId="25" fillId="0" borderId="10" xfId="2" applyNumberFormat="1" applyFont="1" applyBorder="1" applyAlignment="1">
      <alignment horizontal="center" vertical="center"/>
    </xf>
    <xf numFmtId="0" fontId="25" fillId="0" borderId="19" xfId="2" applyFont="1" applyBorder="1" applyAlignment="1">
      <alignment horizontal="center" vertical="center"/>
    </xf>
    <xf numFmtId="0" fontId="25" fillId="22" borderId="42" xfId="2" applyFont="1" applyFill="1" applyBorder="1" applyAlignment="1">
      <alignment horizontal="center" vertical="center"/>
    </xf>
    <xf numFmtId="0" fontId="25" fillId="22" borderId="10" xfId="2" applyFont="1" applyFill="1" applyBorder="1" applyAlignment="1">
      <alignment horizontal="center" vertical="center"/>
    </xf>
    <xf numFmtId="0" fontId="25" fillId="25" borderId="10" xfId="2" applyFont="1" applyFill="1" applyBorder="1" applyAlignment="1">
      <alignment horizontal="center" vertical="center"/>
    </xf>
    <xf numFmtId="0" fontId="25" fillId="32" borderId="10" xfId="2" applyFont="1" applyFill="1" applyBorder="1" applyAlignment="1">
      <alignment horizontal="center" vertical="center"/>
    </xf>
    <xf numFmtId="0" fontId="25" fillId="33" borderId="10" xfId="2" applyFont="1" applyFill="1" applyBorder="1" applyAlignment="1">
      <alignment horizontal="center" vertical="center"/>
    </xf>
    <xf numFmtId="0" fontId="25" fillId="22" borderId="19" xfId="2" applyFont="1" applyFill="1" applyBorder="1" applyAlignment="1">
      <alignment horizontal="center" vertical="center"/>
    </xf>
    <xf numFmtId="0" fontId="3" fillId="0" borderId="4" xfId="2" applyBorder="1" applyAlignment="1">
      <alignment horizontal="center" vertical="center"/>
    </xf>
    <xf numFmtId="0" fontId="3" fillId="0" borderId="5" xfId="2" applyBorder="1" applyAlignment="1">
      <alignment horizontal="center" vertical="center"/>
    </xf>
    <xf numFmtId="0" fontId="3" fillId="0" borderId="1" xfId="2" applyAlignment="1">
      <alignment horizontal="center"/>
    </xf>
    <xf numFmtId="0" fontId="30" fillId="0" borderId="1" xfId="2" applyFont="1" applyAlignment="1">
      <alignment horizontal="left" vertical="center" readingOrder="1"/>
    </xf>
    <xf numFmtId="0" fontId="3" fillId="35" borderId="43" xfId="2" applyFill="1" applyBorder="1" applyAlignment="1">
      <alignment horizontal="center" vertical="center"/>
    </xf>
    <xf numFmtId="0" fontId="3" fillId="35" borderId="24" xfId="2" applyFill="1" applyBorder="1" applyAlignment="1">
      <alignment horizontal="center" vertical="center"/>
    </xf>
    <xf numFmtId="0" fontId="3" fillId="0" borderId="24" xfId="2" applyBorder="1"/>
    <xf numFmtId="0" fontId="3" fillId="25" borderId="24" xfId="2" applyFill="1" applyBorder="1" applyAlignment="1">
      <alignment horizontal="right"/>
    </xf>
    <xf numFmtId="0" fontId="3" fillId="25" borderId="44" xfId="2" applyFill="1" applyBorder="1" applyAlignment="1">
      <alignment horizontal="right"/>
    </xf>
    <xf numFmtId="0" fontId="3" fillId="35" borderId="45" xfId="2" applyFill="1" applyBorder="1" applyAlignment="1">
      <alignment horizontal="center" vertical="center"/>
    </xf>
    <xf numFmtId="0" fontId="3" fillId="35" borderId="2" xfId="2" applyFill="1" applyBorder="1" applyAlignment="1">
      <alignment horizontal="center" vertical="center"/>
    </xf>
    <xf numFmtId="0" fontId="31" fillId="9" borderId="2" xfId="2" applyFont="1" applyFill="1" applyBorder="1" applyAlignment="1">
      <alignment horizontal="center" vertical="center"/>
    </xf>
    <xf numFmtId="0" fontId="32" fillId="25" borderId="2" xfId="2" applyFont="1" applyFill="1" applyBorder="1" applyAlignment="1">
      <alignment horizontal="center" vertical="center"/>
    </xf>
    <xf numFmtId="0" fontId="32" fillId="25" borderId="7" xfId="2" applyFont="1" applyFill="1" applyBorder="1" applyAlignment="1">
      <alignment horizontal="center" vertical="center"/>
    </xf>
    <xf numFmtId="0" fontId="31" fillId="10" borderId="2" xfId="2" applyFont="1" applyFill="1" applyBorder="1" applyAlignment="1">
      <alignment horizontal="center"/>
    </xf>
    <xf numFmtId="0" fontId="31" fillId="10" borderId="2" xfId="2" applyFont="1" applyFill="1" applyBorder="1" applyAlignment="1">
      <alignment horizontal="center" vertical="center"/>
    </xf>
    <xf numFmtId="0" fontId="32" fillId="25" borderId="2" xfId="2" applyFont="1" applyFill="1" applyBorder="1" applyAlignment="1">
      <alignment horizontal="center"/>
    </xf>
    <xf numFmtId="0" fontId="32" fillId="25" borderId="7" xfId="2" applyFont="1" applyFill="1" applyBorder="1" applyAlignment="1">
      <alignment horizontal="center"/>
    </xf>
    <xf numFmtId="17" fontId="32" fillId="25" borderId="2" xfId="2" applyNumberFormat="1" applyFont="1" applyFill="1" applyBorder="1" applyAlignment="1">
      <alignment horizontal="center"/>
    </xf>
    <xf numFmtId="0" fontId="34" fillId="25" borderId="2" xfId="2" applyFont="1" applyFill="1" applyBorder="1" applyAlignment="1">
      <alignment horizontal="center" vertical="center"/>
    </xf>
    <xf numFmtId="0" fontId="34" fillId="25" borderId="7" xfId="2" applyFont="1" applyFill="1" applyBorder="1" applyAlignment="1">
      <alignment horizontal="center" vertical="center"/>
    </xf>
    <xf numFmtId="0" fontId="3" fillId="35" borderId="46" xfId="2" applyFill="1" applyBorder="1" applyAlignment="1">
      <alignment horizontal="center" vertical="center"/>
    </xf>
    <xf numFmtId="0" fontId="3" fillId="35" borderId="27" xfId="2" applyFill="1" applyBorder="1" applyAlignment="1">
      <alignment horizontal="center" vertical="center"/>
    </xf>
    <xf numFmtId="0" fontId="31" fillId="9" borderId="27" xfId="2" applyFont="1" applyFill="1" applyBorder="1" applyAlignment="1">
      <alignment horizontal="center" vertical="center"/>
    </xf>
    <xf numFmtId="0" fontId="34" fillId="25" borderId="27" xfId="2" applyFont="1" applyFill="1" applyBorder="1" applyAlignment="1">
      <alignment horizontal="center" vertical="center"/>
    </xf>
    <xf numFmtId="0" fontId="34" fillId="25" borderId="28" xfId="2" applyFont="1" applyFill="1" applyBorder="1" applyAlignment="1">
      <alignment horizontal="center" vertical="center"/>
    </xf>
    <xf numFmtId="0" fontId="2" fillId="35" borderId="1" xfId="3" applyFill="1" applyAlignment="1">
      <alignment vertical="center" wrapText="1"/>
    </xf>
    <xf numFmtId="0" fontId="2" fillId="35" borderId="1" xfId="3" applyFill="1" applyAlignment="1">
      <alignment horizontal="left" vertical="center" wrapText="1"/>
    </xf>
    <xf numFmtId="0" fontId="2" fillId="35" borderId="1" xfId="3" applyFill="1" applyAlignment="1">
      <alignment horizontal="center" vertical="center" wrapText="1"/>
    </xf>
    <xf numFmtId="164" fontId="2" fillId="35" borderId="1" xfId="3" applyNumberFormat="1" applyFill="1" applyAlignment="1">
      <alignment horizontal="center" vertical="center" wrapText="1"/>
    </xf>
    <xf numFmtId="1" fontId="2" fillId="35" borderId="1" xfId="3" applyNumberFormat="1" applyFill="1" applyAlignment="1">
      <alignment vertical="center" wrapText="1"/>
    </xf>
    <xf numFmtId="1" fontId="2" fillId="35" borderId="1" xfId="3" applyNumberFormat="1" applyFill="1" applyAlignment="1">
      <alignment horizontal="center" vertical="center" wrapText="1"/>
    </xf>
    <xf numFmtId="0" fontId="2" fillId="12" borderId="1" xfId="3" applyFill="1" applyAlignment="1">
      <alignment horizontal="center" vertical="center" wrapText="1"/>
    </xf>
    <xf numFmtId="0" fontId="2" fillId="0" borderId="1" xfId="3"/>
    <xf numFmtId="0" fontId="2" fillId="0" borderId="1" xfId="3" applyAlignment="1">
      <alignment horizontal="center" vertical="center"/>
    </xf>
    <xf numFmtId="164" fontId="2" fillId="0" borderId="1" xfId="3" applyNumberFormat="1" applyAlignment="1">
      <alignment horizontal="center" vertical="center"/>
    </xf>
    <xf numFmtId="1" fontId="2" fillId="0" borderId="1" xfId="3" applyNumberFormat="1"/>
    <xf numFmtId="1" fontId="2" fillId="0" borderId="1" xfId="3" applyNumberFormat="1" applyAlignment="1">
      <alignment horizontal="center"/>
    </xf>
    <xf numFmtId="1" fontId="2" fillId="0" borderId="1" xfId="3" applyNumberFormat="1" applyAlignment="1">
      <alignment horizontal="center" vertical="center"/>
    </xf>
    <xf numFmtId="0" fontId="2" fillId="12" borderId="1" xfId="3" applyFill="1"/>
    <xf numFmtId="0" fontId="2" fillId="32" borderId="1" xfId="3" applyFill="1"/>
    <xf numFmtId="0" fontId="2" fillId="32" borderId="1" xfId="3" applyFill="1" applyAlignment="1">
      <alignment horizontal="center" vertical="center"/>
    </xf>
    <xf numFmtId="164" fontId="2" fillId="32" borderId="1" xfId="3" applyNumberFormat="1" applyFill="1" applyAlignment="1">
      <alignment horizontal="center" vertical="center"/>
    </xf>
    <xf numFmtId="1" fontId="2" fillId="32" borderId="1" xfId="3" applyNumberFormat="1" applyFill="1"/>
    <xf numFmtId="1" fontId="2" fillId="32" borderId="1" xfId="3" applyNumberFormat="1" applyFill="1" applyAlignment="1">
      <alignment horizontal="center"/>
    </xf>
    <xf numFmtId="1" fontId="2" fillId="32" borderId="1" xfId="3" applyNumberFormat="1" applyFill="1" applyAlignment="1">
      <alignment horizontal="center" vertical="center"/>
    </xf>
    <xf numFmtId="0" fontId="2" fillId="15" borderId="1" xfId="3" applyFill="1"/>
    <xf numFmtId="0" fontId="2" fillId="15" borderId="1" xfId="3" applyFill="1" applyAlignment="1">
      <alignment horizontal="center" vertical="center"/>
    </xf>
    <xf numFmtId="164" fontId="2" fillId="15" borderId="1" xfId="3" applyNumberFormat="1" applyFill="1" applyAlignment="1">
      <alignment horizontal="center" vertical="center"/>
    </xf>
    <xf numFmtId="1" fontId="2" fillId="15" borderId="1" xfId="3" applyNumberFormat="1" applyFill="1"/>
    <xf numFmtId="1" fontId="2" fillId="15" borderId="1" xfId="3" applyNumberFormat="1" applyFill="1" applyAlignment="1">
      <alignment horizontal="center"/>
    </xf>
    <xf numFmtId="1" fontId="2" fillId="15" borderId="1" xfId="3" applyNumberFormat="1" applyFill="1" applyAlignment="1">
      <alignment horizontal="center" vertical="center"/>
    </xf>
    <xf numFmtId="0" fontId="2" fillId="13" borderId="1" xfId="3" applyFill="1"/>
    <xf numFmtId="0" fontId="2" fillId="13" borderId="1" xfId="3" applyFill="1" applyAlignment="1">
      <alignment horizontal="center" vertical="center"/>
    </xf>
    <xf numFmtId="164" fontId="2" fillId="13" borderId="1" xfId="3" applyNumberFormat="1" applyFill="1" applyAlignment="1">
      <alignment horizontal="center" vertical="center"/>
    </xf>
    <xf numFmtId="1" fontId="2" fillId="13" borderId="1" xfId="3" applyNumberFormat="1" applyFill="1"/>
    <xf numFmtId="1" fontId="2" fillId="13" borderId="1" xfId="3" applyNumberFormat="1" applyFill="1" applyAlignment="1">
      <alignment horizontal="center"/>
    </xf>
    <xf numFmtId="1" fontId="2" fillId="13" borderId="1" xfId="3" applyNumberFormat="1" applyFill="1" applyAlignment="1">
      <alignment horizontal="center" vertical="center"/>
    </xf>
    <xf numFmtId="0" fontId="2" fillId="33" borderId="1" xfId="3" applyFill="1"/>
    <xf numFmtId="0" fontId="2" fillId="33" borderId="1" xfId="3" applyFill="1" applyAlignment="1">
      <alignment horizontal="center" vertical="center"/>
    </xf>
    <xf numFmtId="1" fontId="2" fillId="33" borderId="1" xfId="3" applyNumberFormat="1" applyFill="1"/>
    <xf numFmtId="1" fontId="2" fillId="33" borderId="1" xfId="3" applyNumberFormat="1" applyFill="1" applyAlignment="1">
      <alignment horizontal="center" vertical="center"/>
    </xf>
    <xf numFmtId="0" fontId="2" fillId="0" borderId="1" xfId="3" applyAlignment="1">
      <alignment horizontal="left" vertical="center"/>
    </xf>
    <xf numFmtId="0" fontId="2" fillId="12" borderId="1" xfId="3" applyFill="1" applyAlignment="1">
      <alignment horizontal="center" vertical="center"/>
    </xf>
    <xf numFmtId="0" fontId="2" fillId="35" borderId="1" xfId="3" applyFill="1" applyAlignment="1">
      <alignment wrapText="1"/>
    </xf>
    <xf numFmtId="1" fontId="2" fillId="35" borderId="1" xfId="3" applyNumberFormat="1" applyFill="1" applyAlignment="1">
      <alignment wrapText="1"/>
    </xf>
    <xf numFmtId="1" fontId="2" fillId="35" borderId="1" xfId="3" applyNumberFormat="1" applyFill="1" applyAlignment="1">
      <alignment horizontal="center" wrapText="1"/>
    </xf>
    <xf numFmtId="0" fontId="17" fillId="0" borderId="1" xfId="4" applyFont="1" applyAlignment="1">
      <alignment horizontal="center" wrapText="1"/>
    </xf>
    <xf numFmtId="0" fontId="18" fillId="9" borderId="1" xfId="4" applyFont="1" applyFill="1" applyAlignment="1">
      <alignment horizontal="center" wrapText="1"/>
    </xf>
    <xf numFmtId="0" fontId="1" fillId="0" borderId="1" xfId="4" applyAlignment="1">
      <alignment horizontal="center" vertical="center" wrapText="1"/>
    </xf>
    <xf numFmtId="0" fontId="1" fillId="0" borderId="1" xfId="4"/>
    <xf numFmtId="0" fontId="18" fillId="9" borderId="4" xfId="4" applyFont="1" applyFill="1" applyBorder="1" applyAlignment="1">
      <alignment horizontal="center" wrapText="1"/>
    </xf>
    <xf numFmtId="164" fontId="1" fillId="0" borderId="1" xfId="4" applyNumberFormat="1" applyAlignment="1">
      <alignment horizontal="center" vertical="center" wrapText="1"/>
    </xf>
    <xf numFmtId="0" fontId="18" fillId="10" borderId="5" xfId="4" applyFont="1" applyFill="1" applyBorder="1" applyAlignment="1">
      <alignment horizontal="center" wrapText="1"/>
    </xf>
    <xf numFmtId="0" fontId="18" fillId="9" borderId="5" xfId="4" applyFont="1" applyFill="1" applyBorder="1" applyAlignment="1">
      <alignment horizontal="center" wrapText="1"/>
    </xf>
    <xf numFmtId="0" fontId="18" fillId="9" borderId="6" xfId="4" applyFont="1" applyFill="1" applyBorder="1" applyAlignment="1">
      <alignment horizontal="center" wrapText="1"/>
    </xf>
    <xf numFmtId="0" fontId="13" fillId="0" borderId="2" xfId="1" applyFont="1" applyBorder="1" applyAlignment="1">
      <alignment horizontal="center" vertical="top" wrapText="1"/>
    </xf>
    <xf numFmtId="0" fontId="3" fillId="0" borderId="25" xfId="2" applyBorder="1" applyAlignment="1">
      <alignment horizontal="center" vertical="center"/>
    </xf>
    <xf numFmtId="0" fontId="3" fillId="0" borderId="26" xfId="2" applyBorder="1" applyAlignment="1">
      <alignment horizontal="center" vertical="center"/>
    </xf>
    <xf numFmtId="0" fontId="3" fillId="0" borderId="14" xfId="2" applyBorder="1" applyAlignment="1">
      <alignment horizontal="center" vertical="center"/>
    </xf>
    <xf numFmtId="0" fontId="3" fillId="0" borderId="11" xfId="2" applyBorder="1" applyAlignment="1">
      <alignment horizontal="center" vertical="center"/>
    </xf>
    <xf numFmtId="0" fontId="3" fillId="0" borderId="15" xfId="2" applyBorder="1" applyAlignment="1">
      <alignment horizontal="center" vertical="center"/>
    </xf>
    <xf numFmtId="0" fontId="3" fillId="0" borderId="12" xfId="2" applyBorder="1" applyAlignment="1">
      <alignment horizontal="center" vertical="center"/>
    </xf>
    <xf numFmtId="0" fontId="14" fillId="23" borderId="1" xfId="2" applyFont="1" applyFill="1" applyAlignment="1">
      <alignment horizontal="center"/>
    </xf>
    <xf numFmtId="0" fontId="3" fillId="30" borderId="9" xfId="2" applyFill="1" applyBorder="1" applyAlignment="1">
      <alignment horizontal="center" vertical="center"/>
    </xf>
    <xf numFmtId="0" fontId="3" fillId="25" borderId="9" xfId="2" applyFill="1" applyBorder="1" applyAlignment="1">
      <alignment horizontal="center" vertical="center"/>
    </xf>
    <xf numFmtId="0" fontId="3" fillId="31" borderId="9" xfId="2" applyFill="1" applyBorder="1" applyAlignment="1">
      <alignment horizontal="center" vertical="center"/>
    </xf>
    <xf numFmtId="0" fontId="16" fillId="0" borderId="35" xfId="2" applyFont="1" applyBorder="1" applyAlignment="1">
      <alignment horizontal="center" vertical="center"/>
    </xf>
    <xf numFmtId="0" fontId="16" fillId="0" borderId="38" xfId="2" applyFont="1" applyBorder="1" applyAlignment="1">
      <alignment horizontal="center" vertical="center"/>
    </xf>
  </cellXfs>
  <cellStyles count="5">
    <cellStyle name="Normal" xfId="0" builtinId="0"/>
    <cellStyle name="Normal 2" xfId="1" xr:uid="{272E31EF-E5D9-4C16-A054-46F0762514C1}"/>
    <cellStyle name="Normal 3" xfId="2" xr:uid="{C09A6B0A-38BA-43C2-A814-5A7A2AA90ADF}"/>
    <cellStyle name="Normal 4" xfId="3" xr:uid="{E34087EB-EDE2-4858-B7B5-D6AC47C8138A}"/>
    <cellStyle name="Normal 5" xfId="4" xr:uid="{D5366376-A4C4-488E-B1B4-67FB8FF726CB}"/>
  </cellStyles>
  <dxfs count="102">
    <dxf>
      <fill>
        <patternFill patternType="solid">
          <bgColor rgb="FFFFC7CE"/>
        </patternFill>
      </fill>
    </dxf>
    <dxf>
      <fill>
        <patternFill patternType="solid">
          <bgColor rgb="FFFFEB9C"/>
        </patternFill>
      </fill>
    </dxf>
    <dxf>
      <fill>
        <patternFill patternType="solid"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EB9C"/>
        </patternFill>
      </fill>
    </dxf>
    <dxf>
      <fill>
        <patternFill patternType="solid"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EB9C"/>
        </patternFill>
      </fill>
    </dxf>
    <dxf>
      <fill>
        <patternFill patternType="solid"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EB9C"/>
        </patternFill>
      </fill>
    </dxf>
    <dxf>
      <fill>
        <patternFill patternType="solid"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</dxf>
    <dxf>
      <numFmt numFmtId="164" formatCode="0.0"/>
      <alignment horizontal="center" vertical="center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</dxf>
    <dxf>
      <numFmt numFmtId="1" formatCode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" formatCode="0"/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0.0"/>
      <alignment horizontal="center" vertical="center" textRotation="0" wrapText="1" indent="0" justifyLastLine="0" shrinkToFit="0" readingOrder="0"/>
    </dxf>
    <dxf>
      <numFmt numFmtId="164" formatCode="0.0"/>
      <alignment horizontal="center" vertical="center" textRotation="0" wrapText="1" indent="0" justifyLastLine="0" shrinkToFit="0" readingOrder="0"/>
    </dxf>
    <dxf>
      <numFmt numFmtId="164" formatCode="0.0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medium">
          <color indexed="64"/>
        </top>
        <bottom style="medium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0.0"/>
      <fill>
        <patternFill patternType="solid">
          <fgColor indexed="64"/>
          <bgColor theme="5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0.0"/>
      <fill>
        <patternFill patternType="solid">
          <fgColor indexed="64"/>
          <bgColor rgb="FFFFFF00"/>
        </patternFill>
      </fill>
      <alignment horizontal="center" vertical="bottom" textRotation="0" wrapText="1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0.0"/>
      <fill>
        <patternFill patternType="solid">
          <fgColor indexed="64"/>
          <bgColor rgb="FFFFFF00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0.0"/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0.0"/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0.0"/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0.0"/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0.0"/>
      <fill>
        <patternFill patternType="solid">
          <fgColor indexed="64"/>
          <bgColor rgb="FFFFFF00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6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6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5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5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 tint="-0.34998626667073579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 tint="-0.34998626667073579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1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3" tint="0.74999237037263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3" tint="0.749992370372631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rgb="FFFF0000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0.0"/>
      <alignment horizontal="center" vertical="center" textRotation="0" wrapText="1" indent="0" justifyLastLine="0" shrinkToFit="0" readingOrder="0"/>
    </dxf>
    <dxf>
      <numFmt numFmtId="164" formatCode="0.0"/>
      <alignment horizontal="center" vertical="center" textRotation="0" wrapText="1" indent="0" justifyLastLine="0" shrinkToFit="0" readingOrder="0"/>
    </dxf>
    <dxf>
      <numFmt numFmtId="164" formatCode="0.0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medium">
          <color indexed="64"/>
        </top>
        <bottom style="medium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Invisible" pivot="0" table="0" count="0" xr9:uid="{9DCEACE0-B9E6-489C-B5D4-59E94B21ADC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165395717641782"/>
          <c:y val="0.10254012275267232"/>
          <c:w val="0.81749633431525237"/>
          <c:h val="0.75113562915212051"/>
        </c:manualLayout>
      </c:layout>
      <c:scatterChart>
        <c:scatterStyle val="lineMarker"/>
        <c:varyColors val="0"/>
        <c:ser>
          <c:idx val="0"/>
          <c:order val="0"/>
          <c:tx>
            <c:v>f_oil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16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39700" h="139700"/>
              </a:sp3d>
            </c:spPr>
          </c:marker>
          <c:xVal>
            <c:numRef>
              <c:f>'Phase Behavior Results'!$C$386:$C$394</c:f>
              <c:numCache>
                <c:formatCode>0.00</c:formatCode>
                <c:ptCount val="9"/>
                <c:pt idx="0">
                  <c:v>0.53558718861209897</c:v>
                </c:pt>
                <c:pt idx="1">
                  <c:v>1.0738434163701001</c:v>
                </c:pt>
                <c:pt idx="2">
                  <c:v>1.6032028469750801</c:v>
                </c:pt>
                <c:pt idx="3">
                  <c:v>2.1281138790035499</c:v>
                </c:pt>
                <c:pt idx="4">
                  <c:v>2.6530249110320199</c:v>
                </c:pt>
                <c:pt idx="5">
                  <c:v>3.1645907473309598</c:v>
                </c:pt>
                <c:pt idx="6">
                  <c:v>3.6895017793594298</c:v>
                </c:pt>
                <c:pt idx="7">
                  <c:v>4.1877224199288197</c:v>
                </c:pt>
                <c:pt idx="8">
                  <c:v>4.6859430604982197</c:v>
                </c:pt>
              </c:numCache>
            </c:numRef>
          </c:xVal>
          <c:yVal>
            <c:numRef>
              <c:f>'Phase Behavior Results'!$D$386:$D$394</c:f>
              <c:numCache>
                <c:formatCode>0.00</c:formatCode>
                <c:ptCount val="9"/>
                <c:pt idx="0">
                  <c:v>0.88145896656534894</c:v>
                </c:pt>
                <c:pt idx="1">
                  <c:v>2.4620060790273501</c:v>
                </c:pt>
                <c:pt idx="2">
                  <c:v>2.88753799392097</c:v>
                </c:pt>
                <c:pt idx="3">
                  <c:v>4.3161094224924001</c:v>
                </c:pt>
                <c:pt idx="4">
                  <c:v>5.18</c:v>
                </c:pt>
                <c:pt idx="5">
                  <c:v>6.2917933130699</c:v>
                </c:pt>
                <c:pt idx="6">
                  <c:v>7.9939209726443696</c:v>
                </c:pt>
                <c:pt idx="7">
                  <c:v>9.3920972644376892</c:v>
                </c:pt>
                <c:pt idx="8">
                  <c:v>14.285714285714199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69-48F2-9816-3C062BD462B1}"/>
            </c:ext>
          </c:extLst>
        </c:ser>
        <c:ser>
          <c:idx val="1"/>
          <c:order val="1"/>
          <c:tx>
            <c:v>f_h20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6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39700" h="139700"/>
              </a:sp3d>
            </c:spPr>
          </c:marker>
          <c:xVal>
            <c:numRef>
              <c:f>'Phase Behavior Results'!$E$386:$E$387</c:f>
              <c:numCache>
                <c:formatCode>0.00</c:formatCode>
                <c:ptCount val="2"/>
                <c:pt idx="0">
                  <c:v>4.6814946619217004</c:v>
                </c:pt>
                <c:pt idx="1">
                  <c:v>5.1975088967971503</c:v>
                </c:pt>
              </c:numCache>
            </c:numRef>
          </c:xVal>
          <c:yVal>
            <c:numRef>
              <c:f>'Phase Behavior Results'!$F$386:$F$387</c:f>
              <c:numCache>
                <c:formatCode>0.00</c:formatCode>
                <c:ptCount val="2"/>
                <c:pt idx="0">
                  <c:v>11.3981762917933</c:v>
                </c:pt>
                <c:pt idx="1">
                  <c:v>5.8662613981762899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469-48F2-9816-3C062BD462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6023007"/>
        <c:axId val="2106039807"/>
      </c:scatterChart>
      <c:valAx>
        <c:axId val="2106023007"/>
        <c:scaling>
          <c:orientation val="minMax"/>
          <c:min val="0.5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crossAx val="2106039807"/>
        <c:crosses val="autoZero"/>
        <c:crossBetween val="midCat"/>
      </c:valAx>
      <c:valAx>
        <c:axId val="2106039807"/>
        <c:scaling>
          <c:orientation val="minMax"/>
          <c:max val="20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crossAx val="21060230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962770078658056"/>
          <c:y val="0.11357357250969219"/>
          <c:w val="0.79818042378450749"/>
          <c:h val="0.74638525964992719"/>
        </c:manualLayout>
      </c:layout>
      <c:scatterChart>
        <c:scatterStyle val="lineMarker"/>
        <c:varyColors val="0"/>
        <c:ser>
          <c:idx val="0"/>
          <c:order val="0"/>
          <c:tx>
            <c:v>f_oil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16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39700" h="139700"/>
              </a:sp3d>
            </c:spPr>
          </c:marker>
          <c:xVal>
            <c:numRef>
              <c:f>'Phase Behavior Results'!$C$352:$C$355</c:f>
              <c:numCache>
                <c:formatCode>0.00</c:formatCode>
                <c:ptCount val="4"/>
                <c:pt idx="0">
                  <c:v>0.53</c:v>
                </c:pt>
                <c:pt idx="1">
                  <c:v>1.0649999999999999</c:v>
                </c:pt>
                <c:pt idx="2">
                  <c:v>1.60424028268551</c:v>
                </c:pt>
                <c:pt idx="3">
                  <c:v>2.12</c:v>
                </c:pt>
              </c:numCache>
            </c:numRef>
          </c:xVal>
          <c:yVal>
            <c:numRef>
              <c:f>'Phase Behavior Results'!$D$352:$D$355</c:f>
              <c:numCache>
                <c:formatCode>0.00</c:formatCode>
                <c:ptCount val="4"/>
                <c:pt idx="0">
                  <c:v>1.28</c:v>
                </c:pt>
                <c:pt idx="1">
                  <c:v>1.9578313253012001</c:v>
                </c:pt>
                <c:pt idx="2">
                  <c:v>7.0783132530120403</c:v>
                </c:pt>
                <c:pt idx="3">
                  <c:v>15.5722891566265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22D-4A36-9E74-D4A035E05DF0}"/>
            </c:ext>
          </c:extLst>
        </c:ser>
        <c:ser>
          <c:idx val="1"/>
          <c:order val="1"/>
          <c:tx>
            <c:v>f_h20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6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39700" h="139700"/>
              </a:sp3d>
            </c:spPr>
          </c:marker>
          <c:xVal>
            <c:numRef>
              <c:f>'Phase Behavior Results'!$E$352:$E$358</c:f>
              <c:numCache>
                <c:formatCode>0.00</c:formatCode>
                <c:ptCount val="7"/>
                <c:pt idx="0">
                  <c:v>2.12</c:v>
                </c:pt>
                <c:pt idx="1">
                  <c:v>2.64</c:v>
                </c:pt>
                <c:pt idx="2">
                  <c:v>3.17</c:v>
                </c:pt>
                <c:pt idx="3">
                  <c:v>3.6934628975265</c:v>
                </c:pt>
                <c:pt idx="4">
                  <c:v>4.20141342756183</c:v>
                </c:pt>
                <c:pt idx="5">
                  <c:v>4.7</c:v>
                </c:pt>
                <c:pt idx="6">
                  <c:v>5.2040636042402797</c:v>
                </c:pt>
              </c:numCache>
            </c:numRef>
          </c:xVal>
          <c:yVal>
            <c:numRef>
              <c:f>'Phase Behavior Results'!$F$352:$F$358</c:f>
              <c:numCache>
                <c:formatCode>0.00</c:formatCode>
                <c:ptCount val="7"/>
                <c:pt idx="0">
                  <c:v>18.11</c:v>
                </c:pt>
                <c:pt idx="1">
                  <c:v>5.89</c:v>
                </c:pt>
                <c:pt idx="2">
                  <c:v>3.3</c:v>
                </c:pt>
                <c:pt idx="3">
                  <c:v>1.2951807228915599</c:v>
                </c:pt>
                <c:pt idx="4">
                  <c:v>0.66265060240963802</c:v>
                </c:pt>
                <c:pt idx="5">
                  <c:v>0.68</c:v>
                </c:pt>
                <c:pt idx="6">
                  <c:v>0.1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22D-4A36-9E74-D4A035E05D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6793151"/>
        <c:axId val="1746795071"/>
      </c:scatterChart>
      <c:valAx>
        <c:axId val="1746793151"/>
        <c:scaling>
          <c:orientation val="minMax"/>
          <c:min val="0.5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crossAx val="1746795071"/>
        <c:crosses val="autoZero"/>
        <c:crossBetween val="midCat"/>
      </c:valAx>
      <c:valAx>
        <c:axId val="174679507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crossAx val="17467931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Formulation 28. Figure 16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649223592544038"/>
          <c:y val="9.7360315610076589E-2"/>
          <c:w val="0.83541894433306196"/>
          <c:h val="0.75989422790160144"/>
        </c:manualLayout>
      </c:layout>
      <c:scatterChart>
        <c:scatterStyle val="lineMarker"/>
        <c:varyColors val="0"/>
        <c:ser>
          <c:idx val="0"/>
          <c:order val="0"/>
          <c:tx>
            <c:v>f_Oil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39700" h="139700"/>
              </a:sp3d>
            </c:spPr>
          </c:marker>
          <c:xVal>
            <c:numRef>
              <c:f>'Phase Behavior Results'!$C$250:$C$253</c:f>
              <c:numCache>
                <c:formatCode>0.00</c:formatCode>
                <c:ptCount val="4"/>
                <c:pt idx="0">
                  <c:v>0.54317789291882501</c:v>
                </c:pt>
                <c:pt idx="1">
                  <c:v>1.0785837651122601</c:v>
                </c:pt>
                <c:pt idx="2">
                  <c:v>1.6053540587219299</c:v>
                </c:pt>
                <c:pt idx="3">
                  <c:v>2.1278065630397198</c:v>
                </c:pt>
              </c:numCache>
            </c:numRef>
          </c:xVal>
          <c:yVal>
            <c:numRef>
              <c:f>'Phase Behavior Results'!$D$250:$D$253</c:f>
              <c:numCache>
                <c:formatCode>0.00</c:formatCode>
                <c:ptCount val="4"/>
                <c:pt idx="0">
                  <c:v>2.9411764705882302</c:v>
                </c:pt>
                <c:pt idx="1">
                  <c:v>3.8235294117646998</c:v>
                </c:pt>
                <c:pt idx="2">
                  <c:v>5.8823529411764701</c:v>
                </c:pt>
                <c:pt idx="3">
                  <c:v>16.029411764705799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BE9-4F94-A43E-0453FBA32DF7}"/>
            </c:ext>
          </c:extLst>
        </c:ser>
        <c:ser>
          <c:idx val="1"/>
          <c:order val="1"/>
          <c:tx>
            <c:v>f_H20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6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39700" h="139700"/>
              </a:sp3d>
            </c:spPr>
          </c:marker>
          <c:xVal>
            <c:numRef>
              <c:f>'Phase Behavior Results'!$E$250:$E$255</c:f>
              <c:numCache>
                <c:formatCode>0.00</c:formatCode>
                <c:ptCount val="6"/>
                <c:pt idx="0">
                  <c:v>2.6502590673575099</c:v>
                </c:pt>
                <c:pt idx="1">
                  <c:v>3.1727115716753</c:v>
                </c:pt>
                <c:pt idx="2">
                  <c:v>3.6908462867012002</c:v>
                </c:pt>
                <c:pt idx="3">
                  <c:v>4.1960276338514602</c:v>
                </c:pt>
                <c:pt idx="4">
                  <c:v>4.6925734024179597</c:v>
                </c:pt>
                <c:pt idx="5">
                  <c:v>5.2063903281519801</c:v>
                </c:pt>
              </c:numCache>
            </c:numRef>
          </c:xVal>
          <c:yVal>
            <c:numRef>
              <c:f>'Phase Behavior Results'!$F$250:$F$255</c:f>
              <c:numCache>
                <c:formatCode>0.00</c:formatCode>
                <c:ptCount val="6"/>
                <c:pt idx="0">
                  <c:v>6.3235294117647003</c:v>
                </c:pt>
                <c:pt idx="1">
                  <c:v>3.8823529411764701</c:v>
                </c:pt>
                <c:pt idx="2">
                  <c:v>1.97058823529411</c:v>
                </c:pt>
                <c:pt idx="3">
                  <c:v>1.47058823529411</c:v>
                </c:pt>
                <c:pt idx="4">
                  <c:v>1</c:v>
                </c:pt>
                <c:pt idx="5">
                  <c:v>2.94117647058823E-2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BE9-4F94-A43E-0453FBA32D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50928"/>
        <c:axId val="3441808"/>
      </c:scatterChart>
      <c:valAx>
        <c:axId val="3450928"/>
        <c:scaling>
          <c:orientation val="minMax"/>
          <c:min val="0.5"/>
        </c:scaling>
        <c:delete val="1"/>
        <c:axPos val="b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2">
                  <a:lumMod val="90000"/>
                </a:schemeClr>
              </a:solidFill>
              <a:round/>
            </a:ln>
            <a:effectLst/>
          </c:spPr>
        </c:minorGridlines>
        <c:numFmt formatCode="0.00" sourceLinked="1"/>
        <c:majorTickMark val="none"/>
        <c:minorTickMark val="none"/>
        <c:tickLblPos val="nextTo"/>
        <c:crossAx val="3441808"/>
        <c:crosses val="autoZero"/>
        <c:crossBetween val="midCat"/>
      </c:valAx>
      <c:valAx>
        <c:axId val="3441808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0928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Formulation 17. Figure 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323698679644791"/>
          <c:y val="0.10595013772374688"/>
          <c:w val="0.7901352766848222"/>
          <c:h val="0.73295835604442272"/>
        </c:manualLayout>
      </c:layout>
      <c:scatterChart>
        <c:scatterStyle val="lineMarker"/>
        <c:varyColors val="0"/>
        <c:ser>
          <c:idx val="0"/>
          <c:order val="0"/>
          <c:tx>
            <c:v>Formulation_Oil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14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39700" h="139700"/>
              </a:sp3d>
            </c:spPr>
          </c:marker>
          <c:xVal>
            <c:numRef>
              <c:f>'Phase Behavior Results'!$C$114:$C$122</c:f>
              <c:numCache>
                <c:formatCode>0.00</c:formatCode>
                <c:ptCount val="9"/>
                <c:pt idx="0">
                  <c:v>0.54</c:v>
                </c:pt>
                <c:pt idx="1">
                  <c:v>1.08067375886524</c:v>
                </c:pt>
                <c:pt idx="2">
                  <c:v>1.6</c:v>
                </c:pt>
                <c:pt idx="3">
                  <c:v>2.1312056737588598</c:v>
                </c:pt>
                <c:pt idx="4">
                  <c:v>2.65868794326241</c:v>
                </c:pt>
                <c:pt idx="5">
                  <c:v>3.1749999999999998</c:v>
                </c:pt>
                <c:pt idx="6">
                  <c:v>3.6870567375886498</c:v>
                </c:pt>
                <c:pt idx="7">
                  <c:v>4.19237588652482</c:v>
                </c:pt>
                <c:pt idx="8">
                  <c:v>4.6843971631205603</c:v>
                </c:pt>
              </c:numCache>
            </c:numRef>
          </c:xVal>
          <c:yVal>
            <c:numRef>
              <c:f>'Phase Behavior Results'!$D$114:$D$122</c:f>
              <c:numCache>
                <c:formatCode>0.00</c:formatCode>
                <c:ptCount val="9"/>
                <c:pt idx="0">
                  <c:v>0.85</c:v>
                </c:pt>
                <c:pt idx="1">
                  <c:v>1.35</c:v>
                </c:pt>
                <c:pt idx="2">
                  <c:v>1.85</c:v>
                </c:pt>
                <c:pt idx="3">
                  <c:v>2.85</c:v>
                </c:pt>
                <c:pt idx="4">
                  <c:v>3.7</c:v>
                </c:pt>
                <c:pt idx="5">
                  <c:v>6.05</c:v>
                </c:pt>
                <c:pt idx="6">
                  <c:v>8.65</c:v>
                </c:pt>
                <c:pt idx="7">
                  <c:v>10.9</c:v>
                </c:pt>
                <c:pt idx="8">
                  <c:v>16.350000000000001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1D-4645-802D-FCA34D34BCD0}"/>
            </c:ext>
          </c:extLst>
        </c:ser>
        <c:ser>
          <c:idx val="1"/>
          <c:order val="1"/>
          <c:tx>
            <c:v>Formulation_Water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4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39700" h="139700"/>
              </a:sp3d>
            </c:spPr>
          </c:marker>
          <c:xVal>
            <c:numRef>
              <c:f>'Phase Behavior Results'!$E$114:$E$117</c:f>
              <c:numCache>
                <c:formatCode>0.00</c:formatCode>
                <c:ptCount val="4"/>
                <c:pt idx="0">
                  <c:v>3.6826241134751698</c:v>
                </c:pt>
                <c:pt idx="1">
                  <c:v>4.19237588652482</c:v>
                </c:pt>
                <c:pt idx="2">
                  <c:v>4.6932624113475097</c:v>
                </c:pt>
                <c:pt idx="3">
                  <c:v>5.1985815602836798</c:v>
                </c:pt>
              </c:numCache>
            </c:numRef>
          </c:xVal>
          <c:yVal>
            <c:numRef>
              <c:f>'Phase Behavior Results'!$F$114:$F$117</c:f>
              <c:numCache>
                <c:formatCode>0.00</c:formatCode>
                <c:ptCount val="4"/>
                <c:pt idx="0">
                  <c:v>13.95</c:v>
                </c:pt>
                <c:pt idx="1">
                  <c:v>7.55</c:v>
                </c:pt>
                <c:pt idx="2">
                  <c:v>4.3</c:v>
                </c:pt>
                <c:pt idx="3">
                  <c:v>3.2980332829046901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21D-4645-802D-FCA34D34BC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6935696"/>
        <c:axId val="1226937136"/>
      </c:scatterChart>
      <c:valAx>
        <c:axId val="1226935696"/>
        <c:scaling>
          <c:orientation val="minMax"/>
          <c:min val="0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937136"/>
        <c:crosses val="autoZero"/>
        <c:crossBetween val="midCat"/>
      </c:valAx>
      <c:valAx>
        <c:axId val="1226937136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935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Formulation 7</a:t>
            </a:r>
          </a:p>
        </c:rich>
      </c:tx>
      <c:layout>
        <c:manualLayout>
          <c:xMode val="edge"/>
          <c:yMode val="edge"/>
          <c:x val="0.42590266841644797"/>
          <c:y val="6.94444444444444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663648293963253"/>
          <c:y val="0.18560185185185185"/>
          <c:w val="0.80525240594925629"/>
          <c:h val="0.69377910327628145"/>
        </c:manualLayout>
      </c:layout>
      <c:scatterChart>
        <c:scatterStyle val="lineMarker"/>
        <c:varyColors val="0"/>
        <c:ser>
          <c:idx val="0"/>
          <c:order val="0"/>
          <c:tx>
            <c:v>Formulation7_oil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xVal>
            <c:numRef>
              <c:f>'Phase Behavior Results'!$C$7:$C$16</c:f>
              <c:numCache>
                <c:formatCode>General</c:formatCode>
                <c:ptCount val="10"/>
                <c:pt idx="0">
                  <c:v>0.5</c:v>
                </c:pt>
                <c:pt idx="1">
                  <c:v>1.1000000000000001</c:v>
                </c:pt>
                <c:pt idx="2">
                  <c:v>1.6</c:v>
                </c:pt>
                <c:pt idx="3">
                  <c:v>2.1</c:v>
                </c:pt>
                <c:pt idx="4">
                  <c:v>2.7</c:v>
                </c:pt>
                <c:pt idx="5">
                  <c:v>3.2</c:v>
                </c:pt>
                <c:pt idx="6">
                  <c:v>3.7</c:v>
                </c:pt>
                <c:pt idx="7">
                  <c:v>4.2</c:v>
                </c:pt>
                <c:pt idx="8">
                  <c:v>4.7</c:v>
                </c:pt>
                <c:pt idx="9">
                  <c:v>5.2</c:v>
                </c:pt>
              </c:numCache>
            </c:numRef>
          </c:xVal>
          <c:yVal>
            <c:numRef>
              <c:f>'Phase Behavior Results'!$D$7:$D$16</c:f>
              <c:numCache>
                <c:formatCode>0.00</c:formatCode>
                <c:ptCount val="10"/>
                <c:pt idx="0">
                  <c:v>0.1</c:v>
                </c:pt>
                <c:pt idx="1">
                  <c:v>0.2</c:v>
                </c:pt>
                <c:pt idx="2">
                  <c:v>1</c:v>
                </c:pt>
                <c:pt idx="3">
                  <c:v>1.8</c:v>
                </c:pt>
                <c:pt idx="4">
                  <c:v>2.5</c:v>
                </c:pt>
                <c:pt idx="5">
                  <c:v>2.6</c:v>
                </c:pt>
                <c:pt idx="6">
                  <c:v>3.9</c:v>
                </c:pt>
                <c:pt idx="7">
                  <c:v>5.8</c:v>
                </c:pt>
                <c:pt idx="8">
                  <c:v>9.5</c:v>
                </c:pt>
                <c:pt idx="9">
                  <c:v>13.9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B61-41CE-8E59-BAC715484CA4}"/>
            </c:ext>
          </c:extLst>
        </c:ser>
        <c:ser>
          <c:idx val="1"/>
          <c:order val="1"/>
          <c:tx>
            <c:v>Formulation7_Water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2060"/>
              </a:solidFill>
              <a:ln w="9525">
                <a:solidFill>
                  <a:srgbClr val="00206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2060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'Phase Behavior Results'!$E$7:$E$9</c:f>
              <c:numCache>
                <c:formatCode>General</c:formatCode>
                <c:ptCount val="3"/>
                <c:pt idx="0">
                  <c:v>5.2</c:v>
                </c:pt>
                <c:pt idx="1">
                  <c:v>4.7</c:v>
                </c:pt>
                <c:pt idx="2">
                  <c:v>5.5</c:v>
                </c:pt>
              </c:numCache>
            </c:numRef>
          </c:xVal>
          <c:yVal>
            <c:numRef>
              <c:f>'Phase Behavior Results'!$F$7:$F$9</c:f>
              <c:numCache>
                <c:formatCode>General</c:formatCode>
                <c:ptCount val="3"/>
                <c:pt idx="0">
                  <c:v>8.1999999999999993</c:v>
                </c:pt>
                <c:pt idx="1">
                  <c:v>19</c:v>
                </c:pt>
                <c:pt idx="2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B61-41CE-8E59-BAC715484CA4}"/>
            </c:ext>
          </c:extLst>
        </c:ser>
        <c:ser>
          <c:idx val="2"/>
          <c:order val="2"/>
          <c:tx>
            <c:v>Intersection</c:v>
          </c:tx>
          <c:spPr>
            <a:ln w="2540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'Phase Behavior Results'!$C$17:$C$18</c:f>
              <c:numCache>
                <c:formatCode>General</c:formatCode>
                <c:ptCount val="2"/>
                <c:pt idx="0">
                  <c:v>4.9000000000000004</c:v>
                </c:pt>
                <c:pt idx="1">
                  <c:v>4.9000000000000004</c:v>
                </c:pt>
              </c:numCache>
            </c:numRef>
          </c:xVal>
          <c:yVal>
            <c:numRef>
              <c:f>'Phase Behavior Results'!$D$17:$D$18</c:f>
              <c:numCache>
                <c:formatCode>General</c:formatCode>
                <c:ptCount val="2"/>
                <c:pt idx="0">
                  <c:v>0</c:v>
                </c:pt>
                <c:pt idx="1">
                  <c:v>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B61-41CE-8E59-BAC715484CA4}"/>
            </c:ext>
          </c:extLst>
        </c:ser>
        <c:ser>
          <c:idx val="3"/>
          <c:order val="3"/>
          <c:tx>
            <c:v>Type III_Min</c:v>
          </c:tx>
          <c:spPr>
            <a:ln w="57150" cap="rnd">
              <a:solidFill>
                <a:srgbClr val="FFFF0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'Phase Behavior Results'!$C$19:$C$20</c:f>
              <c:numCache>
                <c:formatCode>General</c:formatCode>
                <c:ptCount val="2"/>
                <c:pt idx="0">
                  <c:v>3.9</c:v>
                </c:pt>
                <c:pt idx="1">
                  <c:v>3.9</c:v>
                </c:pt>
              </c:numCache>
            </c:numRef>
          </c:xVal>
          <c:yVal>
            <c:numRef>
              <c:f>'Phase Behavior Results'!$D$19:$D$20</c:f>
              <c:numCache>
                <c:formatCode>General</c:formatCode>
                <c:ptCount val="2"/>
                <c:pt idx="0">
                  <c:v>0</c:v>
                </c:pt>
                <c:pt idx="1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B61-41CE-8E59-BAC715484CA4}"/>
            </c:ext>
          </c:extLst>
        </c:ser>
        <c:ser>
          <c:idx val="4"/>
          <c:order val="4"/>
          <c:tx>
            <c:v>TypeIII_Max</c:v>
          </c:tx>
          <c:spPr>
            <a:ln w="571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xVal>
            <c:numRef>
              <c:f>'Phase Behavior Results'!$C$21:$C$22</c:f>
              <c:numCache>
                <c:formatCode>General</c:formatCode>
                <c:ptCount val="2"/>
                <c:pt idx="0">
                  <c:v>5.5</c:v>
                </c:pt>
                <c:pt idx="1">
                  <c:v>5.5</c:v>
                </c:pt>
              </c:numCache>
            </c:numRef>
          </c:xVal>
          <c:yVal>
            <c:numRef>
              <c:f>'Phase Behavior Results'!$D$21:$D$22</c:f>
              <c:numCache>
                <c:formatCode>General</c:formatCode>
                <c:ptCount val="2"/>
                <c:pt idx="0">
                  <c:v>0</c:v>
                </c:pt>
                <c:pt idx="1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B61-41CE-8E59-BAC715484C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5369600"/>
        <c:axId val="385369120"/>
      </c:scatterChart>
      <c:valAx>
        <c:axId val="385369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Total</a:t>
                </a:r>
                <a:r>
                  <a:rPr lang="en-GB" baseline="0"/>
                  <a:t> Dissolved Solid , TDS  (wt%)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#,##0.0" sourceLinked="0"/>
        <c:majorTickMark val="cross"/>
        <c:minorTickMark val="cross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5369120"/>
        <c:crosses val="autoZero"/>
        <c:crossBetween val="midCat"/>
        <c:majorUnit val="0.5"/>
      </c:valAx>
      <c:valAx>
        <c:axId val="385369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800"/>
                  <a:t>Solubilization Ratio ( cc/cc)</a:t>
                </a:r>
              </a:p>
            </c:rich>
          </c:tx>
          <c:layout>
            <c:manualLayout>
              <c:xMode val="edge"/>
              <c:yMode val="edge"/>
              <c:x val="2.8740486569855835E-2"/>
              <c:y val="0.414258752711493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5369600"/>
        <c:crosses val="autoZero"/>
        <c:crossBetween val="midCat"/>
        <c:majorUnit val="1"/>
      </c:valAx>
      <c:spPr>
        <a:solidFill>
          <a:schemeClr val="bg2">
            <a:lumMod val="90000"/>
          </a:schemeClr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Formulation 9</a:t>
            </a:r>
          </a:p>
        </c:rich>
      </c:tx>
      <c:layout>
        <c:manualLayout>
          <c:xMode val="edge"/>
          <c:yMode val="edge"/>
          <c:x val="0.42590266841644797"/>
          <c:y val="6.48402720378184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6080927384077"/>
          <c:y val="0.18560185185185185"/>
          <c:w val="0.83580796150481185"/>
          <c:h val="0.72125801983085447"/>
        </c:manualLayout>
      </c:layout>
      <c:scatterChart>
        <c:scatterStyle val="lineMarker"/>
        <c:varyColors val="0"/>
        <c:ser>
          <c:idx val="0"/>
          <c:order val="0"/>
          <c:tx>
            <c:v>Formulation9_oil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xVal>
            <c:numRef>
              <c:f>'Phase Behavior Results'!$C$29:$C$33</c:f>
              <c:numCache>
                <c:formatCode>General</c:formatCode>
                <c:ptCount val="5"/>
                <c:pt idx="0">
                  <c:v>0.5</c:v>
                </c:pt>
                <c:pt idx="1">
                  <c:v>1.1000000000000001</c:v>
                </c:pt>
                <c:pt idx="2">
                  <c:v>1.6</c:v>
                </c:pt>
                <c:pt idx="3">
                  <c:v>2.1</c:v>
                </c:pt>
                <c:pt idx="4">
                  <c:v>2.7</c:v>
                </c:pt>
              </c:numCache>
            </c:numRef>
          </c:xVal>
          <c:yVal>
            <c:numRef>
              <c:f>'Phase Behavior Results'!$D$29:$D$33</c:f>
              <c:numCache>
                <c:formatCode>General</c:formatCode>
                <c:ptCount val="5"/>
                <c:pt idx="0">
                  <c:v>3</c:v>
                </c:pt>
                <c:pt idx="1">
                  <c:v>4.5</c:v>
                </c:pt>
                <c:pt idx="2">
                  <c:v>6.5</c:v>
                </c:pt>
                <c:pt idx="3">
                  <c:v>11</c:v>
                </c:pt>
                <c:pt idx="4">
                  <c:v>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292-47E8-8B6A-8CAF7B8F24A9}"/>
            </c:ext>
          </c:extLst>
        </c:ser>
        <c:ser>
          <c:idx val="1"/>
          <c:order val="1"/>
          <c:tx>
            <c:v>Formulation9_Water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2060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'Phase Behavior Results'!$E$29:$E$38</c:f>
              <c:numCache>
                <c:formatCode>General</c:formatCode>
                <c:ptCount val="10"/>
                <c:pt idx="0">
                  <c:v>2.1</c:v>
                </c:pt>
                <c:pt idx="1">
                  <c:v>2.6</c:v>
                </c:pt>
                <c:pt idx="2">
                  <c:v>3.2</c:v>
                </c:pt>
                <c:pt idx="3">
                  <c:v>3.7</c:v>
                </c:pt>
                <c:pt idx="4">
                  <c:v>4.2</c:v>
                </c:pt>
                <c:pt idx="5">
                  <c:v>4.7</c:v>
                </c:pt>
                <c:pt idx="6">
                  <c:v>5.2</c:v>
                </c:pt>
              </c:numCache>
            </c:numRef>
          </c:xVal>
          <c:yVal>
            <c:numRef>
              <c:f>'Phase Behavior Results'!$F$29:$F$38</c:f>
              <c:numCache>
                <c:formatCode>General</c:formatCode>
                <c:ptCount val="10"/>
                <c:pt idx="0">
                  <c:v>11</c:v>
                </c:pt>
                <c:pt idx="1">
                  <c:v>7</c:v>
                </c:pt>
                <c:pt idx="2">
                  <c:v>5</c:v>
                </c:pt>
                <c:pt idx="3">
                  <c:v>2.5</c:v>
                </c:pt>
                <c:pt idx="4">
                  <c:v>1.5</c:v>
                </c:pt>
                <c:pt idx="5">
                  <c:v>1</c:v>
                </c:pt>
                <c:pt idx="6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292-47E8-8B6A-8CAF7B8F24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5369600"/>
        <c:axId val="385369120"/>
      </c:scatterChart>
      <c:valAx>
        <c:axId val="385369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#,##0.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5369120"/>
        <c:crosses val="autoZero"/>
        <c:crossBetween val="midCat"/>
        <c:majorUnit val="0.5"/>
      </c:valAx>
      <c:valAx>
        <c:axId val="385369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Solubilization Ratio ( cc/cc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5369600"/>
        <c:crosses val="autoZero"/>
        <c:crossBetween val="midCat"/>
        <c:majorUnit val="1"/>
      </c:valAx>
      <c:spPr>
        <a:solidFill>
          <a:schemeClr val="bg2">
            <a:lumMod val="90000"/>
          </a:schemeClr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Formulation 18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09664704985808"/>
          <c:y val="0.12453938134513046"/>
          <c:w val="0.8241753971090211"/>
          <c:h val="0.73937559432574163"/>
        </c:manualLayout>
      </c:layout>
      <c:scatterChart>
        <c:scatterStyle val="lineMarker"/>
        <c:varyColors val="0"/>
        <c:ser>
          <c:idx val="0"/>
          <c:order val="0"/>
          <c:tx>
            <c:v>Formulation_Oil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14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39700" h="139700"/>
              </a:sp3d>
            </c:spPr>
          </c:marker>
          <c:xVal>
            <c:numRef>
              <c:f>'Phase Behavior Results'!$C$131:$C$135</c:f>
              <c:numCache>
                <c:formatCode>0.00</c:formatCode>
                <c:ptCount val="5"/>
                <c:pt idx="0">
                  <c:v>0.54155124653739595</c:v>
                </c:pt>
                <c:pt idx="1">
                  <c:v>1.0817174515235399</c:v>
                </c:pt>
                <c:pt idx="2">
                  <c:v>1.61265004616805</c:v>
                </c:pt>
                <c:pt idx="3">
                  <c:v>2.1343490304709101</c:v>
                </c:pt>
                <c:pt idx="4">
                  <c:v>2.6560480147737699</c:v>
                </c:pt>
              </c:numCache>
            </c:numRef>
          </c:xVal>
          <c:yVal>
            <c:numRef>
              <c:f>'Phase Behavior Results'!$D$131:$D$135</c:f>
              <c:numCache>
                <c:formatCode>0.00</c:formatCode>
                <c:ptCount val="5"/>
                <c:pt idx="0">
                  <c:v>0.91051805337519598</c:v>
                </c:pt>
                <c:pt idx="1">
                  <c:v>1.8838304552590199</c:v>
                </c:pt>
                <c:pt idx="2">
                  <c:v>2.8257456828885399</c:v>
                </c:pt>
                <c:pt idx="3">
                  <c:v>3.7990580847723701</c:v>
                </c:pt>
                <c:pt idx="4">
                  <c:v>9.8000000000000007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83-414A-B0FC-B7F65661C34C}"/>
            </c:ext>
          </c:extLst>
        </c:ser>
        <c:ser>
          <c:idx val="1"/>
          <c:order val="1"/>
          <c:tx>
            <c:v>Formulation_Water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4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39700" h="139700"/>
              </a:sp3d>
            </c:spPr>
          </c:marker>
          <c:xVal>
            <c:numRef>
              <c:f>'Phase Behavior Results'!$E$131:$E$135</c:f>
              <c:numCache>
                <c:formatCode>0.00</c:formatCode>
                <c:ptCount val="5"/>
                <c:pt idx="0">
                  <c:v>3.1777469990766298</c:v>
                </c:pt>
                <c:pt idx="1">
                  <c:v>3.6902123730378502</c:v>
                </c:pt>
                <c:pt idx="2">
                  <c:v>4.19806094182825</c:v>
                </c:pt>
                <c:pt idx="3">
                  <c:v>4.6966759002770004</c:v>
                </c:pt>
                <c:pt idx="4">
                  <c:v>5.19990766389658</c:v>
                </c:pt>
              </c:numCache>
            </c:numRef>
          </c:xVal>
          <c:yVal>
            <c:numRef>
              <c:f>'Phase Behavior Results'!$F$131:$F$135</c:f>
              <c:numCache>
                <c:formatCode>0.00</c:formatCode>
                <c:ptCount val="5"/>
                <c:pt idx="0">
                  <c:v>6.7</c:v>
                </c:pt>
                <c:pt idx="1">
                  <c:v>4.3642072213500702</c:v>
                </c:pt>
                <c:pt idx="2">
                  <c:v>1.9780219780219701</c:v>
                </c:pt>
                <c:pt idx="3">
                  <c:v>0.97331240188382995</c:v>
                </c:pt>
                <c:pt idx="4">
                  <c:v>0.439560439560439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183-414A-B0FC-B7F65661C3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8423440"/>
        <c:axId val="1218423920"/>
      </c:scatterChart>
      <c:valAx>
        <c:axId val="1218423440"/>
        <c:scaling>
          <c:orientation val="minMax"/>
          <c:max val="5.5"/>
          <c:min val="0.5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crossAx val="1218423920"/>
        <c:crosses val="autoZero"/>
        <c:crossBetween val="midCat"/>
        <c:majorUnit val="0.5"/>
      </c:valAx>
      <c:valAx>
        <c:axId val="1218423920"/>
        <c:scaling>
          <c:orientation val="minMax"/>
          <c:max val="20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crossAx val="1218423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Formulation</a:t>
            </a:r>
            <a:r>
              <a:rPr lang="en-GB" baseline="0"/>
              <a:t> 22. Figure 10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318552474388711"/>
          <c:y val="0.11082269366017396"/>
          <c:w val="0.79413446657579712"/>
          <c:h val="0.73936840665204284"/>
        </c:manualLayout>
      </c:layout>
      <c:scatterChart>
        <c:scatterStyle val="lineMarker"/>
        <c:varyColors val="0"/>
        <c:ser>
          <c:idx val="0"/>
          <c:order val="0"/>
          <c:tx>
            <c:v>Formulation_Oil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39700" h="139700"/>
              </a:sp3d>
            </c:spPr>
          </c:marker>
          <c:xVal>
            <c:numRef>
              <c:f>'Phase Behavior Results'!$C$148:$C$153</c:f>
              <c:numCache>
                <c:formatCode>0.00</c:formatCode>
                <c:ptCount val="6"/>
                <c:pt idx="0">
                  <c:v>0.53500000000000003</c:v>
                </c:pt>
                <c:pt idx="1">
                  <c:v>1.075</c:v>
                </c:pt>
                <c:pt idx="2">
                  <c:v>1.6</c:v>
                </c:pt>
                <c:pt idx="3">
                  <c:v>2.13</c:v>
                </c:pt>
                <c:pt idx="4">
                  <c:v>2.6494042163153</c:v>
                </c:pt>
                <c:pt idx="5">
                  <c:v>3.17186067827681</c:v>
                </c:pt>
              </c:numCache>
            </c:numRef>
          </c:xVal>
          <c:yVal>
            <c:numRef>
              <c:f>'Phase Behavior Results'!$D$148:$D$153</c:f>
              <c:numCache>
                <c:formatCode>0.00</c:formatCode>
                <c:ptCount val="6"/>
                <c:pt idx="0">
                  <c:v>0.95</c:v>
                </c:pt>
                <c:pt idx="1">
                  <c:v>1.4</c:v>
                </c:pt>
                <c:pt idx="2">
                  <c:v>2.8125</c:v>
                </c:pt>
                <c:pt idx="3">
                  <c:v>2.4500000000000002</c:v>
                </c:pt>
                <c:pt idx="4">
                  <c:v>7.1</c:v>
                </c:pt>
                <c:pt idx="5">
                  <c:v>14.45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A8-42A1-83B5-C56823AB1286}"/>
            </c:ext>
          </c:extLst>
        </c:ser>
        <c:ser>
          <c:idx val="1"/>
          <c:order val="1"/>
          <c:tx>
            <c:v>Formulation_Water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39700" h="139700"/>
              </a:sp3d>
            </c:spPr>
          </c:marker>
          <c:xVal>
            <c:numRef>
              <c:f>'Phase Behavior Results'!$E$148:$E$149</c:f>
              <c:numCache>
                <c:formatCode>0.00</c:formatCode>
                <c:ptCount val="2"/>
                <c:pt idx="0">
                  <c:v>2.65</c:v>
                </c:pt>
                <c:pt idx="1">
                  <c:v>3.1718606779999998</c:v>
                </c:pt>
              </c:numCache>
            </c:numRef>
          </c:xVal>
          <c:yVal>
            <c:numRef>
              <c:f>'Phase Behavior Results'!$F$148:$F$149</c:f>
              <c:numCache>
                <c:formatCode>0.00</c:formatCode>
                <c:ptCount val="2"/>
                <c:pt idx="0">
                  <c:v>19.05</c:v>
                </c:pt>
                <c:pt idx="1">
                  <c:v>11.1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2A8-42A1-83B5-C56823AB12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6529760"/>
        <c:axId val="1396532160"/>
      </c:scatterChart>
      <c:valAx>
        <c:axId val="1396529760"/>
        <c:scaling>
          <c:orientation val="minMax"/>
          <c:max val="5.5"/>
          <c:min val="0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6532160"/>
        <c:crosses val="autoZero"/>
        <c:crossBetween val="midCat"/>
      </c:valAx>
      <c:valAx>
        <c:axId val="1396532160"/>
        <c:scaling>
          <c:orientation val="minMax"/>
          <c:max val="20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65297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Formulation 23. Figure 11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8289915036186572E-2"/>
          <c:y val="9.3965049429015499E-2"/>
          <c:w val="0.90875134670970947"/>
          <c:h val="0.84323987664118449"/>
        </c:manualLayout>
      </c:layout>
      <c:scatterChart>
        <c:scatterStyle val="lineMarker"/>
        <c:varyColors val="0"/>
        <c:ser>
          <c:idx val="0"/>
          <c:order val="0"/>
          <c:tx>
            <c:v>Formulation_Oil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39700" h="139700"/>
              </a:sp3d>
            </c:spPr>
          </c:marker>
          <c:xVal>
            <c:numRef>
              <c:f>'Phase Behavior Results'!$C$165:$C$169</c:f>
              <c:numCache>
                <c:formatCode>0.00</c:formatCode>
                <c:ptCount val="5"/>
                <c:pt idx="0">
                  <c:v>0.54464285714285698</c:v>
                </c:pt>
                <c:pt idx="1">
                  <c:v>1.0803571428571399</c:v>
                </c:pt>
                <c:pt idx="2">
                  <c:v>1.6026785714285701</c:v>
                </c:pt>
                <c:pt idx="3">
                  <c:v>2.1294642857142798</c:v>
                </c:pt>
                <c:pt idx="4">
                  <c:v>2.6428571428571401</c:v>
                </c:pt>
              </c:numCache>
            </c:numRef>
          </c:xVal>
          <c:yVal>
            <c:numRef>
              <c:f>'Phase Behavior Results'!$D$165:$D$169</c:f>
              <c:numCache>
                <c:formatCode>0.00</c:formatCode>
                <c:ptCount val="5"/>
                <c:pt idx="0">
                  <c:v>0.85496183206106802</c:v>
                </c:pt>
                <c:pt idx="1">
                  <c:v>1.89312977099236</c:v>
                </c:pt>
                <c:pt idx="2">
                  <c:v>3.2977099236641201</c:v>
                </c:pt>
                <c:pt idx="3">
                  <c:v>4.8244274809160297</c:v>
                </c:pt>
                <c:pt idx="4">
                  <c:v>15.5114503816793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99-437F-A9B7-660C2150ABA9}"/>
            </c:ext>
          </c:extLst>
        </c:ser>
        <c:ser>
          <c:idx val="1"/>
          <c:order val="1"/>
          <c:tx>
            <c:v>Formulation_Water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4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39700" h="139700"/>
              </a:sp3d>
            </c:spPr>
          </c:marker>
          <c:xVal>
            <c:numRef>
              <c:f>'Phase Behavior Results'!$E$165:$E$169</c:f>
              <c:numCache>
                <c:formatCode>0.00</c:formatCode>
                <c:ptCount val="5"/>
                <c:pt idx="0">
                  <c:v>3.1749999999999998</c:v>
                </c:pt>
                <c:pt idx="1">
                  <c:v>3.6850000000000001</c:v>
                </c:pt>
                <c:pt idx="2">
                  <c:v>4.1964285714285703</c:v>
                </c:pt>
                <c:pt idx="3">
                  <c:v>4.6950000000000003</c:v>
                </c:pt>
                <c:pt idx="4">
                  <c:v>5.2050000000000001</c:v>
                </c:pt>
              </c:numCache>
            </c:numRef>
          </c:xVal>
          <c:yVal>
            <c:numRef>
              <c:f>'Phase Behavior Results'!$F$165:$F$169</c:f>
              <c:numCache>
                <c:formatCode>0.00</c:formatCode>
                <c:ptCount val="5"/>
                <c:pt idx="0">
                  <c:v>9.75</c:v>
                </c:pt>
                <c:pt idx="1">
                  <c:v>4.3499999999999996</c:v>
                </c:pt>
                <c:pt idx="2">
                  <c:v>1.925</c:v>
                </c:pt>
                <c:pt idx="3">
                  <c:v>1.45</c:v>
                </c:pt>
                <c:pt idx="4">
                  <c:v>0.977099236641221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C99-437F-A9B7-660C2150AB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7371520"/>
        <c:axId val="557394080"/>
      </c:scatterChart>
      <c:valAx>
        <c:axId val="557371520"/>
        <c:scaling>
          <c:orientation val="minMax"/>
          <c:max val="5.5"/>
          <c:min val="0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394080"/>
        <c:crosses val="autoZero"/>
        <c:crossBetween val="midCat"/>
      </c:valAx>
      <c:valAx>
        <c:axId val="557394080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3715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725543884166898"/>
          <c:y val="0.11911339547014801"/>
          <c:w val="0.75933554107377288"/>
          <c:h val="0.7241587725180787"/>
        </c:manualLayout>
      </c:layout>
      <c:scatterChart>
        <c:scatterStyle val="lineMarker"/>
        <c:varyColors val="0"/>
        <c:ser>
          <c:idx val="0"/>
          <c:order val="0"/>
          <c:tx>
            <c:v>Formulation_Oil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39700" h="139700"/>
              </a:sp3d>
            </c:spPr>
          </c:marker>
          <c:xVal>
            <c:numRef>
              <c:f>'Phase Behavior Results'!$C$182:$C$185</c:f>
              <c:numCache>
                <c:formatCode>0.00</c:formatCode>
                <c:ptCount val="4"/>
                <c:pt idx="0">
                  <c:v>0.540946314831665</c:v>
                </c:pt>
                <c:pt idx="1">
                  <c:v>1.07779799818016</c:v>
                </c:pt>
                <c:pt idx="2">
                  <c:v>1.60555050045495</c:v>
                </c:pt>
                <c:pt idx="3">
                  <c:v>2.1242038216560499</c:v>
                </c:pt>
              </c:numCache>
            </c:numRef>
          </c:xVal>
          <c:yVal>
            <c:numRef>
              <c:f>'Phase Behavior Results'!$D$182:$D$185</c:f>
              <c:numCache>
                <c:formatCode>0.00</c:formatCode>
                <c:ptCount val="4"/>
                <c:pt idx="0">
                  <c:v>0.89922480620154999</c:v>
                </c:pt>
                <c:pt idx="1">
                  <c:v>1.86046511627906</c:v>
                </c:pt>
                <c:pt idx="2">
                  <c:v>4.3720930232558102</c:v>
                </c:pt>
                <c:pt idx="3">
                  <c:v>14.4806201550387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F9-4ABE-8C21-DE517A89F013}"/>
            </c:ext>
          </c:extLst>
        </c:ser>
        <c:ser>
          <c:idx val="1"/>
          <c:order val="1"/>
          <c:tx>
            <c:v>Formulation_Water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39700" h="139700"/>
              </a:sp3d>
            </c:spPr>
          </c:marker>
          <c:xVal>
            <c:numRef>
              <c:f>'Phase Behavior Results'!$E$182:$E$188</c:f>
              <c:numCache>
                <c:formatCode>0.00</c:formatCode>
                <c:ptCount val="7"/>
                <c:pt idx="0">
                  <c:v>2.1151046405823402</c:v>
                </c:pt>
                <c:pt idx="1">
                  <c:v>2.6428571428571401</c:v>
                </c:pt>
                <c:pt idx="2">
                  <c:v>3.1706096451319299</c:v>
                </c:pt>
                <c:pt idx="3">
                  <c:v>3.6892629663330299</c:v>
                </c:pt>
                <c:pt idx="4">
                  <c:v>4.1897179253867103</c:v>
                </c:pt>
                <c:pt idx="5">
                  <c:v>4.69472247497725</c:v>
                </c:pt>
                <c:pt idx="6">
                  <c:v>5.19972702456778</c:v>
                </c:pt>
              </c:numCache>
            </c:numRef>
          </c:xVal>
          <c:yVal>
            <c:numRef>
              <c:f>'Phase Behavior Results'!$F$182:$F$188</c:f>
              <c:numCache>
                <c:formatCode>0.00</c:formatCode>
                <c:ptCount val="7"/>
                <c:pt idx="0">
                  <c:v>18.325581395348799</c:v>
                </c:pt>
                <c:pt idx="1">
                  <c:v>11.968992248061999</c:v>
                </c:pt>
                <c:pt idx="2">
                  <c:v>7.8449612403100701</c:v>
                </c:pt>
                <c:pt idx="3">
                  <c:v>4.8372093023255802</c:v>
                </c:pt>
                <c:pt idx="4">
                  <c:v>3.0077519379844899</c:v>
                </c:pt>
                <c:pt idx="5">
                  <c:v>2.5116279069767402</c:v>
                </c:pt>
                <c:pt idx="6">
                  <c:v>1.5813953488371999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3F9-4ABE-8C21-DE517A89F0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4912607"/>
        <c:axId val="1564917887"/>
      </c:scatterChart>
      <c:valAx>
        <c:axId val="1564912607"/>
        <c:scaling>
          <c:orientation val="minMax"/>
          <c:min val="0.5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crossAx val="1564917887"/>
        <c:crosses val="autoZero"/>
        <c:crossBetween val="midCat"/>
      </c:valAx>
      <c:valAx>
        <c:axId val="1564917887"/>
        <c:scaling>
          <c:orientation val="minMax"/>
          <c:max val="20"/>
        </c:scaling>
        <c:delete val="1"/>
        <c:axPos val="l"/>
        <c:numFmt formatCode="0.00" sourceLinked="1"/>
        <c:majorTickMark val="none"/>
        <c:minorTickMark val="none"/>
        <c:tickLblPos val="nextTo"/>
        <c:crossAx val="15649126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Formulation 25. Figure 13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17578128823407"/>
          <c:y val="0.13311412888049531"/>
          <c:w val="0.78674630554890335"/>
          <c:h val="0.71939838635292075"/>
        </c:manualLayout>
      </c:layout>
      <c:scatterChart>
        <c:scatterStyle val="lineMarker"/>
        <c:varyColors val="0"/>
        <c:ser>
          <c:idx val="0"/>
          <c:order val="0"/>
          <c:tx>
            <c:v>Formulation_Oil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39700" h="139700"/>
              </a:sp3d>
            </c:spPr>
          </c:marker>
          <c:xVal>
            <c:numRef>
              <c:f>'Phase Behavior Results'!$C$199:$C$205</c:f>
              <c:numCache>
                <c:formatCode>0.00</c:formatCode>
                <c:ptCount val="7"/>
                <c:pt idx="0">
                  <c:v>0.53623188405797095</c:v>
                </c:pt>
                <c:pt idx="1">
                  <c:v>1.07518115942029</c:v>
                </c:pt>
                <c:pt idx="2">
                  <c:v>1.60507246376811</c:v>
                </c:pt>
                <c:pt idx="3">
                  <c:v>2.13043478260869</c:v>
                </c:pt>
                <c:pt idx="4">
                  <c:v>2.65</c:v>
                </c:pt>
                <c:pt idx="5">
                  <c:v>3.1749999999999998</c:v>
                </c:pt>
                <c:pt idx="6">
                  <c:v>3.6884057971014399</c:v>
                </c:pt>
              </c:numCache>
            </c:numRef>
          </c:xVal>
          <c:yVal>
            <c:numRef>
              <c:f>'Phase Behavior Results'!$D$199:$D$205</c:f>
              <c:numCache>
                <c:formatCode>0.00</c:formatCode>
                <c:ptCount val="7"/>
                <c:pt idx="0">
                  <c:v>0.893682588597842</c:v>
                </c:pt>
                <c:pt idx="1">
                  <c:v>1.8798151001540799</c:v>
                </c:pt>
                <c:pt idx="2">
                  <c:v>2.86594761171032</c:v>
                </c:pt>
                <c:pt idx="3">
                  <c:v>3.2973805855161702</c:v>
                </c:pt>
                <c:pt idx="4">
                  <c:v>4.77657935285053</c:v>
                </c:pt>
                <c:pt idx="5">
                  <c:v>10.292758089368199</c:v>
                </c:pt>
                <c:pt idx="6">
                  <c:v>18.151001540831999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AE-47C6-8463-2A72CA452F65}"/>
            </c:ext>
          </c:extLst>
        </c:ser>
        <c:ser>
          <c:idx val="1"/>
          <c:order val="1"/>
          <c:tx>
            <c:v>Formulation_Water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6"/>
            <c:spPr>
              <a:solidFill>
                <a:srgbClr val="0070C0"/>
              </a:solidFill>
              <a:ln w="9525"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39700" h="139700"/>
              </a:sp3d>
            </c:spPr>
          </c:marker>
          <c:xVal>
            <c:numRef>
              <c:f>'Phase Behavior Results'!$E$199:$E$202</c:f>
              <c:numCache>
                <c:formatCode>0.00</c:formatCode>
                <c:ptCount val="4"/>
                <c:pt idx="0">
                  <c:v>3.1721014492753601</c:v>
                </c:pt>
                <c:pt idx="1">
                  <c:v>3.6884057971014399</c:v>
                </c:pt>
                <c:pt idx="2">
                  <c:v>4.7</c:v>
                </c:pt>
                <c:pt idx="3">
                  <c:v>5.2050000000000001</c:v>
                </c:pt>
              </c:numCache>
            </c:numRef>
          </c:xVal>
          <c:yVal>
            <c:numRef>
              <c:f>'Phase Behavior Results'!$F$199:$F$202</c:f>
              <c:numCache>
                <c:formatCode>0.00</c:formatCode>
                <c:ptCount val="4"/>
                <c:pt idx="0">
                  <c:v>15.7</c:v>
                </c:pt>
                <c:pt idx="1">
                  <c:v>10.1078582434514</c:v>
                </c:pt>
                <c:pt idx="2">
                  <c:v>3.45</c:v>
                </c:pt>
                <c:pt idx="3">
                  <c:v>1.95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BAE-47C6-8463-2A72CA452F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3771711"/>
        <c:axId val="2043774111"/>
      </c:scatterChart>
      <c:valAx>
        <c:axId val="2043771711"/>
        <c:scaling>
          <c:orientation val="minMax"/>
          <c:min val="0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3774111"/>
        <c:crosses val="autoZero"/>
        <c:crossBetween val="midCat"/>
      </c:valAx>
      <c:valAx>
        <c:axId val="2043774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37717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Formulation 26. Figure 14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485026638623286"/>
          <c:y val="0.10001286448557442"/>
          <c:w val="0.81393523460446482"/>
          <c:h val="0.76301342554736262"/>
        </c:manualLayout>
      </c:layout>
      <c:scatterChart>
        <c:scatterStyle val="lineMarker"/>
        <c:varyColors val="0"/>
        <c:ser>
          <c:idx val="0"/>
          <c:order val="0"/>
          <c:tx>
            <c:v>Formulation_Oil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16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39700" h="139700"/>
              </a:sp3d>
            </c:spPr>
          </c:marker>
          <c:xVal>
            <c:numRef>
              <c:f>'Phase Behavior Results'!$C$216:$C$225</c:f>
              <c:numCache>
                <c:formatCode>0.00</c:formatCode>
                <c:ptCount val="10"/>
                <c:pt idx="0">
                  <c:v>0.54</c:v>
                </c:pt>
                <c:pt idx="1">
                  <c:v>1.08</c:v>
                </c:pt>
                <c:pt idx="2">
                  <c:v>1.61</c:v>
                </c:pt>
                <c:pt idx="3">
                  <c:v>2.13</c:v>
                </c:pt>
                <c:pt idx="4">
                  <c:v>2.6549999999999998</c:v>
                </c:pt>
                <c:pt idx="5">
                  <c:v>3.1749999999999998</c:v>
                </c:pt>
                <c:pt idx="6">
                  <c:v>3.69</c:v>
                </c:pt>
                <c:pt idx="7">
                  <c:v>4.1982520699172001</c:v>
                </c:pt>
                <c:pt idx="8">
                  <c:v>4.6950000000000003</c:v>
                </c:pt>
                <c:pt idx="9">
                  <c:v>5.2</c:v>
                </c:pt>
              </c:numCache>
            </c:numRef>
          </c:xVal>
          <c:yVal>
            <c:numRef>
              <c:f>'Phase Behavior Results'!$D$216:$D$225</c:f>
              <c:numCache>
                <c:formatCode>0.00</c:formatCode>
                <c:ptCount val="10"/>
                <c:pt idx="0">
                  <c:v>0.97331240188382995</c:v>
                </c:pt>
                <c:pt idx="1">
                  <c:v>1.9780219780219701</c:v>
                </c:pt>
                <c:pt idx="2">
                  <c:v>2.4803767660910498</c:v>
                </c:pt>
                <c:pt idx="3">
                  <c:v>2.9513343799057998</c:v>
                </c:pt>
                <c:pt idx="4">
                  <c:v>3.95604395604395</c:v>
                </c:pt>
                <c:pt idx="5">
                  <c:v>4.3328100470957596</c:v>
                </c:pt>
                <c:pt idx="6">
                  <c:v>7.9120879120879097</c:v>
                </c:pt>
                <c:pt idx="7">
                  <c:v>7.2841444270015696</c:v>
                </c:pt>
                <c:pt idx="8">
                  <c:v>9.6075353218210306</c:v>
                </c:pt>
                <c:pt idx="9">
                  <c:v>15.2276295133437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1AD-4F42-A1A1-602267185DF3}"/>
            </c:ext>
          </c:extLst>
        </c:ser>
        <c:ser>
          <c:idx val="1"/>
          <c:order val="1"/>
          <c:tx>
            <c:v>Formulation_Water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7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39700" h="139700"/>
              </a:sp3d>
            </c:spPr>
          </c:marker>
          <c:xVal>
            <c:numRef>
              <c:f>'Phase Behavior Results'!$E$216:$E$217</c:f>
              <c:numCache>
                <c:formatCode>0.00</c:formatCode>
                <c:ptCount val="2"/>
                <c:pt idx="0">
                  <c:v>4.6950321987120498</c:v>
                </c:pt>
                <c:pt idx="1">
                  <c:v>5.2</c:v>
                </c:pt>
              </c:numCache>
            </c:numRef>
          </c:xVal>
          <c:yVal>
            <c:numRef>
              <c:f>'Phase Behavior Results'!$F$216:$F$217</c:f>
              <c:numCache>
                <c:formatCode>0.00</c:formatCode>
                <c:ptCount val="2"/>
                <c:pt idx="0">
                  <c:v>15.395</c:v>
                </c:pt>
                <c:pt idx="1">
                  <c:v>5.4003139717425404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1AD-4F42-A1A1-602267185D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4610207"/>
        <c:axId val="1914606847"/>
      </c:scatterChart>
      <c:valAx>
        <c:axId val="1914610207"/>
        <c:scaling>
          <c:orientation val="minMax"/>
          <c:max val="5.5"/>
          <c:min val="0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4606847"/>
        <c:crosses val="autoZero"/>
        <c:crossBetween val="midCat"/>
        <c:majorUnit val="0.5"/>
      </c:valAx>
      <c:valAx>
        <c:axId val="1914606847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46102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Formulation 27. Figure</a:t>
            </a:r>
            <a:r>
              <a:rPr lang="en-GB" baseline="0"/>
              <a:t> 15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>
        <c:manualLayout>
          <c:layoutTarget val="inner"/>
          <c:xMode val="edge"/>
          <c:yMode val="edge"/>
          <c:x val="0.12619476340054803"/>
          <c:y val="0.12295465080252753"/>
          <c:w val="0.78228138490498256"/>
          <c:h val="0.72948537120508505"/>
        </c:manualLayout>
      </c:layout>
      <c:scatterChart>
        <c:scatterStyle val="lineMarker"/>
        <c:varyColors val="0"/>
        <c:ser>
          <c:idx val="0"/>
          <c:order val="0"/>
          <c:tx>
            <c:v>f_Oil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16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39700" h="139700"/>
              </a:sp3d>
            </c:spPr>
          </c:marker>
          <c:xVal>
            <c:numRef>
              <c:f>'Phase Behavior Results'!$C$233:$C$238</c:f>
              <c:numCache>
                <c:formatCode>0.00</c:formatCode>
                <c:ptCount val="6"/>
                <c:pt idx="0">
                  <c:v>0.53693444136657398</c:v>
                </c:pt>
                <c:pt idx="1">
                  <c:v>1.07710064635272</c:v>
                </c:pt>
                <c:pt idx="2">
                  <c:v>1.5987996306555801</c:v>
                </c:pt>
                <c:pt idx="3">
                  <c:v>2.1297322253000899</c:v>
                </c:pt>
                <c:pt idx="4">
                  <c:v>2.64681440443213</c:v>
                </c:pt>
                <c:pt idx="5">
                  <c:v>3.1685133887349899</c:v>
                </c:pt>
              </c:numCache>
            </c:numRef>
          </c:xVal>
          <c:yVal>
            <c:numRef>
              <c:f>'Phase Behavior Results'!$D$233:$D$238</c:f>
              <c:numCache>
                <c:formatCode>0.00</c:formatCode>
                <c:ptCount val="6"/>
                <c:pt idx="0">
                  <c:v>2.3861852433281001</c:v>
                </c:pt>
                <c:pt idx="1">
                  <c:v>2.9513343799057998</c:v>
                </c:pt>
                <c:pt idx="2">
                  <c:v>5.2747252747252702</c:v>
                </c:pt>
                <c:pt idx="3">
                  <c:v>7.3155416012558803</c:v>
                </c:pt>
                <c:pt idx="4">
                  <c:v>13.5007849293563</c:v>
                </c:pt>
                <c:pt idx="5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02-4D0F-9735-CD0A05EA7390}"/>
            </c:ext>
          </c:extLst>
        </c:ser>
        <c:ser>
          <c:idx val="1"/>
          <c:order val="1"/>
          <c:tx>
            <c:v>f_H20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6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39700" h="139700"/>
              </a:sp3d>
            </c:spPr>
          </c:marker>
          <c:xVal>
            <c:numRef>
              <c:f>'Phase Behavior Results'!$E$233:$E$237</c:f>
              <c:numCache>
                <c:formatCode>0.00</c:formatCode>
                <c:ptCount val="5"/>
                <c:pt idx="0">
                  <c:v>3.1731301939058101</c:v>
                </c:pt>
                <c:pt idx="1">
                  <c:v>3.69482917820867</c:v>
                </c:pt>
                <c:pt idx="2">
                  <c:v>4.19806094182825</c:v>
                </c:pt>
                <c:pt idx="3">
                  <c:v>4.6966759002770004</c:v>
                </c:pt>
                <c:pt idx="4">
                  <c:v>5.1952908587257598</c:v>
                </c:pt>
              </c:numCache>
            </c:numRef>
          </c:xVal>
          <c:yVal>
            <c:numRef>
              <c:f>'Phase Behavior Results'!$F$233:$F$237</c:f>
              <c:numCache>
                <c:formatCode>0.00</c:formatCode>
                <c:ptCount val="5"/>
                <c:pt idx="0">
                  <c:v>12.2448979591836</c:v>
                </c:pt>
                <c:pt idx="1">
                  <c:v>5.4317111459968599</c:v>
                </c:pt>
                <c:pt idx="2">
                  <c:v>2.9513343799057998</c:v>
                </c:pt>
                <c:pt idx="3">
                  <c:v>2.5117739403453601</c:v>
                </c:pt>
                <c:pt idx="4">
                  <c:v>2.0408163265306101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002-4D0F-9735-CD0A05EA73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8379967"/>
        <c:axId val="2098383327"/>
      </c:scatterChart>
      <c:valAx>
        <c:axId val="2098379967"/>
        <c:scaling>
          <c:orientation val="minMax"/>
          <c:min val="0.5"/>
        </c:scaling>
        <c:delete val="0"/>
        <c:axPos val="b"/>
        <c:majorGridlines>
          <c:spPr>
            <a:ln w="9525" cap="flat" cmpd="sng" algn="ctr">
              <a:solidFill>
                <a:schemeClr val="tx2"/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383327"/>
        <c:crosses val="autoZero"/>
        <c:crossBetween val="midCat"/>
      </c:valAx>
      <c:valAx>
        <c:axId val="2098383327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3799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Formulation 29. Figure 17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84781430647315"/>
          <c:y val="0.1156366082099896"/>
          <c:w val="0.80282325172993418"/>
          <c:h val="0.74788433485269201"/>
        </c:manualLayout>
      </c:layout>
      <c:scatterChart>
        <c:scatterStyle val="lineMarker"/>
        <c:varyColors val="0"/>
        <c:ser>
          <c:idx val="0"/>
          <c:order val="0"/>
          <c:tx>
            <c:v>f_Oil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39700" h="139700"/>
              </a:sp3d>
            </c:spPr>
          </c:marker>
          <c:xVal>
            <c:numRef>
              <c:f>'Phase Behavior Results'!$C$267:$C$274</c:f>
              <c:numCache>
                <c:formatCode>0.00</c:formatCode>
                <c:ptCount val="8"/>
                <c:pt idx="0">
                  <c:v>0.54946043165467595</c:v>
                </c:pt>
                <c:pt idx="1">
                  <c:v>1.08453237410071</c:v>
                </c:pt>
                <c:pt idx="2">
                  <c:v>1.6106115107913599</c:v>
                </c:pt>
                <c:pt idx="3">
                  <c:v>2.1321942446043098</c:v>
                </c:pt>
                <c:pt idx="4">
                  <c:v>2.6582733812949599</c:v>
                </c:pt>
                <c:pt idx="5">
                  <c:v>3.1798561151079099</c:v>
                </c:pt>
                <c:pt idx="6">
                  <c:v>3.6879496402877598</c:v>
                </c:pt>
                <c:pt idx="7">
                  <c:v>4.1915467625899199</c:v>
                </c:pt>
              </c:numCache>
            </c:numRef>
          </c:xVal>
          <c:yVal>
            <c:numRef>
              <c:f>'Phase Behavior Results'!$D$267:$D$274</c:f>
              <c:numCache>
                <c:formatCode>0.00</c:formatCode>
                <c:ptCount val="8"/>
                <c:pt idx="0">
                  <c:v>1.99692780337941</c:v>
                </c:pt>
                <c:pt idx="1">
                  <c:v>3.4408602150537599</c:v>
                </c:pt>
                <c:pt idx="2">
                  <c:v>3.4101382488479199</c:v>
                </c:pt>
                <c:pt idx="3">
                  <c:v>4.8540706605222699</c:v>
                </c:pt>
                <c:pt idx="4">
                  <c:v>4.7926267281105899</c:v>
                </c:pt>
                <c:pt idx="5">
                  <c:v>8.8786482334869401</c:v>
                </c:pt>
                <c:pt idx="6">
                  <c:v>14.009216589861699</c:v>
                </c:pt>
                <c:pt idx="7">
                  <c:v>17.235023041474602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530-4927-8D0F-01A485818403}"/>
            </c:ext>
          </c:extLst>
        </c:ser>
        <c:ser>
          <c:idx val="1"/>
          <c:order val="1"/>
          <c:tx>
            <c:v>f_h20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39700" h="139700"/>
              </a:sp3d>
            </c:spPr>
          </c:marker>
          <c:xVal>
            <c:numRef>
              <c:f>'Phase Behavior Results'!$E$267:$E$270</c:f>
              <c:numCache>
                <c:formatCode>0.00</c:formatCode>
                <c:ptCount val="4"/>
                <c:pt idx="0">
                  <c:v>3.6879496402877598</c:v>
                </c:pt>
                <c:pt idx="1">
                  <c:v>4.1915467625899199</c:v>
                </c:pt>
                <c:pt idx="2">
                  <c:v>4.6951438848920803</c:v>
                </c:pt>
                <c:pt idx="3">
                  <c:v>5.1987410071942399</c:v>
                </c:pt>
              </c:numCache>
            </c:numRef>
          </c:xVal>
          <c:yVal>
            <c:numRef>
              <c:f>'Phase Behavior Results'!$F$267:$F$270</c:f>
              <c:numCache>
                <c:formatCode>0.00</c:formatCode>
                <c:ptCount val="4"/>
                <c:pt idx="0">
                  <c:v>11.029185867895499</c:v>
                </c:pt>
                <c:pt idx="1">
                  <c:v>7.3732718894009199</c:v>
                </c:pt>
                <c:pt idx="2">
                  <c:v>4.8540706605222699</c:v>
                </c:pt>
                <c:pt idx="3">
                  <c:v>2.9800307219661999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530-4927-8D0F-01A4858184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43616"/>
        <c:axId val="632363008"/>
      </c:scatterChart>
      <c:valAx>
        <c:axId val="2443616"/>
        <c:scaling>
          <c:orientation val="minMax"/>
          <c:min val="0.5"/>
        </c:scaling>
        <c:delete val="0"/>
        <c:axPos val="b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2">
                  <a:lumMod val="90000"/>
                </a:schemeClr>
              </a:solidFill>
              <a:round/>
            </a:ln>
            <a:effectLst/>
          </c:spPr>
        </c:min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2363008"/>
        <c:crosses val="autoZero"/>
        <c:crossBetween val="midCat"/>
      </c:valAx>
      <c:valAx>
        <c:axId val="63236300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436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71357547546632"/>
          <c:y val="0.113184089873022"/>
          <c:w val="0.82314419499364777"/>
          <c:h val="0.74290183082582539"/>
        </c:manualLayout>
      </c:layout>
      <c:scatterChart>
        <c:scatterStyle val="lineMarker"/>
        <c:varyColors val="0"/>
        <c:ser>
          <c:idx val="0"/>
          <c:order val="0"/>
          <c:tx>
            <c:v>f_oil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16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39700" h="139700"/>
              </a:sp3d>
            </c:spPr>
          </c:marker>
          <c:xVal>
            <c:numRef>
              <c:f>'Phase Behavior Results'!$C$284:$C$291</c:f>
              <c:numCache>
                <c:formatCode>0.00</c:formatCode>
                <c:ptCount val="8"/>
                <c:pt idx="0">
                  <c:v>0.54440497335701599</c:v>
                </c:pt>
                <c:pt idx="1">
                  <c:v>1.0817051509769</c:v>
                </c:pt>
                <c:pt idx="2">
                  <c:v>1.6101243339253899</c:v>
                </c:pt>
                <c:pt idx="3">
                  <c:v>2.13854351687388</c:v>
                </c:pt>
                <c:pt idx="4">
                  <c:v>2.6580817051509702</c:v>
                </c:pt>
                <c:pt idx="5">
                  <c:v>3.1776198934280599</c:v>
                </c:pt>
                <c:pt idx="6">
                  <c:v>3.69271758436944</c:v>
                </c:pt>
                <c:pt idx="7">
                  <c:v>4.1989342806394303</c:v>
                </c:pt>
              </c:numCache>
            </c:numRef>
          </c:xVal>
          <c:yVal>
            <c:numRef>
              <c:f>'Phase Behavior Results'!$D$284:$D$291</c:f>
              <c:numCache>
                <c:formatCode>0.00</c:formatCode>
                <c:ptCount val="8"/>
                <c:pt idx="0">
                  <c:v>2.39393939393939</c:v>
                </c:pt>
                <c:pt idx="1">
                  <c:v>3.3636363636363602</c:v>
                </c:pt>
                <c:pt idx="2">
                  <c:v>2.87878787878787</c:v>
                </c:pt>
                <c:pt idx="3">
                  <c:v>4.39393939393939</c:v>
                </c:pt>
                <c:pt idx="4">
                  <c:v>5.8484848484848397</c:v>
                </c:pt>
                <c:pt idx="5">
                  <c:v>6.1818181818181799</c:v>
                </c:pt>
                <c:pt idx="6">
                  <c:v>9.3333333333333304</c:v>
                </c:pt>
                <c:pt idx="7">
                  <c:v>15.5757575757575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E5-4858-B959-E98DF673DC88}"/>
            </c:ext>
          </c:extLst>
        </c:ser>
        <c:ser>
          <c:idx val="1"/>
          <c:order val="1"/>
          <c:tx>
            <c:v>f_h20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6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39700" h="139700"/>
              </a:sp3d>
            </c:spPr>
          </c:marker>
          <c:xVal>
            <c:numRef>
              <c:f>'Phase Behavior Results'!$E$284:$E$285</c:f>
              <c:numCache>
                <c:formatCode>0.00</c:formatCode>
                <c:ptCount val="2"/>
                <c:pt idx="0">
                  <c:v>4.6918294849022999</c:v>
                </c:pt>
                <c:pt idx="1">
                  <c:v>5.1980461811722902</c:v>
                </c:pt>
              </c:numCache>
            </c:numRef>
          </c:xVal>
          <c:yVal>
            <c:numRef>
              <c:f>'Phase Behavior Results'!$F$284:$F$285</c:f>
              <c:numCache>
                <c:formatCode>0.00</c:formatCode>
                <c:ptCount val="2"/>
                <c:pt idx="0">
                  <c:v>13.1818181818181</c:v>
                </c:pt>
                <c:pt idx="1">
                  <c:v>5.39393939393939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BE5-4858-B959-E98DF673DC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2806767"/>
        <c:axId val="1382807247"/>
      </c:scatterChart>
      <c:valAx>
        <c:axId val="1382806767"/>
        <c:scaling>
          <c:orientation val="minMax"/>
          <c:min val="0.5"/>
        </c:scaling>
        <c:delete val="0"/>
        <c:axPos val="b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2">
                  <a:lumMod val="90000"/>
                </a:schemeClr>
              </a:solidFill>
              <a:round/>
            </a:ln>
            <a:effectLst/>
          </c:spPr>
        </c:min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2807247"/>
        <c:crosses val="autoZero"/>
        <c:crossBetween val="midCat"/>
        <c:majorUnit val="0.5"/>
      </c:valAx>
      <c:valAx>
        <c:axId val="1382807247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28067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226044817934627"/>
          <c:y val="9.4462558682913617E-2"/>
          <c:w val="0.81936712361107888"/>
          <c:h val="0.7668000752075711"/>
        </c:manualLayout>
      </c:layout>
      <c:scatterChart>
        <c:scatterStyle val="lineMarker"/>
        <c:varyColors val="0"/>
        <c:ser>
          <c:idx val="0"/>
          <c:order val="0"/>
          <c:tx>
            <c:v>f_oil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16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39700" h="139700"/>
              </a:sp3d>
            </c:spPr>
          </c:marker>
          <c:xVal>
            <c:numRef>
              <c:f>'Phase Behavior Results'!$C$301:$C$307</c:f>
              <c:numCache>
                <c:formatCode>0.00</c:formatCode>
                <c:ptCount val="7"/>
                <c:pt idx="0">
                  <c:v>0.54432624113475103</c:v>
                </c:pt>
                <c:pt idx="1">
                  <c:v>1.08067375886524</c:v>
                </c:pt>
                <c:pt idx="2">
                  <c:v>1.6081560283687899</c:v>
                </c:pt>
                <c:pt idx="3">
                  <c:v>2.1356382978723398</c:v>
                </c:pt>
                <c:pt idx="4">
                  <c:v>2.65868794326241</c:v>
                </c:pt>
                <c:pt idx="5">
                  <c:v>3.1773049645390001</c:v>
                </c:pt>
                <c:pt idx="6">
                  <c:v>3.68</c:v>
                </c:pt>
              </c:numCache>
            </c:numRef>
          </c:xVal>
          <c:yVal>
            <c:numRef>
              <c:f>'Phase Behavior Results'!$D$301:$D$307</c:f>
              <c:numCache>
                <c:formatCode>0.00</c:formatCode>
                <c:ptCount val="7"/>
                <c:pt idx="0">
                  <c:v>2.43161094224924</c:v>
                </c:pt>
                <c:pt idx="1">
                  <c:v>3.3434650455927</c:v>
                </c:pt>
                <c:pt idx="2">
                  <c:v>4.8936170212765902</c:v>
                </c:pt>
                <c:pt idx="3">
                  <c:v>5.25835866261398</c:v>
                </c:pt>
                <c:pt idx="4">
                  <c:v>7.2948328267477196</c:v>
                </c:pt>
                <c:pt idx="5">
                  <c:v>10.455927051671701</c:v>
                </c:pt>
                <c:pt idx="6">
                  <c:v>17.72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85-4A0B-A1BF-4AC7AFC2ADB2}"/>
            </c:ext>
          </c:extLst>
        </c:ser>
        <c:ser>
          <c:idx val="1"/>
          <c:order val="1"/>
          <c:tx>
            <c:v>f_h20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6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39700" h="139700"/>
              </a:sp3d>
            </c:spPr>
          </c:marker>
          <c:xVal>
            <c:numRef>
              <c:f>'Phase Behavior Results'!$E$301:$E$304</c:f>
              <c:numCache>
                <c:formatCode>0.00</c:formatCode>
                <c:ptCount val="4"/>
                <c:pt idx="0">
                  <c:v>3.1684397163120499</c:v>
                </c:pt>
                <c:pt idx="1">
                  <c:v>4.19237588652482</c:v>
                </c:pt>
                <c:pt idx="2">
                  <c:v>4.6950000000000003</c:v>
                </c:pt>
                <c:pt idx="3">
                  <c:v>5.2</c:v>
                </c:pt>
              </c:numCache>
            </c:numRef>
          </c:xVal>
          <c:yVal>
            <c:numRef>
              <c:f>'Phase Behavior Results'!$F$301:$F$304</c:f>
              <c:numCache>
                <c:formatCode>0.00</c:formatCode>
                <c:ptCount val="4"/>
                <c:pt idx="0">
                  <c:v>15.319148936170199</c:v>
                </c:pt>
                <c:pt idx="1">
                  <c:v>6.3221884498480199</c:v>
                </c:pt>
                <c:pt idx="2">
                  <c:v>4.8024316109422402</c:v>
                </c:pt>
                <c:pt idx="3">
                  <c:v>3.93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B85-4A0B-A1BF-4AC7AFC2AD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5866592"/>
        <c:axId val="255872352"/>
      </c:scatterChart>
      <c:valAx>
        <c:axId val="255866592"/>
        <c:scaling>
          <c:orientation val="minMax"/>
          <c:max val="5.5"/>
          <c:min val="0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5872352"/>
        <c:crosses val="autoZero"/>
        <c:crossBetween val="midCat"/>
      </c:valAx>
      <c:valAx>
        <c:axId val="255872352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5866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3741595391136245E-2"/>
          <c:y val="9.0114929479239103E-2"/>
          <c:w val="0.84270419078883219"/>
          <c:h val="0.75300298626076767"/>
        </c:manualLayout>
      </c:layout>
      <c:scatterChart>
        <c:scatterStyle val="lineMarker"/>
        <c:varyColors val="0"/>
        <c:ser>
          <c:idx val="0"/>
          <c:order val="0"/>
          <c:tx>
            <c:v>f_oiol\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16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39700" h="139700"/>
              </a:sp3d>
            </c:spPr>
          </c:marker>
          <c:xVal>
            <c:numRef>
              <c:f>'Phase Behavior Results'!$C$318:$C$322</c:f>
              <c:numCache>
                <c:formatCode>0.00</c:formatCode>
                <c:ptCount val="5"/>
                <c:pt idx="0">
                  <c:v>0.53978779840848801</c:v>
                </c:pt>
                <c:pt idx="1">
                  <c:v>1.07471264367816</c:v>
                </c:pt>
                <c:pt idx="2">
                  <c:v>1.60079575596816</c:v>
                </c:pt>
                <c:pt idx="3">
                  <c:v>2.1268788682581699</c:v>
                </c:pt>
                <c:pt idx="4">
                  <c:v>2.6485411140583501</c:v>
                </c:pt>
              </c:numCache>
            </c:numRef>
          </c:xVal>
          <c:yVal>
            <c:numRef>
              <c:f>'Phase Behavior Results'!$D$318:$D$322</c:f>
              <c:numCache>
                <c:formatCode>0.00</c:formatCode>
                <c:ptCount val="5"/>
                <c:pt idx="0">
                  <c:v>1.90620272314674</c:v>
                </c:pt>
                <c:pt idx="1">
                  <c:v>4.3570347957639903</c:v>
                </c:pt>
                <c:pt idx="2">
                  <c:v>6.4145234493192103</c:v>
                </c:pt>
                <c:pt idx="3">
                  <c:v>9.7730711043872898</c:v>
                </c:pt>
                <c:pt idx="4">
                  <c:v>15.9757942511346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06-4448-A834-2735F0DB1CB2}"/>
            </c:ext>
          </c:extLst>
        </c:ser>
        <c:ser>
          <c:idx val="1"/>
          <c:order val="1"/>
          <c:tx>
            <c:v>f_h20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6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39700" h="139700"/>
              </a:sp3d>
            </c:spPr>
          </c:marker>
          <c:xVal>
            <c:numRef>
              <c:f>'Phase Behavior Results'!$E$318:$E$323</c:f>
              <c:numCache>
                <c:formatCode>0.00</c:formatCode>
                <c:ptCount val="6"/>
                <c:pt idx="0">
                  <c:v>2.65</c:v>
                </c:pt>
                <c:pt idx="1">
                  <c:v>3.1702033599999999</c:v>
                </c:pt>
                <c:pt idx="2">
                  <c:v>3.69</c:v>
                </c:pt>
                <c:pt idx="3">
                  <c:v>4.2</c:v>
                </c:pt>
                <c:pt idx="4">
                  <c:v>4.7</c:v>
                </c:pt>
                <c:pt idx="5">
                  <c:v>5.21</c:v>
                </c:pt>
              </c:numCache>
            </c:numRef>
          </c:xVal>
          <c:yVal>
            <c:numRef>
              <c:f>'Phase Behavior Results'!$F$318:$F$323</c:f>
              <c:numCache>
                <c:formatCode>0.00</c:formatCode>
                <c:ptCount val="6"/>
                <c:pt idx="0">
                  <c:v>11.649016639999999</c:v>
                </c:pt>
                <c:pt idx="1">
                  <c:v>6.8381240539999997</c:v>
                </c:pt>
                <c:pt idx="2">
                  <c:v>3.963691377</c:v>
                </c:pt>
                <c:pt idx="3">
                  <c:v>1.55</c:v>
                </c:pt>
                <c:pt idx="4">
                  <c:v>1.04</c:v>
                </c:pt>
                <c:pt idx="5">
                  <c:v>0.64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306-4448-A834-2735F0DB1C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250704"/>
        <c:axId val="121250224"/>
      </c:scatterChart>
      <c:valAx>
        <c:axId val="121250704"/>
        <c:scaling>
          <c:orientation val="minMax"/>
          <c:min val="0.5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crossAx val="121250224"/>
        <c:crosses val="autoZero"/>
        <c:crossBetween val="midCat"/>
      </c:valAx>
      <c:valAx>
        <c:axId val="121250224"/>
        <c:scaling>
          <c:orientation val="minMax"/>
          <c:max val="20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crossAx val="1212507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388398229286564"/>
          <c:y val="0.12088729237574711"/>
          <c:w val="0.7938241142670065"/>
          <c:h val="0.73713627752807642"/>
        </c:manualLayout>
      </c:layout>
      <c:scatterChart>
        <c:scatterStyle val="lineMarker"/>
        <c:varyColors val="0"/>
        <c:ser>
          <c:idx val="0"/>
          <c:order val="0"/>
          <c:tx>
            <c:v>f_oil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16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39700" h="139700"/>
              </a:sp3d>
            </c:spPr>
          </c:marker>
          <c:xVal>
            <c:numRef>
              <c:f>'Phase Behavior Results'!$C$335:$C$338</c:f>
              <c:numCache>
                <c:formatCode>0.00</c:formatCode>
                <c:ptCount val="4"/>
                <c:pt idx="0">
                  <c:v>0.54113345521023704</c:v>
                </c:pt>
                <c:pt idx="1">
                  <c:v>1.0758683729433201</c:v>
                </c:pt>
                <c:pt idx="2">
                  <c:v>1.6014625228519099</c:v>
                </c:pt>
                <c:pt idx="3">
                  <c:v>2.1316270566727602</c:v>
                </c:pt>
              </c:numCache>
            </c:numRef>
          </c:xVal>
          <c:yVal>
            <c:numRef>
              <c:f>'Phase Behavior Results'!$D$335:$D$338</c:f>
              <c:numCache>
                <c:formatCode>0.00</c:formatCode>
                <c:ptCount val="4"/>
                <c:pt idx="0">
                  <c:v>3.8940809968847301</c:v>
                </c:pt>
                <c:pt idx="1">
                  <c:v>4.4859813084112101</c:v>
                </c:pt>
                <c:pt idx="2">
                  <c:v>6.5109034267912698</c:v>
                </c:pt>
                <c:pt idx="3">
                  <c:v>12.056074766355099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F5-4511-9E04-4724F28EA4B2}"/>
            </c:ext>
          </c:extLst>
        </c:ser>
        <c:ser>
          <c:idx val="1"/>
          <c:order val="1"/>
          <c:tx>
            <c:v>f_h20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6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39700" h="139700"/>
              </a:sp3d>
            </c:spPr>
          </c:marker>
          <c:xVal>
            <c:numRef>
              <c:f>'Phase Behavior Results'!$E$335:$E$339</c:f>
              <c:numCache>
                <c:formatCode>0.00</c:formatCode>
                <c:ptCount val="5"/>
                <c:pt idx="0">
                  <c:v>2.65</c:v>
                </c:pt>
                <c:pt idx="1">
                  <c:v>3.1736745886654401</c:v>
                </c:pt>
                <c:pt idx="2">
                  <c:v>4.1900000000000004</c:v>
                </c:pt>
                <c:pt idx="3">
                  <c:v>4.6900000000000004</c:v>
                </c:pt>
                <c:pt idx="4">
                  <c:v>5.2</c:v>
                </c:pt>
              </c:numCache>
            </c:numRef>
          </c:xVal>
          <c:yVal>
            <c:numRef>
              <c:f>'Phase Behavior Results'!$F$335:$F$339</c:f>
              <c:numCache>
                <c:formatCode>0.00</c:formatCode>
                <c:ptCount val="5"/>
                <c:pt idx="0">
                  <c:v>10.031152647975</c:v>
                </c:pt>
                <c:pt idx="1">
                  <c:v>5.0778816199376902</c:v>
                </c:pt>
                <c:pt idx="2">
                  <c:v>2.5545171339563799</c:v>
                </c:pt>
                <c:pt idx="3">
                  <c:v>1.5264797507788099</c:v>
                </c:pt>
                <c:pt idx="4">
                  <c:v>0.49844236760124599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2F5-4511-9E04-4724F28EA4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99104"/>
        <c:axId val="10605344"/>
      </c:scatterChart>
      <c:valAx>
        <c:axId val="10599104"/>
        <c:scaling>
          <c:orientation val="minMax"/>
          <c:min val="0.5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crossAx val="10605344"/>
        <c:crosses val="autoZero"/>
        <c:crossBetween val="midCat"/>
      </c:valAx>
      <c:valAx>
        <c:axId val="10605344"/>
        <c:scaling>
          <c:orientation val="minMax"/>
          <c:max val="20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crossAx val="105991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080160581326818"/>
          <c:y val="0.12415904831398383"/>
          <c:w val="0.83283705976088784"/>
          <c:h val="0.73858469135452853"/>
        </c:manualLayout>
      </c:layout>
      <c:scatterChart>
        <c:scatterStyle val="lineMarker"/>
        <c:varyColors val="0"/>
        <c:ser>
          <c:idx val="0"/>
          <c:order val="0"/>
          <c:tx>
            <c:v>f_oil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16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39700" h="139700"/>
              </a:sp3d>
            </c:spPr>
          </c:marker>
          <c:xVal>
            <c:numRef>
              <c:f>'Phase Behavior Results'!$C$369:$C$372</c:f>
              <c:numCache>
                <c:formatCode>0.00</c:formatCode>
                <c:ptCount val="4"/>
                <c:pt idx="0">
                  <c:v>0.54587155963302703</c:v>
                </c:pt>
                <c:pt idx="1">
                  <c:v>1.08</c:v>
                </c:pt>
                <c:pt idx="2">
                  <c:v>1.6055045871559599</c:v>
                </c:pt>
                <c:pt idx="3">
                  <c:v>2.1330275229357798</c:v>
                </c:pt>
              </c:numCache>
            </c:numRef>
          </c:xVal>
          <c:yVal>
            <c:numRef>
              <c:f>'Phase Behavior Results'!$D$369:$D$372</c:f>
              <c:numCache>
                <c:formatCode>0.00</c:formatCode>
                <c:ptCount val="4"/>
                <c:pt idx="0">
                  <c:v>2.0124804992199601</c:v>
                </c:pt>
                <c:pt idx="1">
                  <c:v>7.95</c:v>
                </c:pt>
                <c:pt idx="2">
                  <c:v>13.806552262090401</c:v>
                </c:pt>
                <c:pt idx="3">
                  <c:v>27.659906396255799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DE-4EB9-BB75-5E392C886F4C}"/>
            </c:ext>
          </c:extLst>
        </c:ser>
        <c:ser>
          <c:idx val="1"/>
          <c:order val="1"/>
          <c:tx>
            <c:v>f_h20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6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39700" h="139700"/>
              </a:sp3d>
            </c:spPr>
          </c:marker>
          <c:xVal>
            <c:numRef>
              <c:f>'Phase Behavior Results'!$E$369:$E$375</c:f>
              <c:numCache>
                <c:formatCode>0.00</c:formatCode>
                <c:ptCount val="7"/>
                <c:pt idx="0">
                  <c:v>2.1284403669724701</c:v>
                </c:pt>
                <c:pt idx="1">
                  <c:v>2.6467889908256801</c:v>
                </c:pt>
                <c:pt idx="2">
                  <c:v>3.1697247706421998</c:v>
                </c:pt>
                <c:pt idx="3">
                  <c:v>3.6972477064220102</c:v>
                </c:pt>
                <c:pt idx="4">
                  <c:v>4.1972477064220097</c:v>
                </c:pt>
                <c:pt idx="5">
                  <c:v>4.7018348623853203</c:v>
                </c:pt>
                <c:pt idx="6">
                  <c:v>5.2064220183486203</c:v>
                </c:pt>
              </c:numCache>
            </c:numRef>
          </c:xVal>
          <c:yVal>
            <c:numRef>
              <c:f>'Phase Behavior Results'!$F$369:$F$375</c:f>
              <c:numCache>
                <c:formatCode>0.00</c:formatCode>
                <c:ptCount val="7"/>
                <c:pt idx="0">
                  <c:v>29.719188767550701</c:v>
                </c:pt>
                <c:pt idx="1">
                  <c:v>15.7254290171606</c:v>
                </c:pt>
                <c:pt idx="2">
                  <c:v>9.7815912636505402</c:v>
                </c:pt>
                <c:pt idx="3">
                  <c:v>6.0374414976599002</c:v>
                </c:pt>
                <c:pt idx="4">
                  <c:v>5.8970358814352499</c:v>
                </c:pt>
                <c:pt idx="5">
                  <c:v>2.1528861154446099</c:v>
                </c:pt>
                <c:pt idx="6">
                  <c:v>2.1060842433697302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EDE-4EB9-BB75-5E392C886F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4059792"/>
        <c:axId val="254063152"/>
      </c:scatterChart>
      <c:valAx>
        <c:axId val="254059792"/>
        <c:scaling>
          <c:orientation val="minMax"/>
          <c:min val="0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063152"/>
        <c:crosses val="autoZero"/>
        <c:crossBetween val="midCat"/>
      </c:valAx>
      <c:valAx>
        <c:axId val="254063152"/>
        <c:scaling>
          <c:orientation val="minMax"/>
          <c:max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059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1551827520846979E-2"/>
          <c:y val="0.10739365575783898"/>
          <c:w val="0.86923115678328466"/>
          <c:h val="0.75059269459307609"/>
        </c:manualLayout>
      </c:layout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17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39700" h="139700"/>
              </a:sp3d>
            </c:spPr>
          </c:marker>
          <c:xVal>
            <c:numRef>
              <c:f>'Phase Behavior Results'!$C$403:$C$409</c:f>
              <c:numCache>
                <c:formatCode>0.00</c:formatCode>
                <c:ptCount val="7"/>
                <c:pt idx="0">
                  <c:v>0.54520795660036103</c:v>
                </c:pt>
                <c:pt idx="1">
                  <c:v>1.08318264014466</c:v>
                </c:pt>
                <c:pt idx="2">
                  <c:v>1.62</c:v>
                </c:pt>
                <c:pt idx="3">
                  <c:v>2.14</c:v>
                </c:pt>
                <c:pt idx="4">
                  <c:v>2.66</c:v>
                </c:pt>
                <c:pt idx="5">
                  <c:v>3.18</c:v>
                </c:pt>
                <c:pt idx="6">
                  <c:v>3.6949999999999998</c:v>
                </c:pt>
              </c:numCache>
            </c:numRef>
          </c:xVal>
          <c:yVal>
            <c:numRef>
              <c:f>'Phase Behavior Results'!$D$403:$D$409</c:f>
              <c:numCache>
                <c:formatCode>0.00</c:formatCode>
                <c:ptCount val="7"/>
                <c:pt idx="0">
                  <c:v>2.37</c:v>
                </c:pt>
                <c:pt idx="1">
                  <c:v>3.9</c:v>
                </c:pt>
                <c:pt idx="2">
                  <c:v>5.31</c:v>
                </c:pt>
                <c:pt idx="3">
                  <c:v>7.15</c:v>
                </c:pt>
                <c:pt idx="4">
                  <c:v>10.4923076923076</c:v>
                </c:pt>
                <c:pt idx="5">
                  <c:v>13.7846153846153</c:v>
                </c:pt>
                <c:pt idx="6">
                  <c:v>18.315000000000001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23-4CEB-AE54-8B217A024AB2}"/>
            </c:ext>
          </c:extLst>
        </c:ser>
        <c:ser>
          <c:idx val="1"/>
          <c:order val="1"/>
          <c:tx>
            <c:v>f_water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6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39700" h="139700"/>
              </a:sp3d>
            </c:spPr>
          </c:marker>
          <c:xVal>
            <c:numRef>
              <c:f>'Phase Behavior Results'!$E$403:$E$407</c:f>
              <c:numCache>
                <c:formatCode>0.00</c:formatCode>
                <c:ptCount val="5"/>
                <c:pt idx="0">
                  <c:v>3.1749999999999998</c:v>
                </c:pt>
                <c:pt idx="1">
                  <c:v>3.6909999999999998</c:v>
                </c:pt>
                <c:pt idx="2">
                  <c:v>4.2</c:v>
                </c:pt>
                <c:pt idx="3">
                  <c:v>4.7</c:v>
                </c:pt>
                <c:pt idx="4">
                  <c:v>5.2050000000000001</c:v>
                </c:pt>
              </c:numCache>
            </c:numRef>
          </c:xVal>
          <c:yVal>
            <c:numRef>
              <c:f>'Phase Behavior Results'!$F$403:$F$407</c:f>
              <c:numCache>
                <c:formatCode>0.00</c:formatCode>
                <c:ptCount val="5"/>
                <c:pt idx="0">
                  <c:v>17.100000000000001</c:v>
                </c:pt>
                <c:pt idx="1">
                  <c:v>9.6199999999999992</c:v>
                </c:pt>
                <c:pt idx="2">
                  <c:v>4.8499999999999996</c:v>
                </c:pt>
                <c:pt idx="3">
                  <c:v>3.9</c:v>
                </c:pt>
                <c:pt idx="4">
                  <c:v>2.4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223-4CEB-AE54-8B217A024A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1871583"/>
        <c:axId val="1851883583"/>
      </c:scatterChart>
      <c:valAx>
        <c:axId val="1851871583"/>
        <c:scaling>
          <c:orientation val="minMax"/>
          <c:min val="0.5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crossAx val="1851883583"/>
        <c:crosses val="autoZero"/>
        <c:crossBetween val="midCat"/>
      </c:valAx>
      <c:valAx>
        <c:axId val="185188358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crossAx val="18518715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73058969971343"/>
          <c:y val="0.10746580865228608"/>
          <c:w val="0.84226150037449798"/>
          <c:h val="0.7524467622528086"/>
        </c:manualLayout>
      </c:layout>
      <c:scatterChart>
        <c:scatterStyle val="lineMarker"/>
        <c:varyColors val="0"/>
        <c:ser>
          <c:idx val="0"/>
          <c:order val="0"/>
          <c:tx>
            <c:v>f_oil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16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39700" h="139700"/>
              </a:sp3d>
            </c:spPr>
          </c:marker>
          <c:xVal>
            <c:numRef>
              <c:f>'Phase Behavior Results'!$C$420:$C$425</c:f>
              <c:numCache>
                <c:formatCode>0.00</c:formatCode>
                <c:ptCount val="6"/>
                <c:pt idx="0">
                  <c:v>0.53533568904593598</c:v>
                </c:pt>
                <c:pt idx="1">
                  <c:v>1.0786219081271999</c:v>
                </c:pt>
                <c:pt idx="2">
                  <c:v>1.5998233215547699</c:v>
                </c:pt>
                <c:pt idx="3">
                  <c:v>2.1342756183745499</c:v>
                </c:pt>
                <c:pt idx="4">
                  <c:v>2.6554770318021199</c:v>
                </c:pt>
                <c:pt idx="5">
                  <c:v>3.1678445229681902</c:v>
                </c:pt>
              </c:numCache>
            </c:numRef>
          </c:xVal>
          <c:yVal>
            <c:numRef>
              <c:f>'Phase Behavior Results'!$D$420:$D$425</c:f>
              <c:numCache>
                <c:formatCode>0.00</c:formatCode>
                <c:ptCount val="6"/>
                <c:pt idx="0">
                  <c:v>4.7297297297297298</c:v>
                </c:pt>
                <c:pt idx="1">
                  <c:v>5.6306306306306304</c:v>
                </c:pt>
                <c:pt idx="2">
                  <c:v>9.6846846846846795</c:v>
                </c:pt>
                <c:pt idx="3">
                  <c:v>10.495495495495399</c:v>
                </c:pt>
                <c:pt idx="4">
                  <c:v>15</c:v>
                </c:pt>
                <c:pt idx="5">
                  <c:v>25.270270270270199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29-4635-9922-4C4E3D8478A4}"/>
            </c:ext>
          </c:extLst>
        </c:ser>
        <c:ser>
          <c:idx val="1"/>
          <c:order val="1"/>
          <c:tx>
            <c:v>f_water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6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39700" h="139700"/>
              </a:sp3d>
            </c:spPr>
          </c:marker>
          <c:xVal>
            <c:numRef>
              <c:f>'Phase Behavior Results'!$E$420:$E$425</c:f>
              <c:numCache>
                <c:formatCode>0.00</c:formatCode>
                <c:ptCount val="6"/>
                <c:pt idx="0">
                  <c:v>2.64664310954063</c:v>
                </c:pt>
                <c:pt idx="1">
                  <c:v>3.1678445229681902</c:v>
                </c:pt>
                <c:pt idx="2">
                  <c:v>3.6846289752650101</c:v>
                </c:pt>
                <c:pt idx="3">
                  <c:v>4.1925795053003503</c:v>
                </c:pt>
                <c:pt idx="4">
                  <c:v>4.6916961130742001</c:v>
                </c:pt>
                <c:pt idx="5">
                  <c:v>5.1952296819787902</c:v>
                </c:pt>
              </c:numCache>
            </c:numRef>
          </c:xVal>
          <c:yVal>
            <c:numRef>
              <c:f>'Phase Behavior Results'!$F$420:$F$425</c:f>
              <c:numCache>
                <c:formatCode>0.00</c:formatCode>
                <c:ptCount val="6"/>
                <c:pt idx="0">
                  <c:v>16.936936936936899</c:v>
                </c:pt>
                <c:pt idx="1">
                  <c:v>8.7837837837837807</c:v>
                </c:pt>
                <c:pt idx="2">
                  <c:v>4.7297297297297298</c:v>
                </c:pt>
                <c:pt idx="3">
                  <c:v>3.91891891891891</c:v>
                </c:pt>
                <c:pt idx="4">
                  <c:v>1.9819819819819799</c:v>
                </c:pt>
                <c:pt idx="5">
                  <c:v>2.07207207207207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C29-4635-9922-4C4E3D8478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2688399"/>
        <c:axId val="1952688879"/>
      </c:scatterChart>
      <c:valAx>
        <c:axId val="1952688399"/>
        <c:scaling>
          <c:orientation val="minMax"/>
          <c:min val="0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2688879"/>
        <c:crosses val="autoZero"/>
        <c:crossBetween val="midCat"/>
      </c:valAx>
      <c:valAx>
        <c:axId val="1952688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26883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430555624235865"/>
          <c:y val="0.10327907879385163"/>
          <c:w val="0.81190876441624737"/>
          <c:h val="0.75135164934997378"/>
        </c:manualLayout>
      </c:layout>
      <c:scatterChart>
        <c:scatterStyle val="lineMarker"/>
        <c:varyColors val="0"/>
        <c:ser>
          <c:idx val="0"/>
          <c:order val="0"/>
          <c:tx>
            <c:v>f_oil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16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39700" h="139700"/>
              </a:sp3d>
            </c:spPr>
          </c:marker>
          <c:xVal>
            <c:numRef>
              <c:f>'Phase Behavior Results'!$C$437:$C$440</c:f>
              <c:numCache>
                <c:formatCode>0.00</c:formatCode>
                <c:ptCount val="4"/>
                <c:pt idx="0">
                  <c:v>0.531222123104371</c:v>
                </c:pt>
                <c:pt idx="1">
                  <c:v>1.07091882247992</c:v>
                </c:pt>
                <c:pt idx="2">
                  <c:v>1.59277430865298</c:v>
                </c:pt>
                <c:pt idx="3">
                  <c:v>2.1235504014272899</c:v>
                </c:pt>
              </c:numCache>
            </c:numRef>
          </c:xVal>
          <c:yVal>
            <c:numRef>
              <c:f>'Phase Behavior Results'!$D$437:$D$440</c:f>
              <c:numCache>
                <c:formatCode>0.00</c:formatCode>
                <c:ptCount val="4"/>
                <c:pt idx="0">
                  <c:v>9.6347031963470293</c:v>
                </c:pt>
                <c:pt idx="1">
                  <c:v>11.324200913242001</c:v>
                </c:pt>
                <c:pt idx="2">
                  <c:v>15.570776255707701</c:v>
                </c:pt>
                <c:pt idx="3">
                  <c:v>19.1324200913242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B6B-4F10-B0F5-AFC106CE5795}"/>
            </c:ext>
          </c:extLst>
        </c:ser>
        <c:ser>
          <c:idx val="1"/>
          <c:order val="1"/>
          <c:tx>
            <c:v>f_water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6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  <a:scene3d>
                <a:camera prst="orthographicFront"/>
                <a:lightRig rig="contrasting" dir="t">
                  <a:rot lat="0" lon="0" rev="7800000"/>
                </a:lightRig>
              </a:scene3d>
              <a:sp3d>
                <a:bevelT w="139700" h="139700"/>
              </a:sp3d>
            </c:spPr>
          </c:marker>
          <c:xVal>
            <c:numRef>
              <c:f>'Phase Behavior Results'!$E$437:$E$442</c:f>
              <c:numCache>
                <c:formatCode>0.00</c:formatCode>
                <c:ptCount val="6"/>
                <c:pt idx="0">
                  <c:v>2.65</c:v>
                </c:pt>
                <c:pt idx="1">
                  <c:v>3.1749999999999998</c:v>
                </c:pt>
                <c:pt idx="2">
                  <c:v>3.6891168599464699</c:v>
                </c:pt>
                <c:pt idx="3">
                  <c:v>4.1931311329170304</c:v>
                </c:pt>
                <c:pt idx="4">
                  <c:v>4.6882247992863499</c:v>
                </c:pt>
                <c:pt idx="5">
                  <c:v>5.2011596788581604</c:v>
                </c:pt>
              </c:numCache>
            </c:numRef>
          </c:xVal>
          <c:yVal>
            <c:numRef>
              <c:f>'Phase Behavior Results'!$F$437:$F$442</c:f>
              <c:numCache>
                <c:formatCode>0.00</c:formatCode>
                <c:ptCount val="6"/>
                <c:pt idx="0">
                  <c:v>17.350000000000001</c:v>
                </c:pt>
                <c:pt idx="1">
                  <c:v>11.5</c:v>
                </c:pt>
                <c:pt idx="2">
                  <c:v>7.6255707762557003</c:v>
                </c:pt>
                <c:pt idx="3">
                  <c:v>5.93607305936073</c:v>
                </c:pt>
                <c:pt idx="4">
                  <c:v>4.0639269406392602</c:v>
                </c:pt>
                <c:pt idx="5">
                  <c:v>2.1461187214611801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B6B-4F10-B0F5-AFC106CE57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2347119"/>
        <c:axId val="1752360079"/>
      </c:scatterChart>
      <c:valAx>
        <c:axId val="1752347119"/>
        <c:scaling>
          <c:orientation val="minMax"/>
          <c:min val="0.5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crossAx val="1752360079"/>
        <c:crosses val="autoZero"/>
        <c:crossBetween val="midCat"/>
      </c:valAx>
      <c:valAx>
        <c:axId val="1752360079"/>
        <c:scaling>
          <c:orientation val="minMax"/>
          <c:max val="30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crossAx val="17523471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271705842210665"/>
          <c:y val="0.10702073576118135"/>
          <c:w val="0.78454872506707973"/>
          <c:h val="0.76388671335832881"/>
        </c:manualLayout>
      </c:layout>
      <c:scatterChart>
        <c:scatterStyle val="lineMarker"/>
        <c:varyColors val="0"/>
        <c:ser>
          <c:idx val="0"/>
          <c:order val="0"/>
          <c:tx>
            <c:v>formulation_oil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16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39700" h="139700"/>
              </a:sp3d>
            </c:spPr>
          </c:marker>
          <c:xVal>
            <c:numRef>
              <c:f>'Phase Behavior Results'!$C$454:$C$456</c:f>
              <c:numCache>
                <c:formatCode>0.00</c:formatCode>
                <c:ptCount val="3"/>
                <c:pt idx="0">
                  <c:v>0.53913043478260803</c:v>
                </c:pt>
                <c:pt idx="1">
                  <c:v>1.0782608695652101</c:v>
                </c:pt>
                <c:pt idx="2">
                  <c:v>1.6</c:v>
                </c:pt>
              </c:numCache>
            </c:numRef>
          </c:xVal>
          <c:yVal>
            <c:numRef>
              <c:f>'Phase Behavior Results'!$D$454:$D$456</c:f>
              <c:numCache>
                <c:formatCode>0.00</c:formatCode>
                <c:ptCount val="3"/>
                <c:pt idx="0">
                  <c:v>5.7566765578635</c:v>
                </c:pt>
                <c:pt idx="1">
                  <c:v>7.1513353115726996</c:v>
                </c:pt>
                <c:pt idx="2">
                  <c:v>11.1275964391691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C1-49BA-AA1A-89689F744DB0}"/>
            </c:ext>
          </c:extLst>
        </c:ser>
        <c:ser>
          <c:idx val="1"/>
          <c:order val="1"/>
          <c:tx>
            <c:v>formulation_h20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6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39700" h="139700"/>
              </a:sp3d>
            </c:spPr>
          </c:marker>
          <c:xVal>
            <c:numRef>
              <c:f>'Phase Behavior Results'!$E$454:$E$462</c:f>
              <c:numCache>
                <c:formatCode>0.00</c:formatCode>
                <c:ptCount val="9"/>
                <c:pt idx="0">
                  <c:v>1.07391304347826</c:v>
                </c:pt>
                <c:pt idx="1">
                  <c:v>1.6</c:v>
                </c:pt>
                <c:pt idx="2">
                  <c:v>2.1217391304347801</c:v>
                </c:pt>
                <c:pt idx="3">
                  <c:v>2.64782608695652</c:v>
                </c:pt>
                <c:pt idx="4">
                  <c:v>3.1739130434782599</c:v>
                </c:pt>
                <c:pt idx="5">
                  <c:v>3.6956521739130399</c:v>
                </c:pt>
                <c:pt idx="6">
                  <c:v>4.2</c:v>
                </c:pt>
                <c:pt idx="7">
                  <c:v>4.6956521739130404</c:v>
                </c:pt>
                <c:pt idx="8">
                  <c:v>5.2043478260869502</c:v>
                </c:pt>
              </c:numCache>
            </c:numRef>
          </c:xVal>
          <c:yVal>
            <c:numRef>
              <c:f>'Phase Behavior Results'!$F$454:$F$462</c:f>
              <c:numCache>
                <c:formatCode>0.00</c:formatCode>
                <c:ptCount val="9"/>
                <c:pt idx="0">
                  <c:v>8.1008902077151301</c:v>
                </c:pt>
                <c:pt idx="1">
                  <c:v>5.8160237388724001</c:v>
                </c:pt>
                <c:pt idx="2">
                  <c:v>3.7388724035608298</c:v>
                </c:pt>
                <c:pt idx="3">
                  <c:v>3.79821958456973</c:v>
                </c:pt>
                <c:pt idx="4">
                  <c:v>1.5133531157269999</c:v>
                </c:pt>
                <c:pt idx="5">
                  <c:v>0.53412462908011804</c:v>
                </c:pt>
                <c:pt idx="6">
                  <c:v>0.53412462908011804</c:v>
                </c:pt>
                <c:pt idx="7">
                  <c:v>0.56379821958456899</c:v>
                </c:pt>
                <c:pt idx="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1C1-49BA-AA1A-89689F744D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3610927"/>
        <c:axId val="1733608527"/>
      </c:scatterChart>
      <c:valAx>
        <c:axId val="1733610927"/>
        <c:scaling>
          <c:orientation val="minMax"/>
          <c:min val="0.5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crossAx val="1733608527"/>
        <c:crosses val="autoZero"/>
        <c:crossBetween val="midCat"/>
      </c:valAx>
      <c:valAx>
        <c:axId val="1733608527"/>
        <c:scaling>
          <c:orientation val="minMax"/>
          <c:max val="20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crossAx val="17336109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240927158814054"/>
          <c:y val="0.10887167127848657"/>
          <c:w val="0.82884759831127075"/>
          <c:h val="0.73930419400188629"/>
        </c:manualLayout>
      </c:layout>
      <c:scatterChart>
        <c:scatterStyle val="lineMarker"/>
        <c:varyColors val="0"/>
        <c:ser>
          <c:idx val="0"/>
          <c:order val="0"/>
          <c:tx>
            <c:v>f_oil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16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39700" h="139700"/>
              </a:sp3d>
            </c:spPr>
          </c:marker>
          <c:xVal>
            <c:numRef>
              <c:f>'Phase Behavior Results'!$C$80:$C$83</c:f>
              <c:numCache>
                <c:formatCode>0.00</c:formatCode>
                <c:ptCount val="4"/>
                <c:pt idx="0">
                  <c:v>1E-4</c:v>
                </c:pt>
                <c:pt idx="1">
                  <c:v>0.54298642533936603</c:v>
                </c:pt>
                <c:pt idx="2">
                  <c:v>1.07692307692307</c:v>
                </c:pt>
                <c:pt idx="3">
                  <c:v>1.605</c:v>
                </c:pt>
              </c:numCache>
            </c:numRef>
          </c:xVal>
          <c:yVal>
            <c:numRef>
              <c:f>'Phase Behavior Results'!$D$80:$D$83</c:f>
              <c:numCache>
                <c:formatCode>0.00</c:formatCode>
                <c:ptCount val="4"/>
                <c:pt idx="0">
                  <c:v>0.95</c:v>
                </c:pt>
                <c:pt idx="1">
                  <c:v>1.4197530864197501</c:v>
                </c:pt>
                <c:pt idx="2">
                  <c:v>5.85</c:v>
                </c:pt>
                <c:pt idx="3">
                  <c:v>18.899999999999999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54-4967-9E97-8148092DEAB5}"/>
            </c:ext>
          </c:extLst>
        </c:ser>
        <c:ser>
          <c:idx val="1"/>
          <c:order val="1"/>
          <c:tx>
            <c:v>f_water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6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39700" h="139700"/>
              </a:sp3d>
            </c:spPr>
          </c:marker>
          <c:xVal>
            <c:numRef>
              <c:f>'Phase Behavior Results'!$E$80:$E$86</c:f>
              <c:numCache>
                <c:formatCode>0.00</c:formatCode>
                <c:ptCount val="7"/>
                <c:pt idx="0">
                  <c:v>1.61</c:v>
                </c:pt>
                <c:pt idx="1">
                  <c:v>2.1349999999999998</c:v>
                </c:pt>
                <c:pt idx="2">
                  <c:v>2.66</c:v>
                </c:pt>
                <c:pt idx="3">
                  <c:v>3.1764705882352899</c:v>
                </c:pt>
                <c:pt idx="4">
                  <c:v>3.68778280542986</c:v>
                </c:pt>
                <c:pt idx="5">
                  <c:v>4.1950000000000003</c:v>
                </c:pt>
                <c:pt idx="6">
                  <c:v>4.7050000000000001</c:v>
                </c:pt>
              </c:numCache>
            </c:numRef>
          </c:xVal>
          <c:yVal>
            <c:numRef>
              <c:f>'Phase Behavior Results'!$F$80:$F$86</c:f>
              <c:numCache>
                <c:formatCode>0.00</c:formatCode>
                <c:ptCount val="7"/>
                <c:pt idx="0">
                  <c:v>17.850000000000001</c:v>
                </c:pt>
                <c:pt idx="1">
                  <c:v>11.8</c:v>
                </c:pt>
                <c:pt idx="2">
                  <c:v>2.9249999999999998</c:v>
                </c:pt>
                <c:pt idx="3">
                  <c:v>1.425</c:v>
                </c:pt>
                <c:pt idx="4">
                  <c:v>0.5</c:v>
                </c:pt>
                <c:pt idx="5">
                  <c:v>0.5</c:v>
                </c:pt>
                <c:pt idx="6">
                  <c:v>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B54-4967-9E97-8148092DEA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5731472"/>
        <c:axId val="215726672"/>
      </c:scatterChart>
      <c:valAx>
        <c:axId val="215731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5726672"/>
        <c:crosses val="autoZero"/>
        <c:crossBetween val="midCat"/>
      </c:valAx>
      <c:valAx>
        <c:axId val="215726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5731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071056046181313"/>
          <c:y val="7.9700355728483718E-2"/>
          <c:w val="0.84512252946561706"/>
          <c:h val="0.77323514742749189"/>
        </c:manualLayout>
      </c:layout>
      <c:scatterChart>
        <c:scatterStyle val="lineMarker"/>
        <c:varyColors val="0"/>
        <c:ser>
          <c:idx val="0"/>
          <c:order val="0"/>
          <c:tx>
            <c:v>f_oil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16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39700" h="139700"/>
              </a:sp3d>
            </c:spPr>
          </c:marker>
          <c:xVal>
            <c:numRef>
              <c:f>'Phase Behavior Results'!$C$97:$C$104</c:f>
              <c:numCache>
                <c:formatCode>0.00</c:formatCode>
                <c:ptCount val="8"/>
                <c:pt idx="0">
                  <c:v>0.53717472118959098</c:v>
                </c:pt>
                <c:pt idx="1">
                  <c:v>1.07156133828996</c:v>
                </c:pt>
                <c:pt idx="2">
                  <c:v>1.6013011152416301</c:v>
                </c:pt>
                <c:pt idx="3">
                  <c:v>2.14</c:v>
                </c:pt>
                <c:pt idx="4">
                  <c:v>2.6514869888475801</c:v>
                </c:pt>
                <c:pt idx="5">
                  <c:v>3.1765799256505498</c:v>
                </c:pt>
                <c:pt idx="6">
                  <c:v>3.7</c:v>
                </c:pt>
                <c:pt idx="7">
                  <c:v>4.1942379182156104</c:v>
                </c:pt>
              </c:numCache>
            </c:numRef>
          </c:xVal>
          <c:yVal>
            <c:numRef>
              <c:f>'Phase Behavior Results'!$D$97:$D$104</c:f>
              <c:numCache>
                <c:formatCode>0.00</c:formatCode>
                <c:ptCount val="8"/>
                <c:pt idx="0">
                  <c:v>1</c:v>
                </c:pt>
                <c:pt idx="1">
                  <c:v>1.32911392405063</c:v>
                </c:pt>
                <c:pt idx="2">
                  <c:v>3.70253164556962</c:v>
                </c:pt>
                <c:pt idx="3">
                  <c:v>4.6993670886075902</c:v>
                </c:pt>
                <c:pt idx="4">
                  <c:v>6.17088607594936</c:v>
                </c:pt>
                <c:pt idx="5">
                  <c:v>6.2183544303797396</c:v>
                </c:pt>
                <c:pt idx="6">
                  <c:v>8.9715189873417707</c:v>
                </c:pt>
                <c:pt idx="7">
                  <c:v>15.284810126582199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8C-438F-A79B-F43684DF34C5}"/>
            </c:ext>
          </c:extLst>
        </c:ser>
        <c:ser>
          <c:idx val="1"/>
          <c:order val="1"/>
          <c:tx>
            <c:v>f_h20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6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39700" h="139700"/>
              </a:sp3d>
            </c:spPr>
          </c:marker>
          <c:xVal>
            <c:numRef>
              <c:f>'Phase Behavior Results'!$E$97:$E$98</c:f>
              <c:numCache>
                <c:formatCode>0.00</c:formatCode>
                <c:ptCount val="2"/>
                <c:pt idx="0">
                  <c:v>4.7</c:v>
                </c:pt>
                <c:pt idx="1">
                  <c:v>5.2</c:v>
                </c:pt>
              </c:numCache>
            </c:numRef>
          </c:xVal>
          <c:yVal>
            <c:numRef>
              <c:f>'Phase Behavior Results'!$F$97:$F$98</c:f>
              <c:numCache>
                <c:formatCode>0.00</c:formatCode>
                <c:ptCount val="2"/>
                <c:pt idx="0">
                  <c:v>19.100000000000001</c:v>
                </c:pt>
                <c:pt idx="1">
                  <c:v>2.51582278481012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68C-438F-A79B-F43684DF34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4911167"/>
        <c:axId val="1564922687"/>
      </c:scatterChart>
      <c:valAx>
        <c:axId val="1564911167"/>
        <c:scaling>
          <c:orientation val="minMax"/>
          <c:min val="0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4922687"/>
        <c:crosses val="autoZero"/>
        <c:crossBetween val="midCat"/>
      </c:valAx>
      <c:valAx>
        <c:axId val="1564922687"/>
        <c:scaling>
          <c:orientation val="minMax"/>
          <c:max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49111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738406092692296"/>
          <c:y val="0.11311660373707526"/>
          <c:w val="0.83434511126501698"/>
          <c:h val="0.73997241267815028"/>
        </c:manualLayout>
      </c:layout>
      <c:scatterChart>
        <c:scatterStyle val="lineMarker"/>
        <c:varyColors val="0"/>
        <c:ser>
          <c:idx val="1"/>
          <c:order val="0"/>
          <c:tx>
            <c:v>f_h20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39700" h="139700"/>
              </a:sp3d>
            </c:spPr>
          </c:marker>
          <c:xVal>
            <c:numRef>
              <c:f>'Phase Behavior Results'!$E$46:$E$53</c:f>
              <c:numCache>
                <c:formatCode>0.00</c:formatCode>
                <c:ptCount val="8"/>
                <c:pt idx="0">
                  <c:v>2.6576135351736401</c:v>
                </c:pt>
                <c:pt idx="1">
                  <c:v>3.1696349065004399</c:v>
                </c:pt>
                <c:pt idx="2">
                  <c:v>3.68610863757791</c:v>
                </c:pt>
                <c:pt idx="3">
                  <c:v>4.1892252894033799</c:v>
                </c:pt>
                <c:pt idx="4">
                  <c:v>4.6967943009795103</c:v>
                </c:pt>
                <c:pt idx="5">
                  <c:v>5.1999109528049798</c:v>
                </c:pt>
                <c:pt idx="6">
                  <c:v>5.6941228851291097</c:v>
                </c:pt>
                <c:pt idx="7">
                  <c:v>6.1883348174532502</c:v>
                </c:pt>
              </c:numCache>
            </c:numRef>
          </c:xVal>
          <c:yVal>
            <c:numRef>
              <c:f>'Phase Behavior Results'!$F$46:$F$53</c:f>
              <c:numCache>
                <c:formatCode>0.00</c:formatCode>
                <c:ptCount val="8"/>
                <c:pt idx="0">
                  <c:v>12.55</c:v>
                </c:pt>
                <c:pt idx="1">
                  <c:v>8.3282674772036405</c:v>
                </c:pt>
                <c:pt idx="2">
                  <c:v>4</c:v>
                </c:pt>
                <c:pt idx="3">
                  <c:v>2.95</c:v>
                </c:pt>
                <c:pt idx="4">
                  <c:v>2</c:v>
                </c:pt>
                <c:pt idx="5">
                  <c:v>0.51671732522796299</c:v>
                </c:pt>
                <c:pt idx="6">
                  <c:v>1.0030395136778101</c:v>
                </c:pt>
                <c:pt idx="7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A6-448B-AE15-7EEB308C99C8}"/>
            </c:ext>
          </c:extLst>
        </c:ser>
        <c:ser>
          <c:idx val="0"/>
          <c:order val="1"/>
          <c:tx>
            <c:v>f_oil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39700" h="139700"/>
              </a:sp3d>
            </c:spPr>
          </c:marker>
          <c:xVal>
            <c:numRef>
              <c:f>'Phase Behavior Results'!$C$46:$C$50</c:f>
              <c:numCache>
                <c:formatCode>0.00</c:formatCode>
                <c:ptCount val="5"/>
                <c:pt idx="0">
                  <c:v>1.61130899376669</c:v>
                </c:pt>
                <c:pt idx="1">
                  <c:v>2.1366874443455002</c:v>
                </c:pt>
                <c:pt idx="2">
                  <c:v>2.6576135351736401</c:v>
                </c:pt>
                <c:pt idx="3">
                  <c:v>3.1651825467497701</c:v>
                </c:pt>
                <c:pt idx="4">
                  <c:v>3.68</c:v>
                </c:pt>
              </c:numCache>
            </c:numRef>
          </c:xVal>
          <c:yVal>
            <c:numRef>
              <c:f>'Phase Behavior Results'!$D$46:$D$50</c:f>
              <c:numCache>
                <c:formatCode>0.00</c:formatCode>
                <c:ptCount val="5"/>
                <c:pt idx="0">
                  <c:v>3.2218844984802399</c:v>
                </c:pt>
                <c:pt idx="1">
                  <c:v>6.5045592705167099</c:v>
                </c:pt>
                <c:pt idx="2">
                  <c:v>9.5744680851063801</c:v>
                </c:pt>
                <c:pt idx="3">
                  <c:v>15.2</c:v>
                </c:pt>
                <c:pt idx="4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AA6-448B-AE15-7EEB308C99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2056383"/>
        <c:axId val="1852051583"/>
      </c:scatterChart>
      <c:valAx>
        <c:axId val="1852056383"/>
        <c:scaling>
          <c:orientation val="minMax"/>
          <c:min val="1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2051583"/>
        <c:crosses val="autoZero"/>
        <c:crossBetween val="midCat"/>
      </c:valAx>
      <c:valAx>
        <c:axId val="1852051583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20563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787726622952287"/>
          <c:y val="9.9599795219465173E-2"/>
          <c:w val="0.8144391723908635"/>
          <c:h val="0.749568434324413"/>
        </c:manualLayout>
      </c:layout>
      <c:scatterChart>
        <c:scatterStyle val="lineMarker"/>
        <c:varyColors val="0"/>
        <c:ser>
          <c:idx val="0"/>
          <c:order val="0"/>
          <c:tx>
            <c:v>f_oil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39700" h="139700"/>
              </a:sp3d>
            </c:spPr>
          </c:marker>
          <c:xVal>
            <c:numRef>
              <c:f>'Phase Behavior Results'!$C$63:$C$69</c:f>
              <c:numCache>
                <c:formatCode>0.00</c:formatCode>
                <c:ptCount val="7"/>
                <c:pt idx="0">
                  <c:v>1.6063829787234001</c:v>
                </c:pt>
                <c:pt idx="1">
                  <c:v>2.13</c:v>
                </c:pt>
                <c:pt idx="2">
                  <c:v>2.6569148936170199</c:v>
                </c:pt>
                <c:pt idx="3">
                  <c:v>3.16</c:v>
                </c:pt>
                <c:pt idx="4">
                  <c:v>3.68</c:v>
                </c:pt>
                <c:pt idx="5">
                  <c:v>4.1861702127659504</c:v>
                </c:pt>
                <c:pt idx="6">
                  <c:v>4.6749999999999998</c:v>
                </c:pt>
              </c:numCache>
            </c:numRef>
          </c:xVal>
          <c:yVal>
            <c:numRef>
              <c:f>'Phase Behavior Results'!$D$63:$D$69</c:f>
              <c:numCache>
                <c:formatCode>0.00</c:formatCode>
                <c:ptCount val="7"/>
                <c:pt idx="0">
                  <c:v>2.83559577677224</c:v>
                </c:pt>
                <c:pt idx="1">
                  <c:v>4.3</c:v>
                </c:pt>
                <c:pt idx="2">
                  <c:v>4.2533936651583701</c:v>
                </c:pt>
                <c:pt idx="3">
                  <c:v>5.62</c:v>
                </c:pt>
                <c:pt idx="4">
                  <c:v>5.8220211161387603</c:v>
                </c:pt>
                <c:pt idx="5">
                  <c:v>10.1357466063348</c:v>
                </c:pt>
                <c:pt idx="6">
                  <c:v>15.3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C5-49AD-99C9-F857213AD2E6}"/>
            </c:ext>
          </c:extLst>
        </c:ser>
        <c:ser>
          <c:idx val="1"/>
          <c:order val="1"/>
          <c:tx>
            <c:v>f_h20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39700" h="139700"/>
              </a:sp3d>
            </c:spPr>
          </c:marker>
          <c:xVal>
            <c:numRef>
              <c:f>'Phase Behavior Results'!$E$63:$E$68</c:f>
              <c:numCache>
                <c:formatCode>0.00</c:formatCode>
                <c:ptCount val="6"/>
                <c:pt idx="0">
                  <c:v>3.67</c:v>
                </c:pt>
                <c:pt idx="1">
                  <c:v>4.18</c:v>
                </c:pt>
                <c:pt idx="2">
                  <c:v>4.6959219858156001</c:v>
                </c:pt>
                <c:pt idx="3">
                  <c:v>5.19237588652482</c:v>
                </c:pt>
                <c:pt idx="4">
                  <c:v>5.69</c:v>
                </c:pt>
                <c:pt idx="5">
                  <c:v>6.18</c:v>
                </c:pt>
              </c:numCache>
            </c:numRef>
          </c:xVal>
          <c:yVal>
            <c:numRef>
              <c:f>'Phase Behavior Results'!$F$63:$F$68</c:f>
              <c:numCache>
                <c:formatCode>0.00</c:formatCode>
                <c:ptCount val="6"/>
                <c:pt idx="0">
                  <c:v>15.082956259426799</c:v>
                </c:pt>
                <c:pt idx="1">
                  <c:v>9.6530920060331802</c:v>
                </c:pt>
                <c:pt idx="2">
                  <c:v>7.1493212669683199</c:v>
                </c:pt>
                <c:pt idx="3">
                  <c:v>5.6108597285067798</c:v>
                </c:pt>
                <c:pt idx="4">
                  <c:v>1.44796380090497</c:v>
                </c:pt>
                <c:pt idx="5">
                  <c:v>0.93514328808446401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C5-49AD-99C9-F857213AD2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3641647"/>
        <c:axId val="1733633487"/>
      </c:scatterChart>
      <c:valAx>
        <c:axId val="1733641647"/>
        <c:scaling>
          <c:orientation val="minMax"/>
          <c:min val="1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3633487"/>
        <c:crosses val="autoZero"/>
        <c:crossBetween val="midCat"/>
      </c:valAx>
      <c:valAx>
        <c:axId val="1733633487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36416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7.xml"/><Relationship Id="rId18" Type="http://schemas.openxmlformats.org/officeDocument/2006/relationships/image" Target="../media/image19.png"/><Relationship Id="rId26" Type="http://schemas.openxmlformats.org/officeDocument/2006/relationships/chart" Target="../charts/chart14.xml"/><Relationship Id="rId39" Type="http://schemas.openxmlformats.org/officeDocument/2006/relationships/chart" Target="../charts/chart20.xml"/><Relationship Id="rId3" Type="http://schemas.openxmlformats.org/officeDocument/2006/relationships/chart" Target="../charts/chart1.xml"/><Relationship Id="rId21" Type="http://schemas.openxmlformats.org/officeDocument/2006/relationships/chart" Target="../charts/chart11.xml"/><Relationship Id="rId34" Type="http://schemas.openxmlformats.org/officeDocument/2006/relationships/chart" Target="../charts/chart18.xml"/><Relationship Id="rId42" Type="http://schemas.openxmlformats.org/officeDocument/2006/relationships/image" Target="../media/image31.png"/><Relationship Id="rId47" Type="http://schemas.openxmlformats.org/officeDocument/2006/relationships/chart" Target="../charts/chart24.xml"/><Relationship Id="rId50" Type="http://schemas.openxmlformats.org/officeDocument/2006/relationships/image" Target="../media/image35.png"/><Relationship Id="rId7" Type="http://schemas.openxmlformats.org/officeDocument/2006/relationships/image" Target="../media/image14.png"/><Relationship Id="rId12" Type="http://schemas.openxmlformats.org/officeDocument/2006/relationships/image" Target="../media/image16.png"/><Relationship Id="rId17" Type="http://schemas.openxmlformats.org/officeDocument/2006/relationships/chart" Target="../charts/chart9.xml"/><Relationship Id="rId25" Type="http://schemas.openxmlformats.org/officeDocument/2006/relationships/chart" Target="../charts/chart13.xml"/><Relationship Id="rId33" Type="http://schemas.openxmlformats.org/officeDocument/2006/relationships/image" Target="../media/image26.png"/><Relationship Id="rId38" Type="http://schemas.openxmlformats.org/officeDocument/2006/relationships/image" Target="../media/image29.png"/><Relationship Id="rId46" Type="http://schemas.openxmlformats.org/officeDocument/2006/relationships/image" Target="../media/image33.png"/><Relationship Id="rId2" Type="http://schemas.openxmlformats.org/officeDocument/2006/relationships/image" Target="../media/image12.png"/><Relationship Id="rId16" Type="http://schemas.openxmlformats.org/officeDocument/2006/relationships/image" Target="../media/image18.png"/><Relationship Id="rId20" Type="http://schemas.openxmlformats.org/officeDocument/2006/relationships/image" Target="../media/image20.png"/><Relationship Id="rId29" Type="http://schemas.openxmlformats.org/officeDocument/2006/relationships/image" Target="../media/image24.png"/><Relationship Id="rId41" Type="http://schemas.openxmlformats.org/officeDocument/2006/relationships/chart" Target="../charts/chart21.xml"/><Relationship Id="rId1" Type="http://schemas.openxmlformats.org/officeDocument/2006/relationships/image" Target="../media/image11.png"/><Relationship Id="rId6" Type="http://schemas.openxmlformats.org/officeDocument/2006/relationships/chart" Target="../charts/chart3.xml"/><Relationship Id="rId11" Type="http://schemas.openxmlformats.org/officeDocument/2006/relationships/chart" Target="../charts/chart6.xml"/><Relationship Id="rId24" Type="http://schemas.openxmlformats.org/officeDocument/2006/relationships/image" Target="../media/image22.png"/><Relationship Id="rId32" Type="http://schemas.openxmlformats.org/officeDocument/2006/relationships/chart" Target="../charts/chart17.xml"/><Relationship Id="rId37" Type="http://schemas.openxmlformats.org/officeDocument/2006/relationships/image" Target="../media/image28.png"/><Relationship Id="rId40" Type="http://schemas.openxmlformats.org/officeDocument/2006/relationships/image" Target="../media/image30.png"/><Relationship Id="rId45" Type="http://schemas.openxmlformats.org/officeDocument/2006/relationships/chart" Target="../charts/chart23.xml"/><Relationship Id="rId5" Type="http://schemas.openxmlformats.org/officeDocument/2006/relationships/chart" Target="../charts/chart2.xml"/><Relationship Id="rId15" Type="http://schemas.openxmlformats.org/officeDocument/2006/relationships/chart" Target="../charts/chart8.xml"/><Relationship Id="rId23" Type="http://schemas.openxmlformats.org/officeDocument/2006/relationships/chart" Target="../charts/chart12.xml"/><Relationship Id="rId28" Type="http://schemas.openxmlformats.org/officeDocument/2006/relationships/chart" Target="../charts/chart15.xml"/><Relationship Id="rId36" Type="http://schemas.openxmlformats.org/officeDocument/2006/relationships/chart" Target="../charts/chart19.xml"/><Relationship Id="rId49" Type="http://schemas.openxmlformats.org/officeDocument/2006/relationships/chart" Target="../charts/chart25.xml"/><Relationship Id="rId10" Type="http://schemas.openxmlformats.org/officeDocument/2006/relationships/chart" Target="../charts/chart5.xml"/><Relationship Id="rId19" Type="http://schemas.openxmlformats.org/officeDocument/2006/relationships/chart" Target="../charts/chart10.xml"/><Relationship Id="rId31" Type="http://schemas.openxmlformats.org/officeDocument/2006/relationships/image" Target="../media/image25.png"/><Relationship Id="rId44" Type="http://schemas.openxmlformats.org/officeDocument/2006/relationships/image" Target="../media/image32.png"/><Relationship Id="rId52" Type="http://schemas.openxmlformats.org/officeDocument/2006/relationships/chart" Target="../charts/chart27.xml"/><Relationship Id="rId4" Type="http://schemas.openxmlformats.org/officeDocument/2006/relationships/image" Target="../media/image13.png"/><Relationship Id="rId9" Type="http://schemas.openxmlformats.org/officeDocument/2006/relationships/chart" Target="../charts/chart4.xml"/><Relationship Id="rId14" Type="http://schemas.openxmlformats.org/officeDocument/2006/relationships/image" Target="../media/image17.png"/><Relationship Id="rId22" Type="http://schemas.openxmlformats.org/officeDocument/2006/relationships/image" Target="../media/image21.png"/><Relationship Id="rId27" Type="http://schemas.openxmlformats.org/officeDocument/2006/relationships/image" Target="../media/image23.png"/><Relationship Id="rId30" Type="http://schemas.openxmlformats.org/officeDocument/2006/relationships/chart" Target="../charts/chart16.xml"/><Relationship Id="rId35" Type="http://schemas.openxmlformats.org/officeDocument/2006/relationships/image" Target="../media/image27.png"/><Relationship Id="rId43" Type="http://schemas.openxmlformats.org/officeDocument/2006/relationships/chart" Target="../charts/chart22.xml"/><Relationship Id="rId48" Type="http://schemas.openxmlformats.org/officeDocument/2006/relationships/image" Target="../media/image34.png"/><Relationship Id="rId8" Type="http://schemas.openxmlformats.org/officeDocument/2006/relationships/image" Target="../media/image15.png"/><Relationship Id="rId51" Type="http://schemas.openxmlformats.org/officeDocument/2006/relationships/chart" Target="../charts/chart2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6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7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7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7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369897</xdr:colOff>
      <xdr:row>45</xdr:row>
      <xdr:rowOff>619125</xdr:rowOff>
    </xdr:from>
    <xdr:ext cx="4194314" cy="1955252"/>
    <xdr:pic>
      <xdr:nvPicPr>
        <xdr:cNvPr id="2" name="Picture 1">
          <a:extLst>
            <a:ext uri="{FF2B5EF4-FFF2-40B4-BE49-F238E27FC236}">
              <a16:creationId xmlns:a16="http://schemas.microsoft.com/office/drawing/2014/main" id="{47AC519D-C3B5-48D8-A116-4F3447D04D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67237" y="12803505"/>
          <a:ext cx="4194314" cy="1955252"/>
        </a:xfrm>
        <a:prstGeom prst="rect">
          <a:avLst/>
        </a:prstGeom>
      </xdr:spPr>
    </xdr:pic>
    <xdr:clientData/>
  </xdr:oneCellAnchor>
  <xdr:oneCellAnchor>
    <xdr:from>
      <xdr:col>11</xdr:col>
      <xdr:colOff>549266</xdr:colOff>
      <xdr:row>45</xdr:row>
      <xdr:rowOff>561975</xdr:rowOff>
    </xdr:from>
    <xdr:ext cx="4215140" cy="1909509"/>
    <xdr:pic>
      <xdr:nvPicPr>
        <xdr:cNvPr id="3" name="Picture 2">
          <a:extLst>
            <a:ext uri="{FF2B5EF4-FFF2-40B4-BE49-F238E27FC236}">
              <a16:creationId xmlns:a16="http://schemas.microsoft.com/office/drawing/2014/main" id="{360CF0C5-34A4-4ED5-8269-DFB7013118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846166" y="12799695"/>
          <a:ext cx="4215140" cy="1909509"/>
        </a:xfrm>
        <a:prstGeom prst="rect">
          <a:avLst/>
        </a:prstGeom>
      </xdr:spPr>
    </xdr:pic>
    <xdr:clientData/>
  </xdr:oneCellAnchor>
  <xdr:oneCellAnchor>
    <xdr:from>
      <xdr:col>9</xdr:col>
      <xdr:colOff>608234</xdr:colOff>
      <xdr:row>55</xdr:row>
      <xdr:rowOff>123824</xdr:rowOff>
    </xdr:from>
    <xdr:ext cx="4272376" cy="2617925"/>
    <xdr:pic>
      <xdr:nvPicPr>
        <xdr:cNvPr id="4" name="Picture 3">
          <a:extLst>
            <a:ext uri="{FF2B5EF4-FFF2-40B4-BE49-F238E27FC236}">
              <a16:creationId xmlns:a16="http://schemas.microsoft.com/office/drawing/2014/main" id="{03ADE1E5-9AED-4630-A260-80918CC14B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24774" y="15119984"/>
          <a:ext cx="4272376" cy="2617925"/>
        </a:xfrm>
        <a:prstGeom prst="rect">
          <a:avLst/>
        </a:prstGeom>
      </xdr:spPr>
    </xdr:pic>
    <xdr:clientData/>
  </xdr:oneCellAnchor>
  <xdr:oneCellAnchor>
    <xdr:from>
      <xdr:col>7</xdr:col>
      <xdr:colOff>9525</xdr:colOff>
      <xdr:row>29</xdr:row>
      <xdr:rowOff>1305335</xdr:rowOff>
    </xdr:from>
    <xdr:ext cx="5110256" cy="2739593"/>
    <xdr:pic>
      <xdr:nvPicPr>
        <xdr:cNvPr id="5" name="Picture 4">
          <a:extLst>
            <a:ext uri="{FF2B5EF4-FFF2-40B4-BE49-F238E27FC236}">
              <a16:creationId xmlns:a16="http://schemas.microsoft.com/office/drawing/2014/main" id="{E7D9A243-5A6C-43BD-877C-524E5DFF06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206865" y="7683275"/>
          <a:ext cx="5110256" cy="2739593"/>
        </a:xfrm>
        <a:prstGeom prst="rect">
          <a:avLst/>
        </a:prstGeom>
      </xdr:spPr>
    </xdr:pic>
    <xdr:clientData/>
  </xdr:oneCellAnchor>
  <xdr:oneCellAnchor>
    <xdr:from>
      <xdr:col>24</xdr:col>
      <xdr:colOff>333374</xdr:colOff>
      <xdr:row>30</xdr:row>
      <xdr:rowOff>78939</xdr:rowOff>
    </xdr:from>
    <xdr:ext cx="5304389" cy="2664382"/>
    <xdr:pic>
      <xdr:nvPicPr>
        <xdr:cNvPr id="6" name="Picture 5">
          <a:extLst>
            <a:ext uri="{FF2B5EF4-FFF2-40B4-BE49-F238E27FC236}">
              <a16:creationId xmlns:a16="http://schemas.microsoft.com/office/drawing/2014/main" id="{849C3ABA-3AF9-4A52-BC00-B485847107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3985854" y="7759899"/>
          <a:ext cx="5304389" cy="2664382"/>
        </a:xfrm>
        <a:prstGeom prst="rect">
          <a:avLst/>
        </a:prstGeom>
      </xdr:spPr>
    </xdr:pic>
    <xdr:clientData/>
  </xdr:oneCellAnchor>
  <xdr:oneCellAnchor>
    <xdr:from>
      <xdr:col>15</xdr:col>
      <xdr:colOff>285750</xdr:colOff>
      <xdr:row>30</xdr:row>
      <xdr:rowOff>143125</xdr:rowOff>
    </xdr:from>
    <xdr:ext cx="5468666" cy="2373939"/>
    <xdr:pic>
      <xdr:nvPicPr>
        <xdr:cNvPr id="7" name="Picture 6">
          <a:extLst>
            <a:ext uri="{FF2B5EF4-FFF2-40B4-BE49-F238E27FC236}">
              <a16:creationId xmlns:a16="http://schemas.microsoft.com/office/drawing/2014/main" id="{0CC33DC5-0986-4B22-B30F-E05207F74A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8451830" y="7824085"/>
          <a:ext cx="5468666" cy="2373939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65</xdr:row>
      <xdr:rowOff>0</xdr:rowOff>
    </xdr:from>
    <xdr:ext cx="8873490" cy="5802630"/>
    <xdr:pic>
      <xdr:nvPicPr>
        <xdr:cNvPr id="8" name="Picture 7">
          <a:extLst>
            <a:ext uri="{FF2B5EF4-FFF2-40B4-BE49-F238E27FC236}">
              <a16:creationId xmlns:a16="http://schemas.microsoft.com/office/drawing/2014/main" id="{96B8FF6D-771D-47D7-867C-A43888EB32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16540" y="17922240"/>
          <a:ext cx="8873490" cy="58026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1318260</xdr:colOff>
      <xdr:row>40</xdr:row>
      <xdr:rowOff>121920</xdr:rowOff>
    </xdr:from>
    <xdr:to>
      <xdr:col>14</xdr:col>
      <xdr:colOff>796960</xdr:colOff>
      <xdr:row>61</xdr:row>
      <xdr:rowOff>176867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797AA3-EDAD-43B7-A773-E2358F6DD7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449040" y="7438390"/>
          <a:ext cx="6758340" cy="3890347"/>
        </a:xfrm>
        <a:prstGeom prst="rect">
          <a:avLst/>
        </a:prstGeom>
      </xdr:spPr>
    </xdr:pic>
    <xdr:clientData/>
  </xdr:twoCellAnchor>
  <xdr:twoCellAnchor editAs="oneCell">
    <xdr:from>
      <xdr:col>18</xdr:col>
      <xdr:colOff>430889</xdr:colOff>
      <xdr:row>7</xdr:row>
      <xdr:rowOff>35168</xdr:rowOff>
    </xdr:from>
    <xdr:to>
      <xdr:col>29</xdr:col>
      <xdr:colOff>60598</xdr:colOff>
      <xdr:row>32</xdr:row>
      <xdr:rowOff>169674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F3DCEC4-9CFD-4555-87D2-1B043469B1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170229" y="1315328"/>
          <a:ext cx="6335309" cy="4703966"/>
        </a:xfrm>
        <a:prstGeom prst="rect">
          <a:avLst/>
        </a:prstGeom>
      </xdr:spPr>
    </xdr:pic>
    <xdr:clientData/>
  </xdr:twoCellAnchor>
  <xdr:twoCellAnchor editAs="oneCell">
    <xdr:from>
      <xdr:col>18</xdr:col>
      <xdr:colOff>560492</xdr:colOff>
      <xdr:row>0</xdr:row>
      <xdr:rowOff>0</xdr:rowOff>
    </xdr:from>
    <xdr:to>
      <xdr:col>28</xdr:col>
      <xdr:colOff>116416</xdr:colOff>
      <xdr:row>10</xdr:row>
      <xdr:rowOff>58767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A8F99CF-0BD1-4B5E-8646-138DB06262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8294752" y="0"/>
          <a:ext cx="5654464" cy="188375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1589810</xdr:colOff>
      <xdr:row>41</xdr:row>
      <xdr:rowOff>124820</xdr:rowOff>
    </xdr:from>
    <xdr:to>
      <xdr:col>16</xdr:col>
      <xdr:colOff>63269</xdr:colOff>
      <xdr:row>71</xdr:row>
      <xdr:rowOff>134609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A701E4-ED9D-47A8-87E4-1A70152D34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 amt="35000"/>
        </a:blip>
        <a:stretch>
          <a:fillRect/>
        </a:stretch>
      </xdr:blipFill>
      <xdr:spPr>
        <a:xfrm>
          <a:off x="12986790" y="7381600"/>
          <a:ext cx="7861299" cy="5300609"/>
        </a:xfrm>
        <a:prstGeom prst="rect">
          <a:avLst/>
        </a:prstGeom>
        <a:ln>
          <a:solidFill>
            <a:srgbClr val="0070C0"/>
          </a:solidFill>
        </a:ln>
      </xdr:spPr>
    </xdr:pic>
    <xdr:clientData/>
  </xdr:twoCellAnchor>
  <xdr:twoCellAnchor editAs="oneCell">
    <xdr:from>
      <xdr:col>6</xdr:col>
      <xdr:colOff>1611600</xdr:colOff>
      <xdr:row>244</xdr:row>
      <xdr:rowOff>135223</xdr:rowOff>
    </xdr:from>
    <xdr:to>
      <xdr:col>17</xdr:col>
      <xdr:colOff>329724</xdr:colOff>
      <xdr:row>276</xdr:row>
      <xdr:rowOff>114215</xdr:rowOff>
    </xdr:to>
    <xdr:pic>
      <xdr:nvPicPr>
        <xdr:cNvPr id="3" name="Picture 30">
          <a:extLst>
            <a:ext uri="{FF2B5EF4-FFF2-40B4-BE49-F238E27FC236}">
              <a16:creationId xmlns:a16="http://schemas.microsoft.com/office/drawing/2014/main" id="{B97DF5B9-F9AF-494F-AB65-2BE217E373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alphaModFix amt="50000"/>
        </a:blip>
        <a:stretch>
          <a:fillRect/>
        </a:stretch>
      </xdr:blipFill>
      <xdr:spPr>
        <a:xfrm>
          <a:off x="13013660" y="43252993"/>
          <a:ext cx="8763824" cy="5629222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6</xdr:col>
      <xdr:colOff>1428750</xdr:colOff>
      <xdr:row>380</xdr:row>
      <xdr:rowOff>179614</xdr:rowOff>
    </xdr:from>
    <xdr:to>
      <xdr:col>17</xdr:col>
      <xdr:colOff>367393</xdr:colOff>
      <xdr:row>413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F05B81E-1F3B-4AA3-9B2F-5F01C2EB2F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1519517</xdr:colOff>
      <xdr:row>347</xdr:row>
      <xdr:rowOff>177055</xdr:rowOff>
    </xdr:from>
    <xdr:to>
      <xdr:col>17</xdr:col>
      <xdr:colOff>440840</xdr:colOff>
      <xdr:row>379</xdr:row>
      <xdr:rowOff>136818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D676907-868D-4FCF-9B90-C4DBCBDED8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alphaModFix amt="50000"/>
        </a:blip>
        <a:stretch>
          <a:fillRect/>
        </a:stretch>
      </xdr:blipFill>
      <xdr:spPr>
        <a:xfrm>
          <a:off x="12917767" y="61477415"/>
          <a:ext cx="8977183" cy="5616343"/>
        </a:xfrm>
        <a:prstGeom prst="rect">
          <a:avLst/>
        </a:prstGeom>
        <a:ln>
          <a:solidFill>
            <a:srgbClr val="0070C0"/>
          </a:solidFill>
        </a:ln>
      </xdr:spPr>
    </xdr:pic>
    <xdr:clientData/>
  </xdr:twoCellAnchor>
  <xdr:twoCellAnchor>
    <xdr:from>
      <xdr:col>6</xdr:col>
      <xdr:colOff>1518396</xdr:colOff>
      <xdr:row>347</xdr:row>
      <xdr:rowOff>180413</xdr:rowOff>
    </xdr:from>
    <xdr:to>
      <xdr:col>17</xdr:col>
      <xdr:colOff>437029</xdr:colOff>
      <xdr:row>379</xdr:row>
      <xdr:rowOff>123263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0B019C2-13B8-423C-8AAE-29AA36F13F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1609724</xdr:colOff>
      <xdr:row>244</xdr:row>
      <xdr:rowOff>128587</xdr:rowOff>
    </xdr:from>
    <xdr:to>
      <xdr:col>17</xdr:col>
      <xdr:colOff>342899</xdr:colOff>
      <xdr:row>276</xdr:row>
      <xdr:rowOff>104775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8FBD07D-F309-4155-8F2D-A2ED118AC9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18</xdr:col>
      <xdr:colOff>403412</xdr:colOff>
      <xdr:row>245</xdr:row>
      <xdr:rowOff>100854</xdr:rowOff>
    </xdr:from>
    <xdr:to>
      <xdr:col>31</xdr:col>
      <xdr:colOff>75617</xdr:colOff>
      <xdr:row>275</xdr:row>
      <xdr:rowOff>21142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92D74AE-F1C9-4D5D-AD40-736DBC56BC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alphaModFix amt="20000"/>
        </a:blip>
        <a:stretch>
          <a:fillRect/>
        </a:stretch>
      </xdr:blipFill>
      <xdr:spPr>
        <a:xfrm>
          <a:off x="22514112" y="43387534"/>
          <a:ext cx="8292965" cy="5222538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6</xdr:col>
      <xdr:colOff>645304</xdr:colOff>
      <xdr:row>108</xdr:row>
      <xdr:rowOff>176206</xdr:rowOff>
    </xdr:from>
    <xdr:to>
      <xdr:col>16</xdr:col>
      <xdr:colOff>405091</xdr:colOff>
      <xdr:row>140</xdr:row>
      <xdr:rowOff>139195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9B0C2E6-063F-491A-89B9-E6C80BC11E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alphaModFix amt="20000"/>
        </a:blip>
        <a:stretch>
          <a:fillRect/>
        </a:stretch>
      </xdr:blipFill>
      <xdr:spPr>
        <a:xfrm>
          <a:off x="12044824" y="19261766"/>
          <a:ext cx="9145087" cy="5606869"/>
        </a:xfrm>
        <a:prstGeom prst="rect">
          <a:avLst/>
        </a:prstGeom>
        <a:ln>
          <a:solidFill>
            <a:srgbClr val="0070C0"/>
          </a:solidFill>
        </a:ln>
      </xdr:spPr>
    </xdr:pic>
    <xdr:clientData/>
  </xdr:twoCellAnchor>
  <xdr:twoCellAnchor>
    <xdr:from>
      <xdr:col>6</xdr:col>
      <xdr:colOff>643289</xdr:colOff>
      <xdr:row>108</xdr:row>
      <xdr:rowOff>176693</xdr:rowOff>
    </xdr:from>
    <xdr:to>
      <xdr:col>16</xdr:col>
      <xdr:colOff>401176</xdr:colOff>
      <xdr:row>140</xdr:row>
      <xdr:rowOff>117274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8594E5D4-901C-4BCF-BA76-8F09E5E137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6</xdr:col>
      <xdr:colOff>99060</xdr:colOff>
      <xdr:row>1</xdr:row>
      <xdr:rowOff>43816</xdr:rowOff>
    </xdr:from>
    <xdr:to>
      <xdr:col>12</xdr:col>
      <xdr:colOff>643890</xdr:colOff>
      <xdr:row>17</xdr:row>
      <xdr:rowOff>33867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222A151E-B93D-499D-AAB7-D9B252EC76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9</xdr:col>
      <xdr:colOff>177165</xdr:colOff>
      <xdr:row>5</xdr:row>
      <xdr:rowOff>26670</xdr:rowOff>
    </xdr:from>
    <xdr:to>
      <xdr:col>10</xdr:col>
      <xdr:colOff>321945</xdr:colOff>
      <xdr:row>6</xdr:row>
      <xdr:rowOff>139065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BC2AFC2F-5DF4-4B84-AD7C-40DFC8911096}"/>
            </a:ext>
          </a:extLst>
        </xdr:cNvPr>
        <xdr:cNvSpPr txBox="1"/>
      </xdr:nvSpPr>
      <xdr:spPr>
        <a:xfrm>
          <a:off x="16321405" y="908050"/>
          <a:ext cx="814070" cy="29527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Type III</a:t>
          </a:r>
        </a:p>
      </xdr:txBody>
    </xdr:sp>
    <xdr:clientData/>
  </xdr:twoCellAnchor>
  <xdr:twoCellAnchor>
    <xdr:from>
      <xdr:col>6</xdr:col>
      <xdr:colOff>59055</xdr:colOff>
      <xdr:row>25</xdr:row>
      <xdr:rowOff>40005</xdr:rowOff>
    </xdr:from>
    <xdr:to>
      <xdr:col>12</xdr:col>
      <xdr:colOff>603885</xdr:colOff>
      <xdr:row>40</xdr:row>
      <xdr:rowOff>142875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883E8D84-A8D6-41F6-AF71-E8FAAB1C13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8</xdr:col>
      <xdr:colOff>447464</xdr:colOff>
      <xdr:row>28</xdr:row>
      <xdr:rowOff>122767</xdr:rowOff>
    </xdr:from>
    <xdr:to>
      <xdr:col>10</xdr:col>
      <xdr:colOff>100754</xdr:colOff>
      <xdr:row>39</xdr:row>
      <xdr:rowOff>122767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866593B9-5C55-41FC-9F2D-3EEA3AFB50F9}"/>
            </a:ext>
          </a:extLst>
        </xdr:cNvPr>
        <xdr:cNvSpPr/>
      </xdr:nvSpPr>
      <xdr:spPr>
        <a:xfrm>
          <a:off x="15928764" y="5092277"/>
          <a:ext cx="979170" cy="1935480"/>
        </a:xfrm>
        <a:prstGeom prst="rect">
          <a:avLst/>
        </a:prstGeom>
        <a:solidFill>
          <a:srgbClr val="FFFF00">
            <a:alpha val="54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9</xdr:col>
      <xdr:colOff>177165</xdr:colOff>
      <xdr:row>30</xdr:row>
      <xdr:rowOff>158115</xdr:rowOff>
    </xdr:from>
    <xdr:to>
      <xdr:col>9</xdr:col>
      <xdr:colOff>200025</xdr:colOff>
      <xdr:row>38</xdr:row>
      <xdr:rowOff>142875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79D99212-08F0-40E0-87E3-0E837F19A82B}"/>
            </a:ext>
          </a:extLst>
        </xdr:cNvPr>
        <xdr:cNvCxnSpPr/>
      </xdr:nvCxnSpPr>
      <xdr:spPr>
        <a:xfrm flipH="1">
          <a:off x="16321405" y="5478145"/>
          <a:ext cx="27940" cy="139192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17</xdr:col>
      <xdr:colOff>470649</xdr:colOff>
      <xdr:row>108</xdr:row>
      <xdr:rowOff>161755</xdr:rowOff>
    </xdr:from>
    <xdr:to>
      <xdr:col>31</xdr:col>
      <xdr:colOff>100959</xdr:colOff>
      <xdr:row>140</xdr:row>
      <xdr:rowOff>134246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83E80960-B3D7-45B6-A10E-7A7E80ADB3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alphaModFix amt="20000"/>
        </a:blip>
        <a:stretch>
          <a:fillRect/>
        </a:stretch>
      </xdr:blipFill>
      <xdr:spPr>
        <a:xfrm>
          <a:off x="21923489" y="19251125"/>
          <a:ext cx="8906390" cy="5634151"/>
        </a:xfrm>
        <a:prstGeom prst="rect">
          <a:avLst/>
        </a:prstGeom>
        <a:ln>
          <a:solidFill>
            <a:srgbClr val="0070C0"/>
          </a:solidFill>
        </a:ln>
      </xdr:spPr>
    </xdr:pic>
    <xdr:clientData/>
  </xdr:twoCellAnchor>
  <xdr:twoCellAnchor>
    <xdr:from>
      <xdr:col>17</xdr:col>
      <xdr:colOff>473555</xdr:colOff>
      <xdr:row>108</xdr:row>
      <xdr:rowOff>159054</xdr:rowOff>
    </xdr:from>
    <xdr:to>
      <xdr:col>31</xdr:col>
      <xdr:colOff>100852</xdr:colOff>
      <xdr:row>140</xdr:row>
      <xdr:rowOff>134470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1ADC1763-EB6E-4B66-B651-A96C42661B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 editAs="oneCell">
    <xdr:from>
      <xdr:col>6</xdr:col>
      <xdr:colOff>577273</xdr:colOff>
      <xdr:row>142</xdr:row>
      <xdr:rowOff>111951</xdr:rowOff>
    </xdr:from>
    <xdr:to>
      <xdr:col>16</xdr:col>
      <xdr:colOff>514985</xdr:colOff>
      <xdr:row>176</xdr:row>
      <xdr:rowOff>2299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A7BEF7BE-3CEB-4C55-BA9D-0DAA7C0533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alphaModFix amt="20000"/>
        </a:blip>
        <a:stretch>
          <a:fillRect/>
        </a:stretch>
      </xdr:blipFill>
      <xdr:spPr>
        <a:xfrm>
          <a:off x="11978063" y="25204611"/>
          <a:ext cx="9328092" cy="5882795"/>
        </a:xfrm>
        <a:prstGeom prst="rect">
          <a:avLst/>
        </a:prstGeom>
        <a:ln>
          <a:solidFill>
            <a:srgbClr val="0070C0"/>
          </a:solidFill>
        </a:ln>
      </xdr:spPr>
    </xdr:pic>
    <xdr:clientData/>
  </xdr:twoCellAnchor>
  <xdr:twoCellAnchor>
    <xdr:from>
      <xdr:col>6</xdr:col>
      <xdr:colOff>578827</xdr:colOff>
      <xdr:row>142</xdr:row>
      <xdr:rowOff>117230</xdr:rowOff>
    </xdr:from>
    <xdr:to>
      <xdr:col>16</xdr:col>
      <xdr:colOff>520211</xdr:colOff>
      <xdr:row>176</xdr:row>
      <xdr:rowOff>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A4D92272-4567-4E3E-90B9-9D39E76EC6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 editAs="oneCell">
    <xdr:from>
      <xdr:col>18</xdr:col>
      <xdr:colOff>272144</xdr:colOff>
      <xdr:row>143</xdr:row>
      <xdr:rowOff>68036</xdr:rowOff>
    </xdr:from>
    <xdr:to>
      <xdr:col>31</xdr:col>
      <xdr:colOff>225869</xdr:colOff>
      <xdr:row>173</xdr:row>
      <xdr:rowOff>139880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B1B84E95-4F50-4D22-8DB5-6422C8491B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alphaModFix amt="35000"/>
        </a:blip>
        <a:stretch>
          <a:fillRect/>
        </a:stretch>
      </xdr:blipFill>
      <xdr:spPr>
        <a:xfrm>
          <a:off x="22386654" y="25334686"/>
          <a:ext cx="8570675" cy="5366474"/>
        </a:xfrm>
        <a:prstGeom prst="rect">
          <a:avLst/>
        </a:prstGeom>
      </xdr:spPr>
    </xdr:pic>
    <xdr:clientData/>
  </xdr:twoCellAnchor>
  <xdr:twoCellAnchor>
    <xdr:from>
      <xdr:col>19</xdr:col>
      <xdr:colOff>280736</xdr:colOff>
      <xdr:row>144</xdr:row>
      <xdr:rowOff>70183</xdr:rowOff>
    </xdr:from>
    <xdr:to>
      <xdr:col>30</xdr:col>
      <xdr:colOff>436366</xdr:colOff>
      <xdr:row>170</xdr:row>
      <xdr:rowOff>165433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4AB41FA7-F555-4FB7-9434-134D81FF73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 editAs="oneCell">
    <xdr:from>
      <xdr:col>6</xdr:col>
      <xdr:colOff>917864</xdr:colOff>
      <xdr:row>177</xdr:row>
      <xdr:rowOff>86590</xdr:rowOff>
    </xdr:from>
    <xdr:to>
      <xdr:col>17</xdr:col>
      <xdr:colOff>150130</xdr:colOff>
      <xdr:row>210</xdr:row>
      <xdr:rowOff>25746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341B0A72-A002-4155-8C03-A2E515C470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alphaModFix amt="70000"/>
        </a:blip>
        <a:stretch>
          <a:fillRect/>
        </a:stretch>
      </xdr:blipFill>
      <xdr:spPr>
        <a:xfrm>
          <a:off x="12318654" y="31361610"/>
          <a:ext cx="9281776" cy="5770996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6</xdr:col>
      <xdr:colOff>906445</xdr:colOff>
      <xdr:row>177</xdr:row>
      <xdr:rowOff>82271</xdr:rowOff>
    </xdr:from>
    <xdr:to>
      <xdr:col>17</xdr:col>
      <xdr:colOff>153865</xdr:colOff>
      <xdr:row>210</xdr:row>
      <xdr:rowOff>36634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0811A145-4F5B-4ACF-AAED-BF62E700F9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 editAs="oneCell">
    <xdr:from>
      <xdr:col>19</xdr:col>
      <xdr:colOff>311726</xdr:colOff>
      <xdr:row>176</xdr:row>
      <xdr:rowOff>121228</xdr:rowOff>
    </xdr:from>
    <xdr:to>
      <xdr:col>32</xdr:col>
      <xdr:colOff>632500</xdr:colOff>
      <xdr:row>210</xdr:row>
      <xdr:rowOff>1607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3B81014-6C2C-48C0-A5C3-EE62ADE770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alphaModFix amt="35000"/>
        </a:blip>
        <a:stretch>
          <a:fillRect/>
        </a:stretch>
      </xdr:blipFill>
      <xdr:spPr>
        <a:xfrm>
          <a:off x="23089176" y="31219718"/>
          <a:ext cx="8930104" cy="5881715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19</xdr:col>
      <xdr:colOff>313765</xdr:colOff>
      <xdr:row>176</xdr:row>
      <xdr:rowOff>113176</xdr:rowOff>
    </xdr:from>
    <xdr:to>
      <xdr:col>32</xdr:col>
      <xdr:colOff>627529</xdr:colOff>
      <xdr:row>209</xdr:row>
      <xdr:rowOff>168088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22AF190D-E5AB-4714-837B-E9ADE88BD1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 editAs="oneCell">
    <xdr:from>
      <xdr:col>6</xdr:col>
      <xdr:colOff>839411</xdr:colOff>
      <xdr:row>210</xdr:row>
      <xdr:rowOff>120689</xdr:rowOff>
    </xdr:from>
    <xdr:to>
      <xdr:col>17</xdr:col>
      <xdr:colOff>597159</xdr:colOff>
      <xdr:row>243</xdr:row>
      <xdr:rowOff>115957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D81BDFA-4230-43E8-819C-C0CEBDD6E6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alphaModFix amt="35000"/>
        </a:blip>
        <a:stretch>
          <a:fillRect/>
        </a:stretch>
      </xdr:blipFill>
      <xdr:spPr>
        <a:xfrm>
          <a:off x="12238931" y="37231359"/>
          <a:ext cx="9805988" cy="5823298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6</xdr:col>
      <xdr:colOff>830035</xdr:colOff>
      <xdr:row>210</xdr:row>
      <xdr:rowOff>111577</xdr:rowOff>
    </xdr:from>
    <xdr:to>
      <xdr:col>17</xdr:col>
      <xdr:colOff>612321</xdr:colOff>
      <xdr:row>243</xdr:row>
      <xdr:rowOff>108856</xdr:rowOff>
    </xdr:to>
    <xdr:graphicFrame macro="">
      <xdr:nvGraphicFramePr>
        <xdr:cNvPr id="27" name="Chart 27">
          <a:extLst>
            <a:ext uri="{FF2B5EF4-FFF2-40B4-BE49-F238E27FC236}">
              <a16:creationId xmlns:a16="http://schemas.microsoft.com/office/drawing/2014/main" id="{AE4C74FB-53E9-4B8B-A5A9-066FD89E63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 editAs="oneCell">
    <xdr:from>
      <xdr:col>19</xdr:col>
      <xdr:colOff>311727</xdr:colOff>
      <xdr:row>210</xdr:row>
      <xdr:rowOff>34637</xdr:rowOff>
    </xdr:from>
    <xdr:to>
      <xdr:col>32</xdr:col>
      <xdr:colOff>645968</xdr:colOff>
      <xdr:row>243</xdr:row>
      <xdr:rowOff>101369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AC1A03B5-19CD-4C36-82DB-456EB312B9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alphaModFix amt="35000"/>
        </a:blip>
        <a:stretch>
          <a:fillRect/>
        </a:stretch>
      </xdr:blipFill>
      <xdr:spPr>
        <a:xfrm>
          <a:off x="23089177" y="37142767"/>
          <a:ext cx="8951191" cy="5894762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19</xdr:col>
      <xdr:colOff>307730</xdr:colOff>
      <xdr:row>210</xdr:row>
      <xdr:rowOff>35834</xdr:rowOff>
    </xdr:from>
    <xdr:to>
      <xdr:col>32</xdr:col>
      <xdr:colOff>652096</xdr:colOff>
      <xdr:row>243</xdr:row>
      <xdr:rowOff>109903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CAA167AC-B7C0-4097-BC31-9033D83411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18</xdr:col>
      <xdr:colOff>386604</xdr:colOff>
      <xdr:row>245</xdr:row>
      <xdr:rowOff>89648</xdr:rowOff>
    </xdr:from>
    <xdr:to>
      <xdr:col>31</xdr:col>
      <xdr:colOff>89647</xdr:colOff>
      <xdr:row>275</xdr:row>
      <xdr:rowOff>22412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98177E57-4314-4192-8778-AD49455300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 editAs="oneCell">
    <xdr:from>
      <xdr:col>6</xdr:col>
      <xdr:colOff>1592035</xdr:colOff>
      <xdr:row>278</xdr:row>
      <xdr:rowOff>108857</xdr:rowOff>
    </xdr:from>
    <xdr:to>
      <xdr:col>17</xdr:col>
      <xdr:colOff>328493</xdr:colOff>
      <xdr:row>310</xdr:row>
      <xdr:rowOff>99967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A6BEDFE9-48A7-4535-9D94-37B7A6F20E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alphaModFix amt="20000"/>
        </a:blip>
        <a:stretch>
          <a:fillRect/>
        </a:stretch>
      </xdr:blipFill>
      <xdr:spPr>
        <a:xfrm>
          <a:off x="12990285" y="49226107"/>
          <a:ext cx="8785968" cy="5643880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6</xdr:col>
      <xdr:colOff>1598837</xdr:colOff>
      <xdr:row>278</xdr:row>
      <xdr:rowOff>111578</xdr:rowOff>
    </xdr:from>
    <xdr:to>
      <xdr:col>17</xdr:col>
      <xdr:colOff>326571</xdr:colOff>
      <xdr:row>310</xdr:row>
      <xdr:rowOff>122464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E0340481-045B-4D65-BFC0-4EFD6F3A18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 editAs="oneCell">
    <xdr:from>
      <xdr:col>17</xdr:col>
      <xdr:colOff>579782</xdr:colOff>
      <xdr:row>277</xdr:row>
      <xdr:rowOff>77106</xdr:rowOff>
    </xdr:from>
    <xdr:to>
      <xdr:col>32</xdr:col>
      <xdr:colOff>24675</xdr:colOff>
      <xdr:row>310</xdr:row>
      <xdr:rowOff>139322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FDF9E13B-8A2F-4DC8-B167-A79CA2D2C5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alphaModFix amt="35000"/>
        </a:blip>
        <a:stretch>
          <a:fillRect/>
        </a:stretch>
      </xdr:blipFill>
      <xdr:spPr>
        <a:xfrm>
          <a:off x="22031352" y="49020366"/>
          <a:ext cx="9385183" cy="5882626"/>
        </a:xfrm>
        <a:prstGeom prst="rect">
          <a:avLst/>
        </a:prstGeom>
        <a:ln>
          <a:solidFill>
            <a:srgbClr val="0070C0"/>
          </a:solidFill>
        </a:ln>
      </xdr:spPr>
    </xdr:pic>
    <xdr:clientData/>
  </xdr:twoCellAnchor>
  <xdr:twoCellAnchor>
    <xdr:from>
      <xdr:col>17</xdr:col>
      <xdr:colOff>571500</xdr:colOff>
      <xdr:row>277</xdr:row>
      <xdr:rowOff>70756</xdr:rowOff>
    </xdr:from>
    <xdr:to>
      <xdr:col>32</xdr:col>
      <xdr:colOff>27215</xdr:colOff>
      <xdr:row>310</xdr:row>
      <xdr:rowOff>122464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96B4CB2A-7CFE-4B73-88ED-37F37C0F96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 editAs="oneCell">
    <xdr:from>
      <xdr:col>6</xdr:col>
      <xdr:colOff>1592036</xdr:colOff>
      <xdr:row>312</xdr:row>
      <xdr:rowOff>27215</xdr:rowOff>
    </xdr:from>
    <xdr:to>
      <xdr:col>17</xdr:col>
      <xdr:colOff>362826</xdr:colOff>
      <xdr:row>344</xdr:row>
      <xdr:rowOff>99060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D8526CB0-C8EB-4644-8890-1CB4040712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alphaModFix amt="20000"/>
        </a:blip>
        <a:stretch>
          <a:fillRect/>
        </a:stretch>
      </xdr:blipFill>
      <xdr:spPr>
        <a:xfrm>
          <a:off x="12990286" y="55147755"/>
          <a:ext cx="8826650" cy="5725885"/>
        </a:xfrm>
        <a:prstGeom prst="rect">
          <a:avLst/>
        </a:prstGeom>
        <a:ln>
          <a:solidFill>
            <a:srgbClr val="0070C0"/>
          </a:solidFill>
        </a:ln>
      </xdr:spPr>
    </xdr:pic>
    <xdr:clientData/>
  </xdr:twoCellAnchor>
  <xdr:twoCellAnchor>
    <xdr:from>
      <xdr:col>6</xdr:col>
      <xdr:colOff>1564821</xdr:colOff>
      <xdr:row>312</xdr:row>
      <xdr:rowOff>13607</xdr:rowOff>
    </xdr:from>
    <xdr:to>
      <xdr:col>17</xdr:col>
      <xdr:colOff>353785</xdr:colOff>
      <xdr:row>344</xdr:row>
      <xdr:rowOff>108858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F7BE019D-4010-4488-A47E-263FB63E0F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 editAs="oneCell">
    <xdr:from>
      <xdr:col>18</xdr:col>
      <xdr:colOff>340180</xdr:colOff>
      <xdr:row>311</xdr:row>
      <xdr:rowOff>176892</xdr:rowOff>
    </xdr:from>
    <xdr:to>
      <xdr:col>32</xdr:col>
      <xdr:colOff>405137</xdr:colOff>
      <xdr:row>345</xdr:row>
      <xdr:rowOff>101962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95D77BC9-88A0-454C-8D71-B57E9B9049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alphaModFix amt="20000"/>
        </a:blip>
        <a:stretch>
          <a:fillRect/>
        </a:stretch>
      </xdr:blipFill>
      <xdr:spPr>
        <a:xfrm>
          <a:off x="22453420" y="55122172"/>
          <a:ext cx="9343577" cy="5923280"/>
        </a:xfrm>
        <a:prstGeom prst="rect">
          <a:avLst/>
        </a:prstGeom>
        <a:ln>
          <a:solidFill>
            <a:srgbClr val="0070C0"/>
          </a:solidFill>
        </a:ln>
      </xdr:spPr>
    </xdr:pic>
    <xdr:clientData/>
  </xdr:twoCellAnchor>
  <xdr:twoCellAnchor>
    <xdr:from>
      <xdr:col>18</xdr:col>
      <xdr:colOff>312964</xdr:colOff>
      <xdr:row>311</xdr:row>
      <xdr:rowOff>166006</xdr:rowOff>
    </xdr:from>
    <xdr:to>
      <xdr:col>32</xdr:col>
      <xdr:colOff>421821</xdr:colOff>
      <xdr:row>345</xdr:row>
      <xdr:rowOff>81642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97428468-9676-410A-8BA6-3B0F59076F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 editAs="oneCell">
    <xdr:from>
      <xdr:col>18</xdr:col>
      <xdr:colOff>340180</xdr:colOff>
      <xdr:row>347</xdr:row>
      <xdr:rowOff>108858</xdr:rowOff>
    </xdr:from>
    <xdr:to>
      <xdr:col>31</xdr:col>
      <xdr:colOff>479018</xdr:colOff>
      <xdr:row>380</xdr:row>
      <xdr:rowOff>21227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80BCF334-E0C1-4E00-8479-9C0BC109D1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>
          <a:alphaModFix amt="35000"/>
        </a:blip>
        <a:stretch>
          <a:fillRect/>
        </a:stretch>
      </xdr:blipFill>
      <xdr:spPr>
        <a:xfrm>
          <a:off x="22453420" y="61410488"/>
          <a:ext cx="8760868" cy="5739129"/>
        </a:xfrm>
        <a:prstGeom prst="rect">
          <a:avLst/>
        </a:prstGeom>
        <a:ln>
          <a:solidFill>
            <a:srgbClr val="0070C0"/>
          </a:solidFill>
        </a:ln>
      </xdr:spPr>
    </xdr:pic>
    <xdr:clientData/>
  </xdr:twoCellAnchor>
  <xdr:twoCellAnchor>
    <xdr:from>
      <xdr:col>18</xdr:col>
      <xdr:colOff>340178</xdr:colOff>
      <xdr:row>347</xdr:row>
      <xdr:rowOff>81643</xdr:rowOff>
    </xdr:from>
    <xdr:to>
      <xdr:col>31</xdr:col>
      <xdr:colOff>489856</xdr:colOff>
      <xdr:row>380</xdr:row>
      <xdr:rowOff>13606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0E00BC29-F1C4-4BA4-9441-6972E0EF1B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 editAs="oneCell">
    <xdr:from>
      <xdr:col>6</xdr:col>
      <xdr:colOff>1442358</xdr:colOff>
      <xdr:row>381</xdr:row>
      <xdr:rowOff>1</xdr:rowOff>
    </xdr:from>
    <xdr:to>
      <xdr:col>17</xdr:col>
      <xdr:colOff>367393</xdr:colOff>
      <xdr:row>413</xdr:row>
      <xdr:rowOff>1514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7EDCC05B-19B8-4DA9-B682-6C99AC04FC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>
          <a:alphaModFix amt="35000"/>
        </a:blip>
        <a:stretch>
          <a:fillRect/>
        </a:stretch>
      </xdr:blipFill>
      <xdr:spPr>
        <a:xfrm>
          <a:off x="12840608" y="67315081"/>
          <a:ext cx="8980895" cy="5648520"/>
        </a:xfrm>
        <a:prstGeom prst="rect">
          <a:avLst/>
        </a:prstGeom>
        <a:ln>
          <a:solidFill>
            <a:srgbClr val="0070C0"/>
          </a:solidFill>
        </a:ln>
      </xdr:spPr>
    </xdr:pic>
    <xdr:clientData/>
  </xdr:twoCellAnchor>
  <xdr:twoCellAnchor editAs="oneCell">
    <xdr:from>
      <xdr:col>18</xdr:col>
      <xdr:colOff>353786</xdr:colOff>
      <xdr:row>381</xdr:row>
      <xdr:rowOff>40822</xdr:rowOff>
    </xdr:from>
    <xdr:to>
      <xdr:col>31</xdr:col>
      <xdr:colOff>478224</xdr:colOff>
      <xdr:row>413</xdr:row>
      <xdr:rowOff>139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CA8A7194-17AC-4E69-B1C0-9381A91C14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>
          <a:alphaModFix amt="35000"/>
        </a:blip>
        <a:stretch>
          <a:fillRect/>
        </a:stretch>
      </xdr:blipFill>
      <xdr:spPr>
        <a:xfrm>
          <a:off x="22469566" y="67355902"/>
          <a:ext cx="8728688" cy="5606324"/>
        </a:xfrm>
        <a:prstGeom prst="rect">
          <a:avLst/>
        </a:prstGeom>
        <a:ln>
          <a:solidFill>
            <a:srgbClr val="0070C0"/>
          </a:solidFill>
        </a:ln>
      </xdr:spPr>
    </xdr:pic>
    <xdr:clientData/>
  </xdr:twoCellAnchor>
  <xdr:twoCellAnchor>
    <xdr:from>
      <xdr:col>18</xdr:col>
      <xdr:colOff>351691</xdr:colOff>
      <xdr:row>381</xdr:row>
      <xdr:rowOff>14655</xdr:rowOff>
    </xdr:from>
    <xdr:to>
      <xdr:col>31</xdr:col>
      <xdr:colOff>468922</xdr:colOff>
      <xdr:row>412</xdr:row>
      <xdr:rowOff>168519</xdr:rowOff>
    </xdr:to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id="{087932D6-9B94-41B2-B88B-47BB226710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 editAs="oneCell">
    <xdr:from>
      <xdr:col>6</xdr:col>
      <xdr:colOff>1523998</xdr:colOff>
      <xdr:row>415</xdr:row>
      <xdr:rowOff>13607</xdr:rowOff>
    </xdr:from>
    <xdr:to>
      <xdr:col>16</xdr:col>
      <xdr:colOff>520881</xdr:colOff>
      <xdr:row>445</xdr:row>
      <xdr:rowOff>176387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253EF794-6399-46B5-85ED-BC861F55A8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>
          <a:alphaModFix amt="20000"/>
        </a:blip>
        <a:stretch>
          <a:fillRect/>
        </a:stretch>
      </xdr:blipFill>
      <xdr:spPr>
        <a:xfrm>
          <a:off x="12923518" y="73335787"/>
          <a:ext cx="8382183" cy="5453600"/>
        </a:xfrm>
        <a:prstGeom prst="rect">
          <a:avLst/>
        </a:prstGeom>
        <a:ln>
          <a:solidFill>
            <a:srgbClr val="0070C0"/>
          </a:solidFill>
        </a:ln>
      </xdr:spPr>
    </xdr:pic>
    <xdr:clientData/>
  </xdr:twoCellAnchor>
  <xdr:twoCellAnchor>
    <xdr:from>
      <xdr:col>6</xdr:col>
      <xdr:colOff>1496785</xdr:colOff>
      <xdr:row>415</xdr:row>
      <xdr:rowOff>2721</xdr:rowOff>
    </xdr:from>
    <xdr:to>
      <xdr:col>16</xdr:col>
      <xdr:colOff>517071</xdr:colOff>
      <xdr:row>445</xdr:row>
      <xdr:rowOff>190499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FA254749-08DE-4BDC-A0CD-DDCAAD7190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 editAs="oneCell">
    <xdr:from>
      <xdr:col>18</xdr:col>
      <xdr:colOff>405050</xdr:colOff>
      <xdr:row>415</xdr:row>
      <xdr:rowOff>159437</xdr:rowOff>
    </xdr:from>
    <xdr:to>
      <xdr:col>30</xdr:col>
      <xdr:colOff>478288</xdr:colOff>
      <xdr:row>444</xdr:row>
      <xdr:rowOff>21142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04E10165-43F7-442E-83B3-E7A5BC01B2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>
          <a:alphaModFix amt="35000"/>
        </a:blip>
        <a:stretch>
          <a:fillRect/>
        </a:stretch>
      </xdr:blipFill>
      <xdr:spPr>
        <a:xfrm>
          <a:off x="22515750" y="73480347"/>
          <a:ext cx="8019628" cy="4984885"/>
        </a:xfrm>
        <a:prstGeom prst="rect">
          <a:avLst/>
        </a:prstGeom>
        <a:ln>
          <a:solidFill>
            <a:srgbClr val="0070C0"/>
          </a:solidFill>
        </a:ln>
      </xdr:spPr>
    </xdr:pic>
    <xdr:clientData/>
  </xdr:twoCellAnchor>
  <xdr:twoCellAnchor>
    <xdr:from>
      <xdr:col>18</xdr:col>
      <xdr:colOff>409013</xdr:colOff>
      <xdr:row>415</xdr:row>
      <xdr:rowOff>158003</xdr:rowOff>
    </xdr:from>
    <xdr:to>
      <xdr:col>30</xdr:col>
      <xdr:colOff>470646</xdr:colOff>
      <xdr:row>444</xdr:row>
      <xdr:rowOff>11205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E5DF06D1-3AA4-4120-9E01-466F945C9F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 editAs="oneCell">
    <xdr:from>
      <xdr:col>6</xdr:col>
      <xdr:colOff>1457326</xdr:colOff>
      <xdr:row>447</xdr:row>
      <xdr:rowOff>95250</xdr:rowOff>
    </xdr:from>
    <xdr:to>
      <xdr:col>16</xdr:col>
      <xdr:colOff>517033</xdr:colOff>
      <xdr:row>476</xdr:row>
      <xdr:rowOff>22225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CA0B4B9B-75E5-4075-B99A-EC0EC08DD2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>
          <a:alphaModFix amt="20000"/>
        </a:blip>
        <a:stretch>
          <a:fillRect/>
        </a:stretch>
      </xdr:blipFill>
      <xdr:spPr>
        <a:xfrm>
          <a:off x="12859386" y="79072740"/>
          <a:ext cx="8433577" cy="5020945"/>
        </a:xfrm>
        <a:prstGeom prst="rect">
          <a:avLst/>
        </a:prstGeom>
        <a:ln>
          <a:solidFill>
            <a:srgbClr val="0070C0"/>
          </a:solidFill>
        </a:ln>
      </xdr:spPr>
    </xdr:pic>
    <xdr:clientData/>
  </xdr:twoCellAnchor>
  <xdr:twoCellAnchor>
    <xdr:from>
      <xdr:col>6</xdr:col>
      <xdr:colOff>1438275</xdr:colOff>
      <xdr:row>447</xdr:row>
      <xdr:rowOff>90486</xdr:rowOff>
    </xdr:from>
    <xdr:to>
      <xdr:col>16</xdr:col>
      <xdr:colOff>504825</xdr:colOff>
      <xdr:row>476</xdr:row>
      <xdr:rowOff>9524</xdr:rowOff>
    </xdr:to>
    <xdr:graphicFrame macro="">
      <xdr:nvGraphicFramePr>
        <xdr:cNvPr id="49" name="Chart 48">
          <a:extLst>
            <a:ext uri="{FF2B5EF4-FFF2-40B4-BE49-F238E27FC236}">
              <a16:creationId xmlns:a16="http://schemas.microsoft.com/office/drawing/2014/main" id="{6E021726-F16B-4442-9D86-FC9E9FCE27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 editAs="oneCell">
    <xdr:from>
      <xdr:col>6</xdr:col>
      <xdr:colOff>720099</xdr:colOff>
      <xdr:row>73</xdr:row>
      <xdr:rowOff>149112</xdr:rowOff>
    </xdr:from>
    <xdr:to>
      <xdr:col>16</xdr:col>
      <xdr:colOff>251711</xdr:colOff>
      <xdr:row>106</xdr:row>
      <xdr:rowOff>24728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BD1E4E1C-A6C5-485F-9D26-BDAC0AB1AF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>
          <a:alphaModFix amt="35000"/>
        </a:blip>
        <a:stretch>
          <a:fillRect/>
        </a:stretch>
      </xdr:blipFill>
      <xdr:spPr>
        <a:xfrm>
          <a:off x="12118349" y="13056122"/>
          <a:ext cx="8913102" cy="5703646"/>
        </a:xfrm>
        <a:prstGeom prst="rect">
          <a:avLst/>
        </a:prstGeom>
        <a:ln>
          <a:solidFill>
            <a:srgbClr val="0070C0"/>
          </a:solidFill>
        </a:ln>
      </xdr:spPr>
    </xdr:pic>
    <xdr:clientData/>
  </xdr:twoCellAnchor>
  <xdr:twoCellAnchor>
    <xdr:from>
      <xdr:col>6</xdr:col>
      <xdr:colOff>711571</xdr:colOff>
      <xdr:row>73</xdr:row>
      <xdr:rowOff>135588</xdr:rowOff>
    </xdr:from>
    <xdr:to>
      <xdr:col>16</xdr:col>
      <xdr:colOff>246528</xdr:colOff>
      <xdr:row>106</xdr:row>
      <xdr:rowOff>33618</xdr:rowOff>
    </xdr:to>
    <xdr:graphicFrame macro="">
      <xdr:nvGraphicFramePr>
        <xdr:cNvPr id="51" name="Chart 50">
          <a:extLst>
            <a:ext uri="{FF2B5EF4-FFF2-40B4-BE49-F238E27FC236}">
              <a16:creationId xmlns:a16="http://schemas.microsoft.com/office/drawing/2014/main" id="{DE2E8BE0-8D81-4B91-A040-ABE78B716C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 editAs="oneCell">
    <xdr:from>
      <xdr:col>17</xdr:col>
      <xdr:colOff>258535</xdr:colOff>
      <xdr:row>73</xdr:row>
      <xdr:rowOff>100929</xdr:rowOff>
    </xdr:from>
    <xdr:to>
      <xdr:col>31</xdr:col>
      <xdr:colOff>25136</xdr:colOff>
      <xdr:row>106</xdr:row>
      <xdr:rowOff>60332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DABF0A76-27DC-4BAB-B2C6-42BE13104A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>
          <a:alphaModFix amt="20000"/>
        </a:blip>
        <a:stretch>
          <a:fillRect/>
        </a:stretch>
      </xdr:blipFill>
      <xdr:spPr>
        <a:xfrm>
          <a:off x="21707565" y="13006669"/>
          <a:ext cx="9036331" cy="5788703"/>
        </a:xfrm>
        <a:prstGeom prst="rect">
          <a:avLst/>
        </a:prstGeom>
        <a:ln>
          <a:solidFill>
            <a:srgbClr val="0070C0"/>
          </a:solidFill>
        </a:ln>
      </xdr:spPr>
    </xdr:pic>
    <xdr:clientData/>
  </xdr:twoCellAnchor>
  <xdr:twoCellAnchor>
    <xdr:from>
      <xdr:col>17</xdr:col>
      <xdr:colOff>247651</xdr:colOff>
      <xdr:row>73</xdr:row>
      <xdr:rowOff>97970</xdr:rowOff>
    </xdr:from>
    <xdr:to>
      <xdr:col>31</xdr:col>
      <xdr:colOff>27215</xdr:colOff>
      <xdr:row>106</xdr:row>
      <xdr:rowOff>66675</xdr:rowOff>
    </xdr:to>
    <xdr:graphicFrame macro="">
      <xdr:nvGraphicFramePr>
        <xdr:cNvPr id="53" name="Chart 52">
          <a:extLst>
            <a:ext uri="{FF2B5EF4-FFF2-40B4-BE49-F238E27FC236}">
              <a16:creationId xmlns:a16="http://schemas.microsoft.com/office/drawing/2014/main" id="{FEC05AAD-6817-4B01-894C-CB71D1AB00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 editAs="oneCell">
    <xdr:from>
      <xdr:col>17</xdr:col>
      <xdr:colOff>293171</xdr:colOff>
      <xdr:row>41</xdr:row>
      <xdr:rowOff>129886</xdr:rowOff>
    </xdr:from>
    <xdr:to>
      <xdr:col>29</xdr:col>
      <xdr:colOff>478329</xdr:colOff>
      <xdr:row>71</xdr:row>
      <xdr:rowOff>60945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691962A1-8AFE-4FC3-BE2D-84CAF41C28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0">
          <a:alphaModFix amt="35000"/>
        </a:blip>
        <a:srcRect l="2061" t="2758" b="-1504"/>
        <a:stretch>
          <a:fillRect/>
        </a:stretch>
      </xdr:blipFill>
      <xdr:spPr>
        <a:xfrm>
          <a:off x="21740931" y="7386666"/>
          <a:ext cx="8146788" cy="5216799"/>
        </a:xfrm>
        <a:prstGeom prst="rect">
          <a:avLst/>
        </a:prstGeom>
        <a:ln>
          <a:solidFill>
            <a:srgbClr val="0070C0"/>
          </a:solidFill>
        </a:ln>
      </xdr:spPr>
    </xdr:pic>
    <xdr:clientData/>
  </xdr:twoCellAnchor>
  <xdr:twoCellAnchor>
    <xdr:from>
      <xdr:col>6</xdr:col>
      <xdr:colOff>1583121</xdr:colOff>
      <xdr:row>41</xdr:row>
      <xdr:rowOff>118241</xdr:rowOff>
    </xdr:from>
    <xdr:to>
      <xdr:col>16</xdr:col>
      <xdr:colOff>72259</xdr:colOff>
      <xdr:row>71</xdr:row>
      <xdr:rowOff>126320</xdr:rowOff>
    </xdr:to>
    <xdr:graphicFrame macro="">
      <xdr:nvGraphicFramePr>
        <xdr:cNvPr id="55" name="Chart 54">
          <a:extLst>
            <a:ext uri="{FF2B5EF4-FFF2-40B4-BE49-F238E27FC236}">
              <a16:creationId xmlns:a16="http://schemas.microsoft.com/office/drawing/2014/main" id="{BDEB51D7-8433-442C-9371-279BB64D4B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xdr:graphicFrame>
    <xdr:clientData/>
  </xdr:twoCellAnchor>
  <xdr:twoCellAnchor>
    <xdr:from>
      <xdr:col>17</xdr:col>
      <xdr:colOff>285749</xdr:colOff>
      <xdr:row>41</xdr:row>
      <xdr:rowOff>124384</xdr:rowOff>
    </xdr:from>
    <xdr:to>
      <xdr:col>29</xdr:col>
      <xdr:colOff>481852</xdr:colOff>
      <xdr:row>71</xdr:row>
      <xdr:rowOff>57979</xdr:rowOff>
    </xdr:to>
    <xdr:graphicFrame macro="">
      <xdr:nvGraphicFramePr>
        <xdr:cNvPr id="56" name="Chart 55">
          <a:extLst>
            <a:ext uri="{FF2B5EF4-FFF2-40B4-BE49-F238E27FC236}">
              <a16:creationId xmlns:a16="http://schemas.microsoft.com/office/drawing/2014/main" id="{D2031A07-5A7D-498F-9538-18DCA91881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350520</xdr:colOff>
      <xdr:row>2</xdr:row>
      <xdr:rowOff>83820</xdr:rowOff>
    </xdr:from>
    <xdr:to>
      <xdr:col>22</xdr:col>
      <xdr:colOff>249724</xdr:colOff>
      <xdr:row>28</xdr:row>
      <xdr:rowOff>58822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EA278B-90B9-4EB3-99E7-484B91E712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70210" y="443230"/>
          <a:ext cx="9167664" cy="463082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275492</xdr:colOff>
      <xdr:row>7</xdr:row>
      <xdr:rowOff>70338</xdr:rowOff>
    </xdr:from>
    <xdr:to>
      <xdr:col>24</xdr:col>
      <xdr:colOff>249497</xdr:colOff>
      <xdr:row>37</xdr:row>
      <xdr:rowOff>22928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FE1CDA-AD22-4C51-887F-C9949D65F0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95182" y="1349228"/>
          <a:ext cx="9920645" cy="52726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275492</xdr:colOff>
      <xdr:row>1</xdr:row>
      <xdr:rowOff>0</xdr:rowOff>
    </xdr:from>
    <xdr:to>
      <xdr:col>24</xdr:col>
      <xdr:colOff>249497</xdr:colOff>
      <xdr:row>30</xdr:row>
      <xdr:rowOff>124626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84BC4A-DEEF-47F5-B479-9D97886C32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95182" y="182880"/>
          <a:ext cx="9920645" cy="529352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275492</xdr:colOff>
      <xdr:row>1</xdr:row>
      <xdr:rowOff>0</xdr:rowOff>
    </xdr:from>
    <xdr:to>
      <xdr:col>24</xdr:col>
      <xdr:colOff>249497</xdr:colOff>
      <xdr:row>29</xdr:row>
      <xdr:rowOff>176891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CAB630-943E-41DA-B208-09C6BC223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95182" y="175260"/>
          <a:ext cx="9920645" cy="530261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4D5A9B6-90DE-4249-AF14-85A27A7A0D5F}" name="Table19" displayName="Table19" ref="A1:E20" totalsRowShown="0" headerRowDxfId="101" dataDxfId="100">
  <autoFilter ref="A1:E20" xr:uid="{DC554C49-C245-4873-8E1E-4E84CEBD48CD}"/>
  <tableColumns count="5">
    <tableColumn id="1" xr3:uid="{B81A4140-39AC-4737-87AA-8EDAE2203974}" name="Core sample" dataDxfId="99"/>
    <tableColumn id="2" xr3:uid="{69C45F2F-8AF4-411A-B3B4-ADDA91512A64}" name="Year" dataDxfId="98"/>
    <tableColumn id="3" xr3:uid="{6065345E-1856-4608-B422-DE75F75DC21B}" name="% Sor Reduction (AS) = Sorw- Sorc / Sorw, %" dataDxfId="97"/>
    <tableColumn id="4" xr3:uid="{078DB296-0B59-4C99-94AC-436E9FD369E0}" name="% Sor Reduction (AS,P) = Sorw- Sorp / Sorw, %" dataDxfId="96"/>
    <tableColumn id="5" xr3:uid="{2011F04A-91DF-4C60-B6C9-03EC6A571C8A}" name="% Sor Reduction (SP) = Sorw- Sorp / Sorw" dataDxfId="95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2B50ED3-1190-49B5-A12F-B17884641E91}" name="Table17" displayName="Table17" ref="A1:F20" totalsRowShown="0" headerRowDxfId="94" headerRowBorderDxfId="93" tableBorderDxfId="92" totalsRowBorderDxfId="91">
  <autoFilter ref="A1:F20" xr:uid="{CB1424FC-215E-4C96-985D-54B8757C10AC}"/>
  <tableColumns count="6">
    <tableColumn id="1" xr3:uid="{C90EB825-7A49-4723-83AF-CE9B17097000}" name="Year" dataDxfId="90"/>
    <tableColumn id="2" xr3:uid="{54F34657-A5E9-4C33-A982-1475651BDE8B}" name="Type" dataDxfId="89"/>
    <tableColumn id="3" xr3:uid="{25A24A7C-F639-4709-9E18-68CC1568275B}" name="Core Floof Sample" dataDxfId="88"/>
    <tableColumn id="4" xr3:uid="{AB6812AB-7FF1-4367-84AC-1DE4BCFFF6C0}" name="Alkali Type &amp; Concentration  " dataDxfId="87"/>
    <tableColumn id="5" xr3:uid="{67E52D84-0AF8-47C5-80D7-FFC0468386C7}" name="Surfactant Type &amp; Concentration" dataDxfId="86"/>
    <tableColumn id="6" xr3:uid="{4A9EE795-4191-4835-BEDC-E7587690B761}" name="Polymer Type &amp; Concentration  " dataDxfId="85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34F1ED4-8CE4-4E56-8799-D46B6554EF66}" name="Table14" displayName="Table14" ref="A1:F33" totalsRowShown="0" headerRowDxfId="84" dataDxfId="83">
  <autoFilter ref="A1:F33" xr:uid="{E77BBFFB-03B5-4522-8DE0-2911D7FE18B3}"/>
  <tableColumns count="6">
    <tableColumn id="1" xr3:uid="{FE3FD289-90A8-4141-8F57-D00D65524C2F}" name="Sample No " dataDxfId="82"/>
    <tableColumn id="2" xr3:uid="{9DE1D98E-58D0-41CC-8EE5-88E1545C1EE6}" name="Year " dataDxfId="81"/>
    <tableColumn id="3" xr3:uid="{0664F6E6-2F40-4EEF-BF87-A7ACF413A33D}" name="Field " dataDxfId="80"/>
    <tableColumn id="4" xr3:uid="{D6BEE65D-CDB0-49C3-AB3B-D9DB10E62FB3}" name="Surfactant " dataDxfId="79"/>
    <tableColumn id="5" xr3:uid="{137E0FF6-B974-458B-B498-26BAD6F32A95}" name="Days " dataDxfId="78"/>
    <tableColumn id="6" xr3:uid="{DB8728A6-EA53-4BDB-81FC-CEDFB36EFD8E}" name="Adsorption c/cO" dataDxfId="77"/>
  </tableColumns>
  <tableStyleInfo name="TableStyleLight1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15DA6C7-FF37-4B83-A871-E9EE7A1F353B}" name="Table13" displayName="Table13" ref="A1:U20" totalsRowShown="0" headerRowDxfId="76" dataDxfId="75">
  <autoFilter ref="A1:U20" xr:uid="{C458934B-71B6-4782-9990-7FDC0CF47CCC}"/>
  <tableColumns count="21">
    <tableColumn id="1" xr3:uid="{5BC668F4-15E0-41A5-94CB-222D33D97805}" name="Core sample" dataDxfId="74"/>
    <tableColumn id="2" xr3:uid="{D46B6B64-7FAA-4F09-9DEB-7158099B0A29}" name="Year" dataDxfId="73"/>
    <tableColumn id="3" xr3:uid="{925908AB-0CB5-4752-805E-F95E7B7F1996}" name="Initial Oil Saturation, Soi  (OOIP % PV) " dataDxfId="72"/>
    <tableColumn id="4" xr3:uid="{000050D7-0A4E-446E-B199-B9935D545AD3}" name="Initial Water  Saturation, Swi,% PV" dataDxfId="71"/>
    <tableColumn id="5" xr3:uid="{789780FA-317C-4322-AB90-35FD7CBFBB53}" name="Water Flood Recovery, % OOIP " dataDxfId="70"/>
    <tableColumn id="6" xr3:uid="{92F0B1D1-0002-4E2B-AEF5-B687625EF517}" name="Water Flood Recovery, % PV " dataDxfId="69"/>
    <tableColumn id="7" xr3:uid="{0DDC3E19-25DD-4226-A293-6ABEC54F883C}" name="Residual Oil Saturation after WF , Sorw, % OOIP" dataDxfId="68"/>
    <tableColumn id="8" xr3:uid="{681EC11B-F212-4D12-8190-6AA52B22D3A1}" name="Residual Oil Saturation after WF , Sorw, % PV" dataDxfId="67"/>
    <tableColumn id="9" xr3:uid="{C337445F-84C3-42B5-A650-1E1B0690B9A3}" name="Alkaline- Surfactant (AS) Recovery, % OOIP " dataDxfId="66"/>
    <tableColumn id="10" xr3:uid="{B5B8F6AE-7D7C-4853-999B-DC5AF91FD8E9}" name="Alkaline- Surfactant (AS) Recovery , % PV" dataDxfId="65"/>
    <tableColumn id="11" xr3:uid="{EB6DF9AC-147E-432C-B19B-7DE77F3C697C}" name="Residual Oil Saturation after AS , Sorc (AS), % OOIP" dataDxfId="64"/>
    <tableColumn id="12" xr3:uid="{27E5456E-14FE-4947-BAC7-897D78FC09AB}" name="Residual Oil Saturation after AS , Sorc (AS), % PV" dataDxfId="63"/>
    <tableColumn id="13" xr3:uid="{1243F82C-C896-4D57-BA78-01BEB4110737}" name="Recovery Factor (AS)= Soi-Sorc/Soi, %" dataDxfId="62"/>
    <tableColumn id="14" xr3:uid="{BF0B77F5-C18B-4B6A-8462-B492A825477A}" name="% Sor Reduction (AS) = Sorw- Sorc / Sorw, %" dataDxfId="61"/>
    <tableColumn id="15" xr3:uid="{2DC921A9-A096-4A08-88A9-675B0E5D4794}" name="Polymer (P) Recovery, % OOIP " dataDxfId="60"/>
    <tableColumn id="16" xr3:uid="{E23CC6FC-DD99-4750-8BF9-65A056A332CA}" name="Polymer (P) Recovery, % PV " dataDxfId="59"/>
    <tableColumn id="17" xr3:uid="{DC99F77D-8F05-4BF6-908B-7807CCB57DD8}" name="Residual Oil Saturation after Polymer Recovery, Sorp (P), % OOIP" dataDxfId="58"/>
    <tableColumn id="18" xr3:uid="{8736D09C-6C84-472E-951E-2B741438CDD1}" name="Residual Oil Saturation after Polymer Recovery, Sorp (P), % PV" dataDxfId="57"/>
    <tableColumn id="19" xr3:uid="{33269629-051C-4ABB-8C64-9815183BC9FF}" name="Recovery Factor (AS,P)= Soi-Sorp/Soi, %" dataDxfId="56"/>
    <tableColumn id="20" xr3:uid="{0D39E6D8-5433-4A26-8CCC-996B90036682}" name="% Sor Reduction (AS,P) = Sorw- Sorp / Sorw, %" dataDxfId="55"/>
    <tableColumn id="21" xr3:uid="{DB8D4029-C389-499C-B309-4938A689E02E}" name="% Sor Reduction (SP) = Sorw- Sorp / Sorw" dataDxfId="54"/>
  </tableColumns>
  <tableStyleInfo name="TableStyleLight1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37640F-B8B3-4057-98B9-3D972754A0A4}" name="Table1" displayName="Table1" ref="A1:E20" totalsRowShown="0" headerRowDxfId="53" dataDxfId="52">
  <autoFilter ref="A1:E20" xr:uid="{DC554C49-C245-4873-8E1E-4E84CEBD48CD}"/>
  <tableColumns count="5">
    <tableColumn id="1" xr3:uid="{C7E6B523-C39B-4A59-ACE7-C5EFE1C08EF6}" name="Core sample" dataDxfId="51"/>
    <tableColumn id="2" xr3:uid="{6272395E-C26B-49E6-AC64-48CC29B6EFAF}" name="Year" dataDxfId="50"/>
    <tableColumn id="3" xr3:uid="{623BBF9A-D011-46E9-8156-21EB4B742C23}" name="% Sor Reduction (AS) = Sorw- Sorc / Sorw, %" dataDxfId="49"/>
    <tableColumn id="4" xr3:uid="{0E17B0FC-A040-4857-B37B-C441878600FC}" name="% Sor Reduction (AS,P) = Sorw- Sorp / Sorw, %" dataDxfId="48"/>
    <tableColumn id="5" xr3:uid="{3F840E2E-003E-4057-BF4A-8A1E385CE89E}" name="% Sor Reduction (SP) = Sorw- Sorp / Sorw" dataDxfId="47"/>
  </tableColumns>
  <tableStyleInfo name="TableStyleLight1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C573D0A-53F5-4882-BA08-C000671FF694}" name="Table15" displayName="Table15" ref="A1:P38" totalsRowShown="0" headerRowDxfId="46">
  <autoFilter ref="A1:P38" xr:uid="{0E012D16-7F87-4BE1-A295-532C9567048D}"/>
  <tableColumns count="16">
    <tableColumn id="1" xr3:uid="{1143CFE9-C742-4E45-A46C-D088AF3F2067}" name="Field"/>
    <tableColumn id="2" xr3:uid="{C9984ADE-99EB-40E4-B56F-7DDC460153D3}" name="Reservoir"/>
    <tableColumn id="3" xr3:uid="{7D1422FA-CA30-4531-94D4-524AB057FF5E}" name="STOIIP (MMSTB)" dataDxfId="45"/>
    <tableColumn id="4" xr3:uid="{5D5D63A6-EC67-4BC2-8D49-37E449FDE252}" name="Recovery_Factor_pct"/>
    <tableColumn id="5" xr3:uid="{752D45AE-872D-4055-ACF8-DAD12DD66C5F}" name="Present_EUR_MMSTB"/>
    <tableColumn id="6" xr3:uid="{817ADDC0-89E3-4FA3-B774-33CBAB980EB7}" name="Avg_Porosity_pct"/>
    <tableColumn id="7" xr3:uid="{88E3C336-D623-4BEF-913A-66FA297538D4}" name="Initial_Oil_Sat_pct"/>
    <tableColumn id="8" xr3:uid="{AEB9CB2C-DDB2-4A2A-BD1B-2723FEC5319E}" name="Current_Oil_Sat_pct"/>
    <tableColumn id="9" xr3:uid="{FFDBCAB0-FC02-47F3-9505-9C5FE31C9CD1}" name="Initial_Reservoir_Pressure_kPa"/>
    <tableColumn id="10" xr3:uid="{259734BA-E56A-4075-9233-1A73BD6780C9}" name="Current_Reservoir_Pressure_kPa"/>
    <tableColumn id="11" xr3:uid="{F507E6C9-97F5-490D-A5C2-9E1EA8FF5E50}" name="Fracture_Pressure_kPa"/>
    <tableColumn id="12" xr3:uid="{3AC8F8AB-1546-47EA-9DCF-0A6B24A8EB34}" name="Reservoir_Temperature_C"/>
    <tableColumn id="13" xr3:uid="{51881183-6A2A-4EB8-AA74-90C6C6117464}" name="MOST SUITABLE PROCESS"/>
    <tableColumn id="14" xr3:uid="{CB25A57A-9A30-4D11-9004-1E3F65C74BC1}" name="OTHERS PASS METHOD"/>
    <tableColumn id="15" xr3:uid="{471377EF-A19B-4609-B4DD-840DC7F3B270}" name="INCREMENTAL EUR (%OOIP)"/>
    <tableColumn id="16" xr3:uid="{690F7AEF-E034-4CB6-830F-8D141B01D619}" name="INCREMENTAL EUR (MMSTB)" dataDxfId="44">
      <calculatedColumnFormula>O2*C2/100</calculatedColumnFormula>
    </tableColumn>
  </tableColumns>
  <tableStyleInfo name="TableStyleLight1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05EAA82-5130-4164-81A6-9C0F884EEA38}" name="Table3" displayName="Table3" ref="A1:F23" totalsRowShown="0" headerRowDxfId="43" headerRowBorderDxfId="42" tableBorderDxfId="41">
  <autoFilter ref="A1:F23" xr:uid="{3994E82A-395F-445C-9BDD-CA6363D1A92B}"/>
  <sortState xmlns:xlrd2="http://schemas.microsoft.com/office/spreadsheetml/2017/richdata2" ref="A2:F23">
    <sortCondition ref="B1:B23"/>
  </sortState>
  <tableColumns count="6">
    <tableColumn id="1" xr3:uid="{B30BC76F-730D-46DE-B672-4ACAA7B554BC}" name="Field"/>
    <tableColumn id="2" xr3:uid="{B6B82C69-9BDC-4DDA-A614-427A05735480}" name="Reservoir"/>
    <tableColumn id="3" xr3:uid="{732DC21A-E55E-43F3-BF03-7C2696525750}" name="STOIIP_MMSTB"/>
    <tableColumn id="4" xr3:uid="{E4FB3357-4F73-47B5-AC26-4B4F6D69783D}" name="Most_Suitable_Process"/>
    <tableColumn id="5" xr3:uid="{A4EE3F15-02E3-4E3D-8043-D6ED89D50EC2}" name="Incremental_EUR_pct_OOIP"/>
    <tableColumn id="6" xr3:uid="{0C991173-3861-4AD4-9E95-82A3A4D9A4F7}" name="Incremental_EUR_MMSTB"/>
  </tableColumns>
  <tableStyleInfo name="TableStyleLight1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0A100F3-726B-4C6D-8348-742CD1017697}" name="Table18" displayName="Table18" ref="A1:AH601" totalsRowShown="0" headerRowDxfId="40">
  <autoFilter ref="A1:AH601" xr:uid="{F3558CDF-7439-40EC-A8DC-58D43255288B}"/>
  <tableColumns count="34">
    <tableColumn id="1" xr3:uid="{330AF4B5-D25E-47A2-9DD9-B6F58B650C26}" name="Remarks_Nis"/>
    <tableColumn id="2" xr3:uid="{76DEB52E-97D2-4EBE-929D-922A7CC18F19}" name="Field"/>
    <tableColumn id="3" xr3:uid="{8F4409D1-24C3-4513-80E3-79AB92E378A5}" name="Reservoir" dataDxfId="39"/>
    <tableColumn id="4" xr3:uid="{EC063729-C524-4DD9-B385-866658F03645}" name="Field &amp; Reservoir " dataDxfId="38"/>
    <tableColumn id="5" xr3:uid="{00B36FAF-D91C-4AE5-AB54-86437C76060F}" name="STOIIP_ARPR 1.1.2025" dataDxfId="37"/>
    <tableColumn id="6" xr3:uid="{23422050-DCF5-4D17-8E75-04F736CE728C}" name="Np_ARPR 1.1.2025" dataDxfId="36"/>
    <tableColumn id="7" xr3:uid="{1D661AFA-1451-4CB6-BAF7-8A8A51C88F7A}" name="UR_ARPR 1.1.2025" dataDxfId="35"/>
    <tableColumn id="8" xr3:uid="{8BDC9797-A59D-41EF-8BE6-8CB92DEA9429}" name="EUR_ARPR 1.1.2026" dataDxfId="34"/>
    <tableColumn id="9" xr3:uid="{D228D6B3-6703-467D-BEB3-29E23A5E1F87}" name="RF_ARPR 1.1.2025 (calculated) " dataDxfId="33"/>
    <tableColumn id="10" xr3:uid="{FB3D8D5E-4F62-485B-89B2-985C9FC4A1A8}" name="RCI" dataDxfId="32"/>
    <tableColumn id="11" xr3:uid="{0364EDA0-E376-481A-817E-B53CC1CEC586}" name="Benchmark RF (%)" dataDxfId="31"/>
    <tableColumn id="12" xr3:uid="{71D4FD90-D572-4C57-8D6C-FE421877F5E1}" name="RF Gap =Benchmark  RF - Field RF (%) " dataDxfId="30"/>
    <tableColumn id="13" xr3:uid="{1EA4AC74-93F1-4E70-BF92-DA017B171BA4}" name="RF Gap =Benchmark  RF - Field RF (%) abs " dataDxfId="29">
      <calculatedColumnFormula>IF(L2&lt;0,0,L2)</calculatedColumnFormula>
    </tableColumn>
    <tableColumn id="14" xr3:uid="{5F4E49FD-2ACE-4033-BD86-F0069EE50C82}" name="CR volume potential = RF Gap x STOIIP  (MMSTB)" dataDxfId="28"/>
    <tableColumn id="15" xr3:uid="{C462EA82-038B-4DA9-9780-C4BA8BCF0EBC}" name="Non producing reservoirs "/>
    <tableColumn id="16" xr3:uid="{5069594F-64DC-4DB2-9A6E-AC40E33D4BB6}" name="Reservoir Temperature (F)" dataDxfId="27"/>
    <tableColumn id="17" xr3:uid="{24173BE9-1E7F-4C83-B158-879AB8225882}" name="# Idle Well (June 25) "/>
    <tableColumn id="18" xr3:uid="{0D42A849-D066-455E-B78D-8D9E2DA1FC26}" name="Temp (deg C)" dataDxfId="26"/>
    <tableColumn id="19" xr3:uid="{FED269D6-2CF5-4F66-B82D-6D1504D565F9}" name="Oil API" dataDxfId="25"/>
    <tableColumn id="20" xr3:uid="{F0C29430-852C-4132-A955-D9C65D6F64FC}" name="Gross Thickness (ft)" dataDxfId="24"/>
    <tableColumn id="21" xr3:uid="{8A152654-5C93-4CDE-B64B-9151337BDC30}" name="Oil Column (ft)" dataDxfId="23"/>
    <tableColumn id="22" xr3:uid="{3CE15A95-C274-47C6-8F29-02748DD9F574}" name="Avg Porosity"/>
    <tableColumn id="23" xr3:uid="{B48C54BD-C60D-483D-8DE5-1B578699E11C}" name="Avg Permeability (mD)" dataDxfId="22"/>
    <tableColumn id="24" xr3:uid="{7D33F950-BFBA-4904-97A2-63580E05CE60}" name="Oil Producers"/>
    <tableColumn id="25" xr3:uid="{D6C2D280-F436-48B6-9E81-54CA1A5FECA1}" name="Injected Fluid"/>
    <tableColumn id="26" xr3:uid="{954A1C00-C64D-42FF-83AE-6D956346B7E5}" name="Injectors"/>
    <tableColumn id="27" xr3:uid="{FA8F2B08-F509-4719-B1EC-6B2EA22E4853}" name="Historical Pressure Management"/>
    <tableColumn id="28" xr3:uid="{9D7D40A3-E57C-4614-870F-C0A599C1232D}" name="Gas cap m-ratio"/>
    <tableColumn id="29" xr3:uid="{4A3D89D2-1360-415B-887A-7C498F0688ED}" name="Initial Reservoir Pressure (psi)"/>
    <tableColumn id="30" xr3:uid="{2712F813-0455-4138-BDDA-4CD15C6314CA}" name="Bubble point (psi)"/>
    <tableColumn id="31" xr3:uid="{DA8E2D0F-FC06-4CD0-AE7F-4A96FBA9E0EA}" name="Initial Oil Saturation (Soi)"/>
    <tableColumn id="32" xr3:uid="{890EEE6C-A6BA-4982-970B-BE590F2FECDD}" name="Oil FVF (Boi)"/>
    <tableColumn id="33" xr3:uid="{D55D6D5A-CBD8-43E3-B02F-86C9ACFC7D59}" name="Oil Viscosity (cP)"/>
    <tableColumn id="34" xr3:uid="{1EC8917E-1578-41DF-B1B6-CB098E58FA99}" name="Solution GOR (scf/bbl)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2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6470F-DC3D-42A7-9CDF-6E2B32646A4C}">
  <dimension ref="A1:E20"/>
  <sheetViews>
    <sheetView workbookViewId="0">
      <selection sqref="A1:E20"/>
    </sheetView>
  </sheetViews>
  <sheetFormatPr defaultRowHeight="14"/>
  <cols>
    <col min="1" max="2" width="14.4140625" style="349" customWidth="1"/>
    <col min="3" max="3" width="39.9140625" style="352" customWidth="1"/>
    <col min="4" max="4" width="41.75" style="352" customWidth="1"/>
    <col min="5" max="5" width="37.33203125" style="352" customWidth="1"/>
    <col min="6" max="16384" width="8.6640625" style="352"/>
  </cols>
  <sheetData>
    <row r="1" spans="1:5" ht="14.5" thickBot="1">
      <c r="A1" s="349" t="s">
        <v>533</v>
      </c>
      <c r="B1" s="350" t="s">
        <v>255</v>
      </c>
      <c r="C1" s="351" t="s">
        <v>534</v>
      </c>
      <c r="D1" s="351" t="s">
        <v>535</v>
      </c>
      <c r="E1" s="351" t="s">
        <v>536</v>
      </c>
    </row>
    <row r="2" spans="1:5" ht="14.5" thickBot="1">
      <c r="A2" s="353" t="s">
        <v>537</v>
      </c>
      <c r="B2" s="350">
        <v>2013</v>
      </c>
      <c r="C2" s="354">
        <v>20</v>
      </c>
      <c r="D2" s="354">
        <v>42</v>
      </c>
      <c r="E2" s="354">
        <v>0</v>
      </c>
    </row>
    <row r="3" spans="1:5" ht="14.5" thickBot="1">
      <c r="A3" s="355" t="s">
        <v>538</v>
      </c>
      <c r="B3" s="350">
        <v>2013</v>
      </c>
      <c r="C3" s="354">
        <v>42</v>
      </c>
      <c r="D3" s="354">
        <v>49</v>
      </c>
      <c r="E3" s="354">
        <v>0</v>
      </c>
    </row>
    <row r="4" spans="1:5" ht="14.5" thickBot="1">
      <c r="A4" s="356" t="s">
        <v>539</v>
      </c>
      <c r="B4" s="350">
        <v>2013</v>
      </c>
      <c r="C4" s="354">
        <v>26</v>
      </c>
      <c r="D4" s="354">
        <v>32</v>
      </c>
      <c r="E4" s="354">
        <v>0</v>
      </c>
    </row>
    <row r="5" spans="1:5" ht="14.5" thickBot="1">
      <c r="A5" s="355" t="s">
        <v>540</v>
      </c>
      <c r="B5" s="350">
        <v>2013</v>
      </c>
      <c r="C5" s="354">
        <v>30</v>
      </c>
      <c r="D5" s="354">
        <v>52</v>
      </c>
      <c r="E5" s="354">
        <v>0</v>
      </c>
    </row>
    <row r="6" spans="1:5" ht="14.5" thickBot="1">
      <c r="A6" s="356" t="s">
        <v>541</v>
      </c>
      <c r="B6" s="350">
        <v>2013</v>
      </c>
      <c r="C6" s="354">
        <v>29</v>
      </c>
      <c r="D6" s="354">
        <v>33</v>
      </c>
      <c r="E6" s="354">
        <v>0</v>
      </c>
    </row>
    <row r="7" spans="1:5" ht="14.5" thickBot="1">
      <c r="A7" s="353" t="s">
        <v>542</v>
      </c>
      <c r="B7" s="350">
        <v>2003</v>
      </c>
      <c r="C7" s="354">
        <v>0</v>
      </c>
      <c r="D7" s="354">
        <v>3.5999999999999943</v>
      </c>
      <c r="E7" s="354">
        <v>0</v>
      </c>
    </row>
    <row r="8" spans="1:5" ht="14.5" thickBot="1">
      <c r="A8" s="356" t="s">
        <v>543</v>
      </c>
      <c r="B8" s="350">
        <v>2003</v>
      </c>
      <c r="C8" s="354">
        <v>0</v>
      </c>
      <c r="D8" s="354">
        <v>20.6</v>
      </c>
      <c r="E8" s="354">
        <v>0</v>
      </c>
    </row>
    <row r="9" spans="1:5" ht="14.5" thickBot="1">
      <c r="A9" s="356" t="s">
        <v>544</v>
      </c>
      <c r="B9" s="350">
        <v>2003</v>
      </c>
      <c r="C9" s="354">
        <v>0</v>
      </c>
      <c r="D9" s="354">
        <v>0</v>
      </c>
      <c r="E9" s="354">
        <v>9.8000000000000007</v>
      </c>
    </row>
    <row r="10" spans="1:5" ht="14.5" thickBot="1">
      <c r="A10" s="357" t="s">
        <v>545</v>
      </c>
      <c r="B10" s="350">
        <v>2003</v>
      </c>
      <c r="C10" s="354">
        <v>0</v>
      </c>
      <c r="D10" s="354">
        <v>14.100000000000001</v>
      </c>
      <c r="E10" s="354">
        <v>0</v>
      </c>
    </row>
    <row r="11" spans="1:5" ht="14.5" thickBot="1">
      <c r="A11" s="356" t="s">
        <v>546</v>
      </c>
      <c r="B11" s="350">
        <v>2003</v>
      </c>
      <c r="C11" s="354">
        <v>0.79365079365079083</v>
      </c>
      <c r="D11" s="354">
        <v>0</v>
      </c>
      <c r="E11" s="354">
        <v>0</v>
      </c>
    </row>
    <row r="12" spans="1:5" ht="14.5" thickBot="1">
      <c r="A12" s="356" t="s">
        <v>547</v>
      </c>
      <c r="B12" s="350">
        <v>2003</v>
      </c>
      <c r="C12" s="354">
        <v>19.187358916478555</v>
      </c>
      <c r="D12" s="354">
        <v>0</v>
      </c>
      <c r="E12" s="354">
        <v>0</v>
      </c>
    </row>
    <row r="13" spans="1:5" ht="14.5" thickBot="1">
      <c r="A13" s="356" t="s">
        <v>548</v>
      </c>
      <c r="B13" s="350">
        <v>2003</v>
      </c>
      <c r="C13" s="354">
        <v>0</v>
      </c>
      <c r="D13" s="354">
        <v>0</v>
      </c>
      <c r="E13" s="354">
        <v>5.7275541795665577</v>
      </c>
    </row>
    <row r="14" spans="1:5" ht="14.5" thickBot="1">
      <c r="A14" s="356" t="s">
        <v>549</v>
      </c>
      <c r="B14" s="350">
        <v>2003</v>
      </c>
      <c r="C14" s="354">
        <v>0</v>
      </c>
      <c r="D14" s="354">
        <v>0</v>
      </c>
      <c r="E14" s="354">
        <v>25.884543761638728</v>
      </c>
    </row>
    <row r="15" spans="1:5" ht="14.5" thickBot="1">
      <c r="A15" s="356" t="s">
        <v>550</v>
      </c>
      <c r="B15" s="350">
        <v>2003</v>
      </c>
      <c r="C15" s="354">
        <v>0</v>
      </c>
      <c r="D15" s="354">
        <v>52.293577981651374</v>
      </c>
      <c r="E15" s="354">
        <v>0</v>
      </c>
    </row>
    <row r="16" spans="1:5" ht="14.5" thickBot="1">
      <c r="A16" s="356" t="s">
        <v>551</v>
      </c>
      <c r="B16" s="350">
        <v>2003</v>
      </c>
      <c r="C16" s="354">
        <v>33.527357392316659</v>
      </c>
      <c r="D16" s="354">
        <v>0</v>
      </c>
      <c r="E16" s="354">
        <v>0</v>
      </c>
    </row>
    <row r="17" spans="1:5" ht="14.5" thickBot="1">
      <c r="A17" s="356" t="s">
        <v>552</v>
      </c>
      <c r="B17" s="350">
        <v>2003</v>
      </c>
      <c r="C17" s="354">
        <v>0</v>
      </c>
      <c r="D17" s="354">
        <v>40.816326530612251</v>
      </c>
      <c r="E17" s="354">
        <v>0</v>
      </c>
    </row>
    <row r="18" spans="1:5" ht="14.5" thickBot="1">
      <c r="A18" s="356" t="s">
        <v>553</v>
      </c>
      <c r="B18" s="350">
        <v>2003</v>
      </c>
      <c r="C18" s="354">
        <v>0</v>
      </c>
      <c r="D18" s="354">
        <v>8.6614173228346569</v>
      </c>
      <c r="E18" s="354">
        <v>0</v>
      </c>
    </row>
    <row r="19" spans="1:5" ht="14.5" thickBot="1">
      <c r="A19" s="356" t="s">
        <v>554</v>
      </c>
      <c r="B19" s="350">
        <v>2003</v>
      </c>
      <c r="C19" s="354">
        <v>0</v>
      </c>
      <c r="D19" s="354">
        <v>44.497607655502378</v>
      </c>
      <c r="E19" s="354">
        <v>0</v>
      </c>
    </row>
    <row r="20" spans="1:5" ht="14.5" thickBot="1">
      <c r="A20" s="357" t="s">
        <v>555</v>
      </c>
      <c r="B20" s="350">
        <v>2003</v>
      </c>
      <c r="C20" s="354">
        <v>24.390243902439025</v>
      </c>
      <c r="D20" s="354">
        <v>0</v>
      </c>
      <c r="E20" s="354">
        <v>0</v>
      </c>
    </row>
  </sheetData>
  <pageMargins left="0.7" right="0.7" top="0.75" bottom="0.75" header="0.3" footer="0.3"/>
  <headerFooter>
    <oddHeader>&amp;C&amp;"Calibri"&amp;8&amp;K000000 For Internal Use - For Internal Distribution Only&amp;1#_x000D_</oddHead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8B310-BC94-44C2-A2D4-D611AFA123D1}">
  <dimension ref="A1:F20"/>
  <sheetViews>
    <sheetView workbookViewId="0">
      <selection activeCell="D13" sqref="D13"/>
    </sheetView>
  </sheetViews>
  <sheetFormatPr defaultRowHeight="14"/>
  <cols>
    <col min="1" max="2" width="8.6640625" style="37"/>
    <col min="3" max="3" width="24.5" style="37" customWidth="1"/>
    <col min="4" max="4" width="25.75" style="37" customWidth="1"/>
    <col min="5" max="5" width="31.08203125" style="37" customWidth="1"/>
    <col min="6" max="6" width="30.33203125" style="37" customWidth="1"/>
    <col min="7" max="16384" width="8.6640625" style="37"/>
  </cols>
  <sheetData>
    <row r="1" spans="1:6">
      <c r="A1" s="286" t="s">
        <v>255</v>
      </c>
      <c r="B1" s="287" t="s">
        <v>362</v>
      </c>
      <c r="C1" s="288" t="s">
        <v>1081</v>
      </c>
      <c r="D1" s="289" t="s">
        <v>1082</v>
      </c>
      <c r="E1" s="289" t="s">
        <v>1083</v>
      </c>
      <c r="F1" s="290" t="s">
        <v>1084</v>
      </c>
    </row>
    <row r="2" spans="1:6">
      <c r="A2" s="291">
        <v>2013</v>
      </c>
      <c r="B2" s="292" t="s">
        <v>101</v>
      </c>
      <c r="C2" s="293" t="s">
        <v>537</v>
      </c>
      <c r="D2" s="294" t="s">
        <v>1085</v>
      </c>
      <c r="E2" s="294" t="s">
        <v>1086</v>
      </c>
      <c r="F2" s="295" t="s">
        <v>1087</v>
      </c>
    </row>
    <row r="3" spans="1:6">
      <c r="A3" s="291">
        <v>2013</v>
      </c>
      <c r="B3" s="292" t="s">
        <v>101</v>
      </c>
      <c r="C3" s="296" t="s">
        <v>538</v>
      </c>
      <c r="D3" s="294" t="s">
        <v>1088</v>
      </c>
      <c r="E3" s="294" t="s">
        <v>1086</v>
      </c>
      <c r="F3" s="295" t="s">
        <v>1087</v>
      </c>
    </row>
    <row r="4" spans="1:6">
      <c r="A4" s="291">
        <v>2013</v>
      </c>
      <c r="B4" s="292" t="s">
        <v>101</v>
      </c>
      <c r="C4" s="293" t="s">
        <v>539</v>
      </c>
      <c r="D4" s="294" t="s">
        <v>1085</v>
      </c>
      <c r="E4" s="294" t="s">
        <v>1086</v>
      </c>
      <c r="F4" s="295" t="s">
        <v>1087</v>
      </c>
    </row>
    <row r="5" spans="1:6">
      <c r="A5" s="291">
        <v>2013</v>
      </c>
      <c r="B5" s="292" t="s">
        <v>101</v>
      </c>
      <c r="C5" s="297" t="s">
        <v>540</v>
      </c>
      <c r="D5" s="294" t="s">
        <v>1088</v>
      </c>
      <c r="E5" s="294" t="s">
        <v>1086</v>
      </c>
      <c r="F5" s="295" t="s">
        <v>1087</v>
      </c>
    </row>
    <row r="6" spans="1:6">
      <c r="A6" s="291">
        <v>2013</v>
      </c>
      <c r="B6" s="292" t="s">
        <v>101</v>
      </c>
      <c r="C6" s="293" t="s">
        <v>541</v>
      </c>
      <c r="D6" s="294" t="s">
        <v>1085</v>
      </c>
      <c r="E6" s="294" t="s">
        <v>1086</v>
      </c>
      <c r="F6" s="295" t="s">
        <v>1087</v>
      </c>
    </row>
    <row r="7" spans="1:6">
      <c r="A7" s="291">
        <v>2003</v>
      </c>
      <c r="B7" s="292" t="s">
        <v>101</v>
      </c>
      <c r="C7" s="293" t="s">
        <v>542</v>
      </c>
      <c r="D7" s="298" t="s">
        <v>1089</v>
      </c>
      <c r="E7" s="298" t="s">
        <v>1090</v>
      </c>
      <c r="F7" s="299" t="s">
        <v>1091</v>
      </c>
    </row>
    <row r="8" spans="1:6">
      <c r="A8" s="291">
        <v>2003</v>
      </c>
      <c r="B8" s="292" t="s">
        <v>101</v>
      </c>
      <c r="C8" s="293" t="s">
        <v>543</v>
      </c>
      <c r="D8" s="298" t="s">
        <v>1092</v>
      </c>
      <c r="E8" s="300" t="s">
        <v>1093</v>
      </c>
      <c r="F8" s="299" t="s">
        <v>1094</v>
      </c>
    </row>
    <row r="9" spans="1:6">
      <c r="A9" s="291">
        <v>2003</v>
      </c>
      <c r="B9" s="292" t="s">
        <v>100</v>
      </c>
      <c r="C9" s="293" t="s">
        <v>544</v>
      </c>
      <c r="D9" s="298" t="s">
        <v>472</v>
      </c>
      <c r="E9" s="300" t="s">
        <v>1095</v>
      </c>
      <c r="F9" s="299" t="s">
        <v>1096</v>
      </c>
    </row>
    <row r="10" spans="1:6">
      <c r="A10" s="291">
        <v>2003</v>
      </c>
      <c r="B10" s="292" t="s">
        <v>101</v>
      </c>
      <c r="C10" s="293" t="s">
        <v>545</v>
      </c>
      <c r="D10" s="298" t="s">
        <v>472</v>
      </c>
      <c r="E10" s="300" t="s">
        <v>1093</v>
      </c>
      <c r="F10" s="299" t="s">
        <v>1097</v>
      </c>
    </row>
    <row r="11" spans="1:6">
      <c r="A11" s="291">
        <v>2003</v>
      </c>
      <c r="B11" s="292" t="s">
        <v>1098</v>
      </c>
      <c r="C11" s="293" t="s">
        <v>546</v>
      </c>
      <c r="D11" s="301" t="s">
        <v>472</v>
      </c>
      <c r="E11" s="301" t="s">
        <v>1099</v>
      </c>
      <c r="F11" s="302" t="s">
        <v>472</v>
      </c>
    </row>
    <row r="12" spans="1:6">
      <c r="A12" s="291">
        <v>2003</v>
      </c>
      <c r="B12" s="292" t="s">
        <v>1100</v>
      </c>
      <c r="C12" s="293" t="s">
        <v>547</v>
      </c>
      <c r="D12" s="301" t="s">
        <v>1101</v>
      </c>
      <c r="E12" s="301" t="s">
        <v>1102</v>
      </c>
      <c r="F12" s="302" t="s">
        <v>472</v>
      </c>
    </row>
    <row r="13" spans="1:6">
      <c r="A13" s="291">
        <v>2003</v>
      </c>
      <c r="B13" s="292" t="s">
        <v>100</v>
      </c>
      <c r="C13" s="293" t="s">
        <v>548</v>
      </c>
      <c r="D13" s="301" t="s">
        <v>472</v>
      </c>
      <c r="E13" s="301" t="s">
        <v>1103</v>
      </c>
      <c r="F13" s="302" t="s">
        <v>1104</v>
      </c>
    </row>
    <row r="14" spans="1:6">
      <c r="A14" s="291">
        <v>2003</v>
      </c>
      <c r="B14" s="292" t="s">
        <v>101</v>
      </c>
      <c r="C14" s="293" t="s">
        <v>549</v>
      </c>
      <c r="D14" s="301" t="s">
        <v>1085</v>
      </c>
      <c r="E14" s="301" t="s">
        <v>1105</v>
      </c>
      <c r="F14" s="302" t="s">
        <v>1106</v>
      </c>
    </row>
    <row r="15" spans="1:6">
      <c r="A15" s="291">
        <v>2003</v>
      </c>
      <c r="B15" s="292" t="s">
        <v>101</v>
      </c>
      <c r="C15" s="293" t="s">
        <v>550</v>
      </c>
      <c r="D15" s="301" t="s">
        <v>1085</v>
      </c>
      <c r="E15" s="301" t="s">
        <v>1105</v>
      </c>
      <c r="F15" s="302" t="s">
        <v>1107</v>
      </c>
    </row>
    <row r="16" spans="1:6">
      <c r="A16" s="291">
        <v>2003</v>
      </c>
      <c r="B16" s="292" t="s">
        <v>1100</v>
      </c>
      <c r="C16" s="293" t="s">
        <v>551</v>
      </c>
      <c r="D16" s="301" t="s">
        <v>1085</v>
      </c>
      <c r="E16" s="301" t="s">
        <v>1105</v>
      </c>
      <c r="F16" s="302" t="s">
        <v>472</v>
      </c>
    </row>
    <row r="17" spans="1:6">
      <c r="A17" s="291">
        <v>2003</v>
      </c>
      <c r="B17" s="292" t="s">
        <v>101</v>
      </c>
      <c r="C17" s="293" t="s">
        <v>552</v>
      </c>
      <c r="D17" s="301" t="s">
        <v>1108</v>
      </c>
      <c r="E17" s="301" t="s">
        <v>1109</v>
      </c>
      <c r="F17" s="302" t="s">
        <v>1106</v>
      </c>
    </row>
    <row r="18" spans="1:6">
      <c r="A18" s="291">
        <v>2003</v>
      </c>
      <c r="B18" s="292" t="s">
        <v>1110</v>
      </c>
      <c r="C18" s="293" t="s">
        <v>553</v>
      </c>
      <c r="D18" s="301" t="s">
        <v>1111</v>
      </c>
      <c r="E18" s="301" t="s">
        <v>1112</v>
      </c>
      <c r="F18" s="302" t="s">
        <v>1106</v>
      </c>
    </row>
    <row r="19" spans="1:6">
      <c r="A19" s="291">
        <v>2003</v>
      </c>
      <c r="B19" s="292" t="s">
        <v>101</v>
      </c>
      <c r="C19" s="293" t="s">
        <v>554</v>
      </c>
      <c r="D19" s="301" t="s">
        <v>1085</v>
      </c>
      <c r="E19" s="301" t="s">
        <v>1105</v>
      </c>
      <c r="F19" s="302" t="s">
        <v>1106</v>
      </c>
    </row>
    <row r="20" spans="1:6">
      <c r="A20" s="303">
        <v>2003</v>
      </c>
      <c r="B20" s="304" t="s">
        <v>1100</v>
      </c>
      <c r="C20" s="305" t="s">
        <v>555</v>
      </c>
      <c r="D20" s="306" t="s">
        <v>1085</v>
      </c>
      <c r="E20" s="306" t="s">
        <v>1105</v>
      </c>
      <c r="F20" s="307" t="s">
        <v>472</v>
      </c>
    </row>
  </sheetData>
  <pageMargins left="0.7" right="0.7" top="0.75" bottom="0.75" header="0.3" footer="0.3"/>
  <headerFooter>
    <oddHeader>&amp;C&amp;"Aptos"&amp;10&amp;K0078D7 [Open]&amp;1#_x000D_</oddHead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4F5BA-AEB5-4D5C-937D-3114DC6B264A}">
  <dimension ref="A1:J39"/>
  <sheetViews>
    <sheetView workbookViewId="0">
      <selection sqref="A1:G39"/>
    </sheetView>
  </sheetViews>
  <sheetFormatPr defaultRowHeight="16.75" customHeight="1"/>
  <cols>
    <col min="1" max="1" width="8.6640625" style="37"/>
    <col min="2" max="2" width="17.4140625" style="37" customWidth="1"/>
    <col min="3" max="3" width="26.58203125" style="37" customWidth="1"/>
    <col min="4" max="4" width="8.6640625" style="37"/>
    <col min="5" max="5" width="15.33203125" style="37" customWidth="1"/>
    <col min="6" max="16384" width="8.6640625" style="37"/>
  </cols>
  <sheetData>
    <row r="1" spans="1:10" ht="16.75" customHeight="1">
      <c r="A1" s="37" t="s">
        <v>460</v>
      </c>
      <c r="B1" s="37" t="s">
        <v>370</v>
      </c>
      <c r="C1" s="37" t="s">
        <v>1045</v>
      </c>
      <c r="D1" s="37" t="s">
        <v>606</v>
      </c>
      <c r="E1" s="37" t="s">
        <v>1046</v>
      </c>
      <c r="F1" s="37" t="s">
        <v>1047</v>
      </c>
      <c r="G1" s="37" t="s">
        <v>1048</v>
      </c>
    </row>
    <row r="2" spans="1:10" ht="16.75" customHeight="1">
      <c r="A2" s="37">
        <v>1</v>
      </c>
      <c r="B2" s="37" t="s">
        <v>646</v>
      </c>
      <c r="C2" s="37" t="s">
        <v>1049</v>
      </c>
      <c r="D2" s="37">
        <v>2003</v>
      </c>
      <c r="E2" s="37" t="s">
        <v>1050</v>
      </c>
      <c r="F2" s="37">
        <v>5.1844400000000004</v>
      </c>
      <c r="G2" s="37">
        <v>104.72278</v>
      </c>
    </row>
    <row r="3" spans="1:10" ht="16.75" customHeight="1">
      <c r="A3" s="37">
        <v>2</v>
      </c>
      <c r="B3" s="37" t="s">
        <v>584</v>
      </c>
      <c r="C3" s="37" t="s">
        <v>1051</v>
      </c>
      <c r="D3" s="37">
        <v>2007</v>
      </c>
      <c r="E3" s="37" t="s">
        <v>1052</v>
      </c>
      <c r="F3" s="37">
        <v>5.1844400000000004</v>
      </c>
      <c r="G3" s="37">
        <v>104.72278</v>
      </c>
    </row>
    <row r="4" spans="1:10" ht="16.75" customHeight="1">
      <c r="A4" s="37">
        <v>3</v>
      </c>
      <c r="B4" s="37" t="s">
        <v>584</v>
      </c>
      <c r="C4" s="37" t="s">
        <v>1053</v>
      </c>
      <c r="D4" s="37">
        <v>2011</v>
      </c>
      <c r="E4" s="37" t="s">
        <v>1054</v>
      </c>
      <c r="F4" s="37">
        <v>5.1844400000000004</v>
      </c>
      <c r="G4" s="37">
        <v>104.72278</v>
      </c>
    </row>
    <row r="5" spans="1:10" ht="16.75" customHeight="1">
      <c r="A5" s="37">
        <v>4</v>
      </c>
      <c r="B5" s="37" t="s">
        <v>584</v>
      </c>
      <c r="C5" s="37" t="s">
        <v>1049</v>
      </c>
      <c r="D5" s="37">
        <v>2013</v>
      </c>
      <c r="E5" s="37" t="s">
        <v>1050</v>
      </c>
      <c r="F5" s="37">
        <v>5.1844400000000004</v>
      </c>
      <c r="G5" s="37">
        <v>104.72278</v>
      </c>
    </row>
    <row r="6" spans="1:10" ht="16.75" customHeight="1">
      <c r="A6" s="37">
        <v>5</v>
      </c>
      <c r="B6" s="37" t="s">
        <v>646</v>
      </c>
      <c r="C6" s="37" t="s">
        <v>1055</v>
      </c>
      <c r="D6" s="37">
        <v>2014</v>
      </c>
      <c r="E6" s="37" t="s">
        <v>1054</v>
      </c>
      <c r="F6" s="37">
        <v>5.1844400000000004</v>
      </c>
      <c r="G6" s="37">
        <v>104.72278</v>
      </c>
    </row>
    <row r="7" spans="1:10" ht="16.75" customHeight="1">
      <c r="A7" s="37">
        <v>6</v>
      </c>
      <c r="B7" s="37" t="s">
        <v>646</v>
      </c>
      <c r="C7" s="37" t="s">
        <v>1049</v>
      </c>
      <c r="D7" s="37">
        <v>2018</v>
      </c>
      <c r="E7" s="37" t="s">
        <v>1056</v>
      </c>
      <c r="F7" s="37">
        <v>5.1844400000000004</v>
      </c>
      <c r="G7" s="37">
        <v>104.72278</v>
      </c>
    </row>
    <row r="8" spans="1:10" ht="16.75" customHeight="1">
      <c r="A8" s="37">
        <v>7</v>
      </c>
      <c r="B8" s="37" t="s">
        <v>646</v>
      </c>
      <c r="C8" s="37" t="s">
        <v>1057</v>
      </c>
      <c r="D8" s="37">
        <v>2025</v>
      </c>
      <c r="E8" s="37" t="s">
        <v>1058</v>
      </c>
      <c r="F8" s="37">
        <v>5.1844400000000004</v>
      </c>
      <c r="G8" s="37">
        <v>104.72278</v>
      </c>
    </row>
    <row r="9" spans="1:10" ht="16.75" customHeight="1">
      <c r="A9" s="37">
        <v>8</v>
      </c>
      <c r="B9" s="37" t="s">
        <v>696</v>
      </c>
      <c r="C9" s="37" t="s">
        <v>1059</v>
      </c>
      <c r="D9" s="37">
        <v>2005</v>
      </c>
      <c r="E9" s="37" t="s">
        <v>1060</v>
      </c>
      <c r="F9" s="37">
        <v>5.8436399999999997</v>
      </c>
      <c r="G9" s="37">
        <v>104.136</v>
      </c>
    </row>
    <row r="10" spans="1:10" ht="16.75" customHeight="1">
      <c r="A10" s="37">
        <v>9</v>
      </c>
      <c r="B10" s="37" t="s">
        <v>696</v>
      </c>
      <c r="C10" s="37" t="s">
        <v>1059</v>
      </c>
      <c r="D10" s="37">
        <v>2014</v>
      </c>
      <c r="E10" s="37" t="s">
        <v>1050</v>
      </c>
      <c r="F10" s="37">
        <v>5.8436399999999997</v>
      </c>
      <c r="G10" s="37">
        <v>104.136</v>
      </c>
    </row>
    <row r="11" spans="1:10" ht="16.75" customHeight="1">
      <c r="A11" s="37">
        <v>10</v>
      </c>
      <c r="B11" s="37" t="s">
        <v>688</v>
      </c>
      <c r="C11" s="37" t="s">
        <v>1061</v>
      </c>
      <c r="D11" s="37">
        <v>2004</v>
      </c>
      <c r="E11" s="37" t="s">
        <v>1060</v>
      </c>
      <c r="F11" s="37">
        <v>5.8436399999999997</v>
      </c>
      <c r="G11" s="37">
        <v>104.136</v>
      </c>
    </row>
    <row r="12" spans="1:10" ht="16.75" customHeight="1">
      <c r="A12" s="37">
        <v>11</v>
      </c>
      <c r="B12" s="37" t="s">
        <v>688</v>
      </c>
      <c r="C12" s="37" t="s">
        <v>1062</v>
      </c>
      <c r="D12" s="37">
        <v>2005</v>
      </c>
      <c r="E12" s="37" t="s">
        <v>1056</v>
      </c>
      <c r="F12" s="37">
        <v>5.8436399999999997</v>
      </c>
      <c r="G12" s="37">
        <v>104.136</v>
      </c>
    </row>
    <row r="13" spans="1:10" ht="16.75" customHeight="1">
      <c r="A13" s="37">
        <v>12</v>
      </c>
      <c r="B13" s="37" t="s">
        <v>688</v>
      </c>
      <c r="C13" s="37" t="s">
        <v>1063</v>
      </c>
      <c r="D13" s="37">
        <v>2014</v>
      </c>
      <c r="E13" s="37" t="s">
        <v>1060</v>
      </c>
      <c r="F13" s="37">
        <v>5.8436399999999997</v>
      </c>
      <c r="G13" s="37">
        <v>104.136</v>
      </c>
    </row>
    <row r="14" spans="1:10" ht="16.75" customHeight="1">
      <c r="A14" s="37">
        <v>13</v>
      </c>
      <c r="B14" s="37" t="s">
        <v>696</v>
      </c>
      <c r="C14" s="37" t="s">
        <v>1064</v>
      </c>
      <c r="D14" s="37">
        <v>2017</v>
      </c>
      <c r="E14" s="37" t="s">
        <v>1060</v>
      </c>
      <c r="F14" s="37">
        <v>5.8436399999999997</v>
      </c>
      <c r="G14" s="37">
        <v>104.136</v>
      </c>
      <c r="J14" s="285"/>
    </row>
    <row r="15" spans="1:10" ht="16.75" customHeight="1">
      <c r="A15" s="37">
        <v>14</v>
      </c>
      <c r="B15" s="37" t="s">
        <v>696</v>
      </c>
      <c r="C15" s="37" t="s">
        <v>1065</v>
      </c>
      <c r="D15" s="37">
        <v>2024</v>
      </c>
      <c r="E15" s="37" t="s">
        <v>1060</v>
      </c>
      <c r="F15" s="37">
        <v>5.8436399999999997</v>
      </c>
      <c r="G15" s="37">
        <v>104.136</v>
      </c>
      <c r="J15" s="285"/>
    </row>
    <row r="16" spans="1:10" ht="16.75" customHeight="1">
      <c r="A16" s="37">
        <v>15</v>
      </c>
      <c r="B16" s="37" t="s">
        <v>1066</v>
      </c>
      <c r="C16" s="37" t="s">
        <v>1062</v>
      </c>
      <c r="D16" s="37">
        <v>2014</v>
      </c>
      <c r="E16" s="37" t="s">
        <v>1050</v>
      </c>
      <c r="F16" s="37">
        <v>4.7394999999999996</v>
      </c>
      <c r="G16" s="37">
        <v>113.7406</v>
      </c>
      <c r="J16" s="285"/>
    </row>
    <row r="17" spans="1:7" ht="16.75" customHeight="1">
      <c r="A17" s="37">
        <v>16</v>
      </c>
      <c r="B17" s="37" t="s">
        <v>1066</v>
      </c>
      <c r="C17" s="37" t="s">
        <v>1067</v>
      </c>
      <c r="D17" s="37">
        <v>2015</v>
      </c>
      <c r="E17" s="37" t="s">
        <v>1050</v>
      </c>
      <c r="F17" s="37">
        <v>4.7394999999999996</v>
      </c>
      <c r="G17" s="37">
        <v>113.7406</v>
      </c>
    </row>
    <row r="18" spans="1:7" ht="16.75" customHeight="1">
      <c r="A18" s="37">
        <v>17</v>
      </c>
      <c r="B18" s="37" t="s">
        <v>1068</v>
      </c>
      <c r="C18" s="37" t="s">
        <v>1069</v>
      </c>
      <c r="D18" s="37">
        <v>2010</v>
      </c>
      <c r="E18" s="37" t="s">
        <v>1070</v>
      </c>
      <c r="F18" s="37">
        <v>4.7394999999999996</v>
      </c>
      <c r="G18" s="37">
        <v>113.7406</v>
      </c>
    </row>
    <row r="19" spans="1:7" ht="16.75" customHeight="1">
      <c r="A19" s="37">
        <v>18</v>
      </c>
      <c r="B19" s="37" t="s">
        <v>1068</v>
      </c>
      <c r="C19" s="37" t="s">
        <v>1067</v>
      </c>
      <c r="D19" s="37">
        <v>2013</v>
      </c>
      <c r="E19" s="37" t="s">
        <v>1060</v>
      </c>
      <c r="F19" s="37">
        <v>4.7394999999999996</v>
      </c>
      <c r="G19" s="37">
        <v>113.7406</v>
      </c>
    </row>
    <row r="20" spans="1:7" ht="16.75" customHeight="1">
      <c r="A20" s="37">
        <v>19</v>
      </c>
      <c r="B20" s="37" t="s">
        <v>1068</v>
      </c>
      <c r="C20" s="37" t="s">
        <v>1063</v>
      </c>
      <c r="D20" s="37">
        <v>2018</v>
      </c>
      <c r="E20" s="37" t="s">
        <v>1050</v>
      </c>
      <c r="F20" s="37">
        <v>4.7394999999999996</v>
      </c>
      <c r="G20" s="37">
        <v>113.7406</v>
      </c>
    </row>
    <row r="21" spans="1:7" ht="16.75" customHeight="1">
      <c r="A21" s="37">
        <v>20</v>
      </c>
      <c r="B21" s="37" t="s">
        <v>1071</v>
      </c>
      <c r="C21" s="37" t="s">
        <v>1067</v>
      </c>
      <c r="D21" s="37">
        <v>2013</v>
      </c>
      <c r="E21" s="37" t="s">
        <v>1060</v>
      </c>
      <c r="F21" s="37" t="s">
        <v>1072</v>
      </c>
      <c r="G21" s="37">
        <v>113.64317</v>
      </c>
    </row>
    <row r="22" spans="1:7" ht="16.75" customHeight="1">
      <c r="A22" s="37">
        <v>21</v>
      </c>
      <c r="B22" s="37" t="s">
        <v>1073</v>
      </c>
      <c r="C22" s="37" t="s">
        <v>1061</v>
      </c>
      <c r="D22" s="37">
        <v>1998</v>
      </c>
      <c r="E22" s="37" t="s">
        <v>1060</v>
      </c>
      <c r="F22" s="37">
        <v>4.55</v>
      </c>
      <c r="G22" s="37">
        <v>113.624</v>
      </c>
    </row>
    <row r="23" spans="1:7" ht="16.75" customHeight="1">
      <c r="A23" s="37">
        <v>22</v>
      </c>
      <c r="B23" s="37" t="s">
        <v>1073</v>
      </c>
      <c r="C23" s="37" t="s">
        <v>1061</v>
      </c>
      <c r="D23" s="37">
        <v>2000</v>
      </c>
      <c r="E23" s="37" t="s">
        <v>1050</v>
      </c>
      <c r="F23" s="37">
        <v>4.55</v>
      </c>
      <c r="G23" s="37">
        <v>113.624</v>
      </c>
    </row>
    <row r="24" spans="1:7" ht="16.75" customHeight="1">
      <c r="A24" s="37">
        <v>23</v>
      </c>
      <c r="B24" s="37" t="s">
        <v>1073</v>
      </c>
      <c r="C24" s="37" t="s">
        <v>1067</v>
      </c>
      <c r="D24" s="37">
        <v>2012</v>
      </c>
      <c r="E24" s="37" t="s">
        <v>1050</v>
      </c>
      <c r="F24" s="37">
        <v>4.55</v>
      </c>
      <c r="G24" s="37">
        <v>113.624</v>
      </c>
    </row>
    <row r="25" spans="1:7" ht="16.75" customHeight="1">
      <c r="A25" s="37">
        <v>24</v>
      </c>
      <c r="B25" s="37" t="s">
        <v>1073</v>
      </c>
      <c r="C25" s="37" t="s">
        <v>1062</v>
      </c>
      <c r="D25" s="37">
        <v>2015</v>
      </c>
      <c r="E25" s="37" t="s">
        <v>1060</v>
      </c>
      <c r="F25" s="37">
        <v>4.55</v>
      </c>
      <c r="G25" s="37">
        <v>113.624</v>
      </c>
    </row>
    <row r="26" spans="1:7" ht="16.75" customHeight="1">
      <c r="A26" s="37">
        <v>25</v>
      </c>
      <c r="B26" s="37" t="s">
        <v>774</v>
      </c>
      <c r="C26" s="37" t="s">
        <v>1067</v>
      </c>
      <c r="D26" s="37">
        <v>2014</v>
      </c>
      <c r="E26" s="37" t="s">
        <v>1060</v>
      </c>
      <c r="F26" s="37">
        <v>5.6429999999999998</v>
      </c>
      <c r="G26" s="37">
        <v>105.044</v>
      </c>
    </row>
    <row r="27" spans="1:7" ht="16.75" customHeight="1">
      <c r="A27" s="37">
        <v>26</v>
      </c>
      <c r="B27" s="37" t="s">
        <v>774</v>
      </c>
      <c r="C27" s="37" t="s">
        <v>1062</v>
      </c>
      <c r="D27" s="37">
        <v>2014</v>
      </c>
      <c r="E27" s="37" t="s">
        <v>1060</v>
      </c>
      <c r="F27" s="37">
        <v>5.6429999999999998</v>
      </c>
      <c r="G27" s="37">
        <v>105.044</v>
      </c>
    </row>
    <row r="28" spans="1:7" ht="16.75" customHeight="1">
      <c r="A28" s="37">
        <v>27</v>
      </c>
      <c r="B28" s="37" t="s">
        <v>1074</v>
      </c>
      <c r="C28" s="37" t="s">
        <v>1075</v>
      </c>
      <c r="D28" s="37">
        <v>2012</v>
      </c>
      <c r="E28" s="37" t="s">
        <v>1060</v>
      </c>
      <c r="F28" s="37">
        <v>5.6180000000000003</v>
      </c>
      <c r="G28" s="37">
        <v>114.89</v>
      </c>
    </row>
    <row r="29" spans="1:7" ht="16.75" customHeight="1">
      <c r="A29" s="37">
        <v>28</v>
      </c>
      <c r="B29" s="37" t="s">
        <v>1074</v>
      </c>
      <c r="C29" s="37" t="s">
        <v>1062</v>
      </c>
      <c r="D29" s="37">
        <v>2014</v>
      </c>
      <c r="E29" s="37" t="s">
        <v>1060</v>
      </c>
      <c r="F29" s="37">
        <v>5.6180000000000003</v>
      </c>
      <c r="G29" s="37">
        <v>114.89</v>
      </c>
    </row>
    <row r="30" spans="1:7" ht="16.75" customHeight="1">
      <c r="A30" s="37">
        <v>29</v>
      </c>
      <c r="B30" s="37" t="s">
        <v>1076</v>
      </c>
      <c r="C30" s="37" t="s">
        <v>1049</v>
      </c>
      <c r="D30" s="37">
        <v>2016</v>
      </c>
      <c r="E30" s="37" t="s">
        <v>1060</v>
      </c>
      <c r="F30" s="37">
        <v>6.7805499999999999</v>
      </c>
      <c r="G30" s="37">
        <v>116.20833</v>
      </c>
    </row>
    <row r="31" spans="1:7" ht="16.75" customHeight="1">
      <c r="A31" s="37">
        <v>30</v>
      </c>
      <c r="B31" s="37" t="s">
        <v>1077</v>
      </c>
      <c r="C31" s="37" t="s">
        <v>1049</v>
      </c>
      <c r="D31" s="37">
        <v>2016</v>
      </c>
      <c r="E31" s="37" t="s">
        <v>1060</v>
      </c>
      <c r="F31" s="37">
        <v>6.8333300000000001</v>
      </c>
      <c r="G31" s="37">
        <v>116.33333</v>
      </c>
    </row>
    <row r="32" spans="1:7" ht="16.75" customHeight="1">
      <c r="A32" s="37">
        <v>31</v>
      </c>
      <c r="B32" s="37" t="s">
        <v>1076</v>
      </c>
      <c r="C32" s="37" t="s">
        <v>1049</v>
      </c>
      <c r="D32" s="37">
        <v>2017</v>
      </c>
      <c r="E32" s="37" t="s">
        <v>1060</v>
      </c>
      <c r="F32" s="37">
        <v>6.7805499999999999</v>
      </c>
      <c r="G32" s="37">
        <v>116.20833</v>
      </c>
    </row>
    <row r="33" spans="1:7" ht="16.75" customHeight="1">
      <c r="A33" s="37">
        <v>32</v>
      </c>
      <c r="B33" s="37" t="s">
        <v>1078</v>
      </c>
      <c r="C33" s="37" t="s">
        <v>1049</v>
      </c>
      <c r="D33" s="37">
        <v>2014</v>
      </c>
      <c r="E33" s="37" t="s">
        <v>1050</v>
      </c>
      <c r="F33" s="37">
        <v>6.6333299999999999</v>
      </c>
      <c r="G33" s="37">
        <v>116.1375</v>
      </c>
    </row>
    <row r="34" spans="1:7" ht="16.75" customHeight="1">
      <c r="A34" s="37">
        <v>33</v>
      </c>
      <c r="B34" s="37" t="s">
        <v>1079</v>
      </c>
      <c r="C34" s="37" t="s">
        <v>1069</v>
      </c>
      <c r="D34" s="37">
        <v>2012</v>
      </c>
      <c r="E34" s="37" t="s">
        <v>1060</v>
      </c>
      <c r="F34" s="37">
        <v>5.3780000000000001</v>
      </c>
      <c r="G34" s="37">
        <v>111.867</v>
      </c>
    </row>
    <row r="35" spans="1:7" ht="16.75" customHeight="1">
      <c r="A35" s="37">
        <v>34</v>
      </c>
      <c r="B35" s="37" t="s">
        <v>1079</v>
      </c>
      <c r="C35" s="37" t="s">
        <v>1065</v>
      </c>
      <c r="D35" s="37">
        <v>2025</v>
      </c>
      <c r="E35" s="37" t="s">
        <v>1060</v>
      </c>
      <c r="F35" s="37">
        <v>5.3780000000000001</v>
      </c>
      <c r="G35" s="37">
        <v>111.867</v>
      </c>
    </row>
    <row r="36" spans="1:7" ht="16.75" customHeight="1">
      <c r="A36" s="37">
        <v>35</v>
      </c>
      <c r="B36" s="37" t="s">
        <v>730</v>
      </c>
      <c r="C36" s="37" t="s">
        <v>1067</v>
      </c>
      <c r="D36" s="37">
        <v>2014</v>
      </c>
      <c r="E36" s="37" t="s">
        <v>1060</v>
      </c>
      <c r="F36" s="37">
        <v>5.5083000000000002</v>
      </c>
      <c r="G36" s="37">
        <v>104.9893</v>
      </c>
    </row>
    <row r="37" spans="1:7" ht="16.75" customHeight="1">
      <c r="A37" s="37">
        <v>36</v>
      </c>
      <c r="B37" s="37" t="s">
        <v>730</v>
      </c>
      <c r="C37" s="37" t="s">
        <v>1062</v>
      </c>
      <c r="D37" s="37">
        <v>2014</v>
      </c>
      <c r="E37" s="37" t="s">
        <v>1060</v>
      </c>
      <c r="F37" s="37">
        <v>5.5083000000000002</v>
      </c>
      <c r="G37" s="37">
        <v>104.9893</v>
      </c>
    </row>
    <row r="38" spans="1:7" ht="16.75" customHeight="1">
      <c r="A38" s="37">
        <v>37</v>
      </c>
      <c r="B38" s="37" t="s">
        <v>1080</v>
      </c>
      <c r="C38" s="37" t="s">
        <v>1067</v>
      </c>
      <c r="D38" s="37">
        <v>2014</v>
      </c>
      <c r="E38" s="37" t="s">
        <v>1060</v>
      </c>
      <c r="F38" s="37">
        <v>4.4824999999999999</v>
      </c>
      <c r="G38" s="37">
        <v>113.9961</v>
      </c>
    </row>
    <row r="39" spans="1:7" ht="16.75" customHeight="1">
      <c r="A39" s="37">
        <v>38</v>
      </c>
      <c r="B39" s="37" t="s">
        <v>1080</v>
      </c>
      <c r="C39" s="37" t="s">
        <v>1062</v>
      </c>
      <c r="D39" s="37">
        <v>2014</v>
      </c>
      <c r="E39" s="37" t="s">
        <v>1060</v>
      </c>
      <c r="F39" s="37">
        <v>4.4824999999999999</v>
      </c>
      <c r="G39" s="37">
        <v>113.9961</v>
      </c>
    </row>
  </sheetData>
  <autoFilter ref="A1:G39" xr:uid="{126AF6FC-887F-414C-8276-6AC57CA4478D}"/>
  <pageMargins left="0.7" right="0.7" top="0.75" bottom="0.75" header="0.3" footer="0.3"/>
  <headerFooter>
    <oddHeader>&amp;C&amp;"Aptos"&amp;10&amp;K0078D7 [Open]&amp;1#_x000D_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D734B-AB21-4350-93FD-694091B303B6}">
  <dimension ref="A1:F33"/>
  <sheetViews>
    <sheetView workbookViewId="0">
      <selection sqref="A1:F33"/>
    </sheetView>
  </sheetViews>
  <sheetFormatPr defaultRowHeight="14"/>
  <cols>
    <col min="1" max="1" width="11.1640625" style="37" customWidth="1"/>
    <col min="2" max="3" width="8.6640625" style="37"/>
    <col min="4" max="4" width="10.83203125" style="37" customWidth="1"/>
    <col min="5" max="5" width="8.6640625" style="37"/>
    <col min="6" max="6" width="15" style="37" customWidth="1"/>
    <col min="7" max="16384" width="8.6640625" style="37"/>
  </cols>
  <sheetData>
    <row r="1" spans="1:6" ht="14.5">
      <c r="A1" s="116" t="s">
        <v>605</v>
      </c>
      <c r="B1" s="116" t="s">
        <v>606</v>
      </c>
      <c r="C1" s="116" t="s">
        <v>370</v>
      </c>
      <c r="D1" s="116" t="s">
        <v>607</v>
      </c>
      <c r="E1" s="116" t="s">
        <v>608</v>
      </c>
      <c r="F1" s="116" t="s">
        <v>609</v>
      </c>
    </row>
    <row r="2" spans="1:6" ht="14.5">
      <c r="A2" s="117">
        <v>1</v>
      </c>
      <c r="B2" s="117">
        <v>2003</v>
      </c>
      <c r="C2" s="116" t="s">
        <v>584</v>
      </c>
      <c r="D2" s="116" t="s">
        <v>610</v>
      </c>
      <c r="E2" s="117">
        <v>-1</v>
      </c>
      <c r="F2" s="116">
        <v>1</v>
      </c>
    </row>
    <row r="3" spans="1:6" ht="14.5">
      <c r="A3" s="117">
        <v>1</v>
      </c>
      <c r="B3" s="117">
        <v>2003</v>
      </c>
      <c r="C3" s="116" t="s">
        <v>584</v>
      </c>
      <c r="D3" s="116" t="s">
        <v>610</v>
      </c>
      <c r="E3" s="117">
        <v>0</v>
      </c>
      <c r="F3" s="116">
        <v>0.19</v>
      </c>
    </row>
    <row r="4" spans="1:6" ht="14.5">
      <c r="A4" s="117">
        <v>1</v>
      </c>
      <c r="B4" s="117">
        <v>2003</v>
      </c>
      <c r="C4" s="116" t="s">
        <v>584</v>
      </c>
      <c r="D4" s="116" t="s">
        <v>610</v>
      </c>
      <c r="E4" s="117">
        <v>1</v>
      </c>
      <c r="F4" s="116">
        <v>0.19</v>
      </c>
    </row>
    <row r="5" spans="1:6" ht="14.5">
      <c r="A5" s="117">
        <v>1</v>
      </c>
      <c r="B5" s="117">
        <v>2003</v>
      </c>
      <c r="C5" s="116" t="s">
        <v>584</v>
      </c>
      <c r="D5" s="116" t="s">
        <v>610</v>
      </c>
      <c r="E5" s="117">
        <v>5</v>
      </c>
      <c r="F5" s="116">
        <v>0.18</v>
      </c>
    </row>
    <row r="6" spans="1:6" ht="14.5">
      <c r="A6" s="117">
        <v>1</v>
      </c>
      <c r="B6" s="117">
        <v>2003</v>
      </c>
      <c r="C6" s="116" t="s">
        <v>584</v>
      </c>
      <c r="D6" s="116" t="s">
        <v>610</v>
      </c>
      <c r="E6" s="117">
        <v>8</v>
      </c>
      <c r="F6" s="116">
        <v>0.17</v>
      </c>
    </row>
    <row r="7" spans="1:6" ht="14.5">
      <c r="A7" s="117">
        <v>1</v>
      </c>
      <c r="B7" s="117">
        <v>2003</v>
      </c>
      <c r="C7" s="116" t="s">
        <v>584</v>
      </c>
      <c r="D7" s="116" t="s">
        <v>610</v>
      </c>
      <c r="E7" s="117">
        <v>11</v>
      </c>
      <c r="F7" s="116">
        <v>0.16</v>
      </c>
    </row>
    <row r="8" spans="1:6" ht="14.5">
      <c r="A8" s="117">
        <v>1</v>
      </c>
      <c r="B8" s="117">
        <v>2003</v>
      </c>
      <c r="C8" s="116" t="s">
        <v>584</v>
      </c>
      <c r="D8" s="116" t="s">
        <v>610</v>
      </c>
      <c r="E8" s="117">
        <v>19</v>
      </c>
      <c r="F8" s="116">
        <v>0.15</v>
      </c>
    </row>
    <row r="9" spans="1:6" ht="14.5">
      <c r="A9" s="117">
        <v>2</v>
      </c>
      <c r="B9" s="117">
        <v>2003</v>
      </c>
      <c r="C9" s="116" t="s">
        <v>584</v>
      </c>
      <c r="D9" s="116" t="s">
        <v>611</v>
      </c>
      <c r="E9" s="117">
        <v>-1</v>
      </c>
      <c r="F9" s="116">
        <v>1</v>
      </c>
    </row>
    <row r="10" spans="1:6" ht="14.5">
      <c r="A10" s="117">
        <v>2</v>
      </c>
      <c r="B10" s="117">
        <v>2003</v>
      </c>
      <c r="C10" s="116" t="s">
        <v>584</v>
      </c>
      <c r="D10" s="116" t="s">
        <v>611</v>
      </c>
      <c r="E10" s="117">
        <v>0</v>
      </c>
      <c r="F10" s="116">
        <v>0.9</v>
      </c>
    </row>
    <row r="11" spans="1:6" ht="14.5">
      <c r="A11" s="117">
        <v>2</v>
      </c>
      <c r="B11" s="117">
        <v>2003</v>
      </c>
      <c r="C11" s="116" t="s">
        <v>584</v>
      </c>
      <c r="D11" s="116" t="s">
        <v>611</v>
      </c>
      <c r="E11" s="117">
        <v>1</v>
      </c>
      <c r="F11" s="116">
        <v>0.8</v>
      </c>
    </row>
    <row r="12" spans="1:6" ht="14.5">
      <c r="A12" s="117">
        <v>2</v>
      </c>
      <c r="B12" s="117">
        <v>2003</v>
      </c>
      <c r="C12" s="116" t="s">
        <v>584</v>
      </c>
      <c r="D12" s="116" t="s">
        <v>611</v>
      </c>
      <c r="E12" s="117">
        <v>5</v>
      </c>
      <c r="F12" s="116">
        <v>0.57999999999999996</v>
      </c>
    </row>
    <row r="13" spans="1:6" ht="14.5">
      <c r="A13" s="117">
        <v>2</v>
      </c>
      <c r="B13" s="117">
        <v>2003</v>
      </c>
      <c r="C13" s="116" t="s">
        <v>584</v>
      </c>
      <c r="D13" s="116" t="s">
        <v>611</v>
      </c>
      <c r="E13" s="117">
        <v>8</v>
      </c>
      <c r="F13" s="116">
        <v>0.38</v>
      </c>
    </row>
    <row r="14" spans="1:6" ht="14.5">
      <c r="A14" s="117">
        <v>2</v>
      </c>
      <c r="B14" s="117">
        <v>2003</v>
      </c>
      <c r="C14" s="116" t="s">
        <v>584</v>
      </c>
      <c r="D14" s="116" t="s">
        <v>611</v>
      </c>
      <c r="E14" s="117">
        <v>11</v>
      </c>
      <c r="F14" s="116">
        <v>0.2</v>
      </c>
    </row>
    <row r="15" spans="1:6" ht="14.5">
      <c r="A15" s="117">
        <v>2</v>
      </c>
      <c r="B15" s="117">
        <v>2003</v>
      </c>
      <c r="C15" s="116" t="s">
        <v>584</v>
      </c>
      <c r="D15" s="116" t="s">
        <v>611</v>
      </c>
      <c r="E15" s="117">
        <v>19</v>
      </c>
      <c r="F15" s="116">
        <v>0.1</v>
      </c>
    </row>
    <row r="16" spans="1:6" ht="14.5">
      <c r="A16" s="117">
        <v>3</v>
      </c>
      <c r="B16" s="117">
        <v>2003</v>
      </c>
      <c r="C16" s="116" t="s">
        <v>584</v>
      </c>
      <c r="D16" s="116" t="s">
        <v>612</v>
      </c>
      <c r="E16" s="117">
        <v>-1</v>
      </c>
      <c r="F16" s="116">
        <v>1</v>
      </c>
    </row>
    <row r="17" spans="1:6" ht="14.5">
      <c r="A17" s="117">
        <v>3</v>
      </c>
      <c r="B17" s="117">
        <v>2003</v>
      </c>
      <c r="C17" s="116" t="s">
        <v>584</v>
      </c>
      <c r="D17" s="116" t="s">
        <v>612</v>
      </c>
      <c r="E17" s="117">
        <v>0</v>
      </c>
      <c r="F17" s="116">
        <v>0.1</v>
      </c>
    </row>
    <row r="18" spans="1:6" ht="14.5">
      <c r="A18" s="117">
        <v>3</v>
      </c>
      <c r="B18" s="117">
        <v>2003</v>
      </c>
      <c r="C18" s="116" t="s">
        <v>584</v>
      </c>
      <c r="D18" s="116" t="s">
        <v>612</v>
      </c>
      <c r="E18" s="117">
        <v>1</v>
      </c>
      <c r="F18" s="116">
        <v>0.3</v>
      </c>
    </row>
    <row r="19" spans="1:6" ht="14.5">
      <c r="A19" s="117">
        <v>3</v>
      </c>
      <c r="B19" s="117">
        <v>2003</v>
      </c>
      <c r="C19" s="116" t="s">
        <v>584</v>
      </c>
      <c r="D19" s="116" t="s">
        <v>612</v>
      </c>
      <c r="E19" s="117">
        <v>5</v>
      </c>
      <c r="F19" s="116">
        <v>0.28999999999999998</v>
      </c>
    </row>
    <row r="20" spans="1:6" ht="14.5">
      <c r="A20" s="117">
        <v>3</v>
      </c>
      <c r="B20" s="117">
        <v>2003</v>
      </c>
      <c r="C20" s="116" t="s">
        <v>584</v>
      </c>
      <c r="D20" s="116" t="s">
        <v>612</v>
      </c>
      <c r="E20" s="117">
        <v>8</v>
      </c>
      <c r="F20" s="116">
        <v>0.28000000000000003</v>
      </c>
    </row>
    <row r="21" spans="1:6" ht="14.5">
      <c r="A21" s="117">
        <v>3</v>
      </c>
      <c r="B21" s="117">
        <v>2003</v>
      </c>
      <c r="C21" s="116" t="s">
        <v>584</v>
      </c>
      <c r="D21" s="116" t="s">
        <v>612</v>
      </c>
      <c r="E21" s="117">
        <v>11</v>
      </c>
      <c r="F21" s="116">
        <v>0.27</v>
      </c>
    </row>
    <row r="22" spans="1:6" ht="14.5">
      <c r="A22" s="117">
        <v>4</v>
      </c>
      <c r="B22" s="117">
        <v>2003</v>
      </c>
      <c r="C22" s="116" t="s">
        <v>584</v>
      </c>
      <c r="D22" s="116" t="s">
        <v>613</v>
      </c>
      <c r="E22" s="117">
        <v>-1</v>
      </c>
      <c r="F22" s="116">
        <v>1</v>
      </c>
    </row>
    <row r="23" spans="1:6" ht="14.5">
      <c r="A23" s="117">
        <v>4</v>
      </c>
      <c r="B23" s="117">
        <v>2003</v>
      </c>
      <c r="C23" s="116" t="s">
        <v>584</v>
      </c>
      <c r="D23" s="116" t="s">
        <v>613</v>
      </c>
      <c r="E23" s="117">
        <v>0</v>
      </c>
      <c r="F23" s="116">
        <v>1</v>
      </c>
    </row>
    <row r="24" spans="1:6" ht="14.5">
      <c r="A24" s="117">
        <v>4</v>
      </c>
      <c r="B24" s="117">
        <v>2003</v>
      </c>
      <c r="C24" s="116" t="s">
        <v>584</v>
      </c>
      <c r="D24" s="116" t="s">
        <v>613</v>
      </c>
      <c r="E24" s="117">
        <v>1</v>
      </c>
      <c r="F24" s="116">
        <v>1.1000000000000001</v>
      </c>
    </row>
    <row r="25" spans="1:6" ht="14.5">
      <c r="A25" s="117">
        <v>4</v>
      </c>
      <c r="B25" s="117">
        <v>2003</v>
      </c>
      <c r="C25" s="116" t="s">
        <v>584</v>
      </c>
      <c r="D25" s="116" t="s">
        <v>613</v>
      </c>
      <c r="E25" s="117">
        <v>5</v>
      </c>
      <c r="F25" s="116">
        <v>1</v>
      </c>
    </row>
    <row r="26" spans="1:6" ht="14.5">
      <c r="A26" s="117">
        <v>4</v>
      </c>
      <c r="B26" s="117">
        <v>2003</v>
      </c>
      <c r="C26" s="116" t="s">
        <v>584</v>
      </c>
      <c r="D26" s="116" t="s">
        <v>613</v>
      </c>
      <c r="E26" s="117">
        <v>8</v>
      </c>
      <c r="F26" s="116">
        <v>0.98</v>
      </c>
    </row>
    <row r="27" spans="1:6" ht="14.5">
      <c r="A27" s="117">
        <v>4</v>
      </c>
      <c r="B27" s="117">
        <v>2003</v>
      </c>
      <c r="C27" s="116" t="s">
        <v>584</v>
      </c>
      <c r="D27" s="116" t="s">
        <v>613</v>
      </c>
      <c r="E27" s="117">
        <v>11</v>
      </c>
      <c r="F27" s="116">
        <v>0.8</v>
      </c>
    </row>
    <row r="28" spans="1:6" ht="14.5">
      <c r="A28" s="117">
        <v>5</v>
      </c>
      <c r="B28" s="117">
        <v>2013</v>
      </c>
      <c r="C28" s="116" t="s">
        <v>584</v>
      </c>
      <c r="D28" s="116" t="s">
        <v>614</v>
      </c>
      <c r="E28" s="117">
        <v>-1</v>
      </c>
      <c r="F28" s="116">
        <v>0.8</v>
      </c>
    </row>
    <row r="29" spans="1:6" ht="14.5">
      <c r="A29" s="117">
        <v>5</v>
      </c>
      <c r="B29" s="117">
        <v>2013</v>
      </c>
      <c r="C29" s="116" t="s">
        <v>584</v>
      </c>
      <c r="D29" s="116" t="s">
        <v>614</v>
      </c>
      <c r="E29" s="117">
        <v>14</v>
      </c>
      <c r="F29" s="116">
        <v>0.8</v>
      </c>
    </row>
    <row r="30" spans="1:6" ht="14.5">
      <c r="A30" s="117">
        <v>6</v>
      </c>
      <c r="B30" s="117">
        <v>2013</v>
      </c>
      <c r="C30" s="116" t="s">
        <v>584</v>
      </c>
      <c r="D30" s="116" t="s">
        <v>615</v>
      </c>
      <c r="E30" s="117">
        <v>-1</v>
      </c>
      <c r="F30" s="116">
        <v>0.83</v>
      </c>
    </row>
    <row r="31" spans="1:6" ht="14.5">
      <c r="A31" s="117">
        <v>6</v>
      </c>
      <c r="B31" s="117">
        <v>2013</v>
      </c>
      <c r="C31" s="116" t="s">
        <v>584</v>
      </c>
      <c r="D31" s="116" t="s">
        <v>615</v>
      </c>
      <c r="E31" s="117">
        <v>14</v>
      </c>
      <c r="F31" s="116">
        <v>0.83</v>
      </c>
    </row>
    <row r="32" spans="1:6" ht="14.5">
      <c r="A32" s="117">
        <v>7</v>
      </c>
      <c r="B32" s="117">
        <v>2013</v>
      </c>
      <c r="C32" s="116" t="s">
        <v>584</v>
      </c>
      <c r="D32" s="116" t="s">
        <v>616</v>
      </c>
      <c r="E32" s="117">
        <v>-1</v>
      </c>
      <c r="F32" s="116">
        <v>0.94</v>
      </c>
    </row>
    <row r="33" spans="1:6" ht="14.5">
      <c r="A33" s="117">
        <v>7</v>
      </c>
      <c r="B33" s="117">
        <v>2013</v>
      </c>
      <c r="C33" s="116" t="s">
        <v>584</v>
      </c>
      <c r="D33" s="116" t="s">
        <v>616</v>
      </c>
      <c r="E33" s="117">
        <v>14</v>
      </c>
      <c r="F33" s="116">
        <v>0.94</v>
      </c>
    </row>
  </sheetData>
  <pageMargins left="0.7" right="0.7" top="0.75" bottom="0.75" header="0.3" footer="0.3"/>
  <headerFooter>
    <oddHeader>&amp;C&amp;"Aptos"&amp;10&amp;K0078D7 [Open]&amp;1#_x000D_</oddHeader>
  </headerFooter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15"/>
  <sheetViews>
    <sheetView workbookViewId="0">
      <selection activeCell="A17" sqref="A17"/>
    </sheetView>
  </sheetViews>
  <sheetFormatPr defaultRowHeight="14"/>
  <cols>
    <col min="1" max="1" width="110" customWidth="1"/>
  </cols>
  <sheetData>
    <row r="1" spans="1:1" ht="18">
      <c r="A1" s="12" t="s">
        <v>346</v>
      </c>
    </row>
    <row r="2" spans="1:1">
      <c r="A2" s="4"/>
    </row>
    <row r="3" spans="1:1">
      <c r="A3" s="4" t="s">
        <v>347</v>
      </c>
    </row>
    <row r="4" spans="1:1">
      <c r="A4" s="4" t="s">
        <v>348</v>
      </c>
    </row>
    <row r="5" spans="1:1">
      <c r="A5" s="4" t="s">
        <v>349</v>
      </c>
    </row>
    <row r="6" spans="1:1">
      <c r="A6" s="4" t="s">
        <v>350</v>
      </c>
    </row>
    <row r="7" spans="1:1">
      <c r="A7" s="4" t="s">
        <v>351</v>
      </c>
    </row>
    <row r="8" spans="1:1">
      <c r="A8" s="4" t="s">
        <v>352</v>
      </c>
    </row>
    <row r="9" spans="1:1">
      <c r="A9" s="4" t="s">
        <v>353</v>
      </c>
    </row>
    <row r="11" spans="1:1">
      <c r="A11" t="s">
        <v>354</v>
      </c>
    </row>
    <row r="12" spans="1:1">
      <c r="A12" t="s">
        <v>355</v>
      </c>
    </row>
    <row r="13" spans="1:1">
      <c r="A13" t="s">
        <v>356</v>
      </c>
    </row>
    <row r="14" spans="1:1">
      <c r="A14" t="s">
        <v>357</v>
      </c>
    </row>
    <row r="15" spans="1:1">
      <c r="A15" t="s">
        <v>358</v>
      </c>
    </row>
  </sheetData>
  <pageMargins left="0.7" right="0.7" top="0.75" bottom="0.75" header="0.3" footer="0.3"/>
  <headerFooter>
    <oddHeader>&amp;C&amp;"Aptos"&amp;10&amp;K0078D7 [Open]&amp;1#_x000D_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4"/>
  <sheetViews>
    <sheetView workbookViewId="0">
      <selection activeCell="C16" sqref="C16"/>
    </sheetView>
  </sheetViews>
  <sheetFormatPr defaultRowHeight="14"/>
  <cols>
    <col min="1" max="1" width="32" customWidth="1"/>
    <col min="2" max="2" width="18" customWidth="1"/>
    <col min="3" max="3" width="70" customWidth="1"/>
    <col min="5" max="10" width="18" customWidth="1"/>
  </cols>
  <sheetData>
    <row r="1" spans="1:10" ht="54">
      <c r="A1" s="14" t="s">
        <v>0</v>
      </c>
      <c r="B1" s="14"/>
      <c r="C1" s="14"/>
      <c r="D1" s="15"/>
      <c r="E1" s="15"/>
      <c r="F1" s="15"/>
      <c r="G1" s="15"/>
      <c r="H1" s="15"/>
      <c r="I1" s="15"/>
      <c r="J1" s="15"/>
    </row>
    <row r="3" spans="1:10" ht="28">
      <c r="A3" s="13" t="s">
        <v>1</v>
      </c>
      <c r="B3" s="13" t="s">
        <v>2</v>
      </c>
      <c r="C3" s="13" t="s">
        <v>3</v>
      </c>
      <c r="E3" s="16" t="s">
        <v>4</v>
      </c>
      <c r="F3" s="16"/>
      <c r="G3" s="16"/>
      <c r="H3" s="16"/>
      <c r="I3" s="16"/>
      <c r="J3" s="16"/>
    </row>
    <row r="4" spans="1:10">
      <c r="A4" s="5" t="s">
        <v>5</v>
      </c>
      <c r="B4" s="33"/>
      <c r="C4" s="4" t="s">
        <v>6</v>
      </c>
      <c r="E4" s="13" t="s">
        <v>7</v>
      </c>
      <c r="F4" s="13" t="s">
        <v>8</v>
      </c>
      <c r="G4" s="13" t="s">
        <v>9</v>
      </c>
      <c r="H4" s="13" t="s">
        <v>10</v>
      </c>
      <c r="I4" s="13" t="s">
        <v>11</v>
      </c>
      <c r="J4" s="13" t="s">
        <v>12</v>
      </c>
    </row>
    <row r="5" spans="1:10">
      <c r="A5" s="5" t="s">
        <v>13</v>
      </c>
      <c r="B5" s="33"/>
      <c r="C5" s="4" t="s">
        <v>14</v>
      </c>
      <c r="E5" t="str">
        <f>Screening!A2</f>
        <v>CO2 Miscible Flood</v>
      </c>
      <c r="F5" t="str">
        <f>Screening!E2</f>
        <v>FAIL (critical)</v>
      </c>
      <c r="G5" t="str">
        <f>Screening!F2</f>
        <v>Not suitable</v>
      </c>
      <c r="H5" s="7">
        <f>Screening!D2</f>
        <v>0</v>
      </c>
      <c r="I5" s="7" t="str">
        <f>Screening!G2</f>
        <v/>
      </c>
      <c r="J5" s="7" t="str">
        <f>RF_EUR_Ranges!I2</f>
        <v/>
      </c>
    </row>
    <row r="6" spans="1:10">
      <c r="A6" s="5" t="s">
        <v>15</v>
      </c>
      <c r="B6" s="33"/>
      <c r="C6" s="4" t="s">
        <v>16</v>
      </c>
      <c r="E6" t="str">
        <f>Screening!A3</f>
        <v>CO2 WAG</v>
      </c>
      <c r="F6" t="str">
        <f>Screening!E3</f>
        <v>FAIL (critical)</v>
      </c>
      <c r="G6" t="str">
        <f>Screening!F3</f>
        <v>Not suitable</v>
      </c>
      <c r="H6" s="7">
        <f>Screening!D3</f>
        <v>0</v>
      </c>
      <c r="I6" s="7" t="str">
        <f>Screening!G3</f>
        <v/>
      </c>
      <c r="J6" s="7" t="str">
        <f>RF_EUR_Ranges!I3</f>
        <v/>
      </c>
    </row>
    <row r="7" spans="1:10">
      <c r="A7" s="5" t="s">
        <v>17</v>
      </c>
      <c r="B7" s="33"/>
      <c r="C7" s="4" t="s">
        <v>18</v>
      </c>
      <c r="E7" t="str">
        <f>Screening!A4</f>
        <v>HC Gas Miscible Flood</v>
      </c>
      <c r="F7" t="str">
        <f>Screening!E4</f>
        <v>FAIL (critical)</v>
      </c>
      <c r="G7" t="str">
        <f>Screening!F4</f>
        <v>Not suitable</v>
      </c>
      <c r="H7" s="7">
        <f>Screening!D4</f>
        <v>0</v>
      </c>
      <c r="I7" s="7" t="str">
        <f>Screening!G4</f>
        <v/>
      </c>
      <c r="J7" s="7" t="str">
        <f>RF_EUR_Ranges!I4</f>
        <v/>
      </c>
    </row>
    <row r="8" spans="1:10">
      <c r="A8" s="5" t="s">
        <v>19</v>
      </c>
      <c r="B8" s="33"/>
      <c r="C8" s="4" t="s">
        <v>20</v>
      </c>
      <c r="E8" t="str">
        <f>Screening!A5</f>
        <v>HC Gas WAG</v>
      </c>
      <c r="F8" t="str">
        <f>Screening!E5</f>
        <v>FAIL (critical)</v>
      </c>
      <c r="G8" t="str">
        <f>Screening!F5</f>
        <v>Not suitable</v>
      </c>
      <c r="H8" s="7">
        <f>Screening!D5</f>
        <v>0</v>
      </c>
      <c r="I8" s="7" t="str">
        <f>Screening!G5</f>
        <v/>
      </c>
      <c r="J8" s="7" t="str">
        <f>RF_EUR_Ranges!I5</f>
        <v/>
      </c>
    </row>
    <row r="9" spans="1:10">
      <c r="A9" s="5" t="s">
        <v>21</v>
      </c>
      <c r="B9" s="33"/>
      <c r="C9" s="4" t="s">
        <v>22</v>
      </c>
      <c r="E9" t="str">
        <f>Screening!A6</f>
        <v>Immiscible Gas Flood</v>
      </c>
      <c r="F9" t="str">
        <f>Screening!E6</f>
        <v>FAIL (critical)</v>
      </c>
      <c r="G9" t="str">
        <f>Screening!F6</f>
        <v>Not suitable</v>
      </c>
      <c r="H9" s="7">
        <f>Screening!D6</f>
        <v>0</v>
      </c>
      <c r="I9" s="7" t="str">
        <f>Screening!G6</f>
        <v/>
      </c>
      <c r="J9" s="7" t="str">
        <f>RF_EUR_Ranges!I6</f>
        <v/>
      </c>
    </row>
    <row r="10" spans="1:10">
      <c r="A10" s="5" t="s">
        <v>23</v>
      </c>
      <c r="B10" s="33"/>
      <c r="C10" s="4" t="s">
        <v>24</v>
      </c>
      <c r="E10" t="str">
        <f>Screening!A7</f>
        <v>Immiscible Gas WAG</v>
      </c>
      <c r="F10" t="str">
        <f>Screening!E7</f>
        <v>FAIL (critical)</v>
      </c>
      <c r="G10" t="str">
        <f>Screening!F7</f>
        <v>Not suitable</v>
      </c>
      <c r="H10" s="7">
        <f>Screening!D7</f>
        <v>0</v>
      </c>
      <c r="I10" s="7" t="str">
        <f>Screening!G7</f>
        <v/>
      </c>
      <c r="J10" s="7" t="str">
        <f>RF_EUR_Ranges!I7</f>
        <v/>
      </c>
    </row>
    <row r="11" spans="1:10">
      <c r="A11" s="5" t="s">
        <v>25</v>
      </c>
      <c r="B11" s="33"/>
      <c r="C11" s="4" t="s">
        <v>26</v>
      </c>
      <c r="E11" t="str">
        <f>Screening!A8</f>
        <v>Polymer (HPAM)</v>
      </c>
      <c r="F11" t="str">
        <f>Screening!E8</f>
        <v>FAIL (critical)</v>
      </c>
      <c r="G11" t="str">
        <f>Screening!F8</f>
        <v>Not suitable</v>
      </c>
      <c r="H11" s="7">
        <f>Screening!D8</f>
        <v>0</v>
      </c>
      <c r="I11" s="7" t="str">
        <f>Screening!G8</f>
        <v/>
      </c>
      <c r="J11" s="7" t="str">
        <f>RF_EUR_Ranges!I8</f>
        <v/>
      </c>
    </row>
    <row r="12" spans="1:10">
      <c r="A12" s="5" t="s">
        <v>27</v>
      </c>
      <c r="B12" s="33"/>
      <c r="C12" s="4" t="s">
        <v>26</v>
      </c>
      <c r="E12" t="str">
        <f>Screening!A9</f>
        <v>Polymer (ATBS)</v>
      </c>
      <c r="F12" t="str">
        <f>Screening!E9</f>
        <v>FAIL (critical)</v>
      </c>
      <c r="G12" t="str">
        <f>Screening!F9</f>
        <v>Not suitable</v>
      </c>
      <c r="H12" s="7">
        <f>Screening!D9</f>
        <v>0</v>
      </c>
      <c r="I12" s="7" t="str">
        <f>Screening!G9</f>
        <v/>
      </c>
      <c r="J12" s="7" t="str">
        <f>RF_EUR_Ranges!I9</f>
        <v/>
      </c>
    </row>
    <row r="13" spans="1:10">
      <c r="A13" s="5" t="s">
        <v>28</v>
      </c>
      <c r="B13" s="6"/>
      <c r="C13" s="4" t="s">
        <v>29</v>
      </c>
      <c r="E13" t="str">
        <f>Screening!A10</f>
        <v>SP</v>
      </c>
      <c r="F13" t="str">
        <f>Screening!E10</f>
        <v>FAIL (critical)</v>
      </c>
      <c r="G13" t="str">
        <f>Screening!F10</f>
        <v>Not suitable</v>
      </c>
      <c r="H13" s="7">
        <f>Screening!D10</f>
        <v>0</v>
      </c>
      <c r="I13" s="7" t="str">
        <f>Screening!G10</f>
        <v/>
      </c>
      <c r="J13" s="7" t="str">
        <f>RF_EUR_Ranges!I10</f>
        <v/>
      </c>
    </row>
    <row r="14" spans="1:10">
      <c r="A14" s="5" t="s">
        <v>30</v>
      </c>
      <c r="B14" s="33"/>
      <c r="C14" s="4" t="s">
        <v>31</v>
      </c>
      <c r="E14" t="str">
        <f>Screening!A11</f>
        <v>ASP</v>
      </c>
      <c r="F14" t="str">
        <f>Screening!E11</f>
        <v>FAIL (critical)</v>
      </c>
      <c r="G14" t="str">
        <f>Screening!F11</f>
        <v>Not suitable</v>
      </c>
      <c r="H14" s="7">
        <f>Screening!D11</f>
        <v>0</v>
      </c>
      <c r="I14" s="7" t="str">
        <f>Screening!G11</f>
        <v/>
      </c>
      <c r="J14" s="7" t="str">
        <f>RF_EUR_Ranges!I11</f>
        <v/>
      </c>
    </row>
    <row r="15" spans="1:10">
      <c r="A15" s="5" t="s">
        <v>32</v>
      </c>
      <c r="B15" s="6"/>
      <c r="C15" s="4" t="s">
        <v>33</v>
      </c>
      <c r="E15" t="str">
        <f>Screening!A12</f>
        <v>CSS</v>
      </c>
      <c r="F15" t="str">
        <f>Screening!E12</f>
        <v>FAIL (critical)</v>
      </c>
      <c r="G15" t="str">
        <f>Screening!F12</f>
        <v>Not suitable</v>
      </c>
      <c r="H15" s="7">
        <f>Screening!D12</f>
        <v>0</v>
      </c>
      <c r="I15" s="7" t="str">
        <f>Screening!G12</f>
        <v/>
      </c>
      <c r="J15" s="7" t="str">
        <f>RF_EUR_Ranges!I12</f>
        <v/>
      </c>
    </row>
    <row r="16" spans="1:10">
      <c r="A16" s="5" t="s">
        <v>34</v>
      </c>
      <c r="B16" s="6"/>
      <c r="C16" s="4" t="s">
        <v>35</v>
      </c>
      <c r="E16" t="str">
        <f>Screening!A13</f>
        <v>Steam Flood</v>
      </c>
      <c r="F16" t="str">
        <f>Screening!E13</f>
        <v>FAIL (critical)</v>
      </c>
      <c r="G16" t="str">
        <f>Screening!F13</f>
        <v>Not suitable</v>
      </c>
      <c r="H16">
        <f>Screening!D13</f>
        <v>0</v>
      </c>
      <c r="I16" t="str">
        <f>Screening!G13</f>
        <v/>
      </c>
      <c r="J16" t="str">
        <f>RF_EUR_Ranges!I13</f>
        <v/>
      </c>
    </row>
    <row r="17" spans="1:10">
      <c r="A17" s="5" t="s">
        <v>36</v>
      </c>
      <c r="B17" s="6"/>
      <c r="C17" s="4" t="s">
        <v>37</v>
      </c>
      <c r="E17" s="3" t="str">
        <f>Screening!A14</f>
        <v>ISC</v>
      </c>
      <c r="F17" s="8" t="str">
        <f>Screening!E14</f>
        <v>FAIL (critical)</v>
      </c>
      <c r="G17" t="str">
        <f>Screening!F14</f>
        <v>Not suitable</v>
      </c>
      <c r="H17">
        <f>Screening!D14</f>
        <v>0</v>
      </c>
      <c r="I17" t="str">
        <f>Screening!G14</f>
        <v/>
      </c>
      <c r="J17" t="str">
        <f>RF_EUR_Ranges!I14</f>
        <v/>
      </c>
    </row>
    <row r="18" spans="1:10">
      <c r="A18" s="5" t="s">
        <v>38</v>
      </c>
      <c r="B18" s="6"/>
      <c r="C18" s="4" t="s">
        <v>39</v>
      </c>
      <c r="E18" s="3"/>
      <c r="F18" s="8"/>
    </row>
    <row r="19" spans="1:10">
      <c r="A19" s="5" t="s">
        <v>40</v>
      </c>
      <c r="B19" s="6"/>
      <c r="C19" s="4" t="s">
        <v>41</v>
      </c>
      <c r="E19" s="3" t="s">
        <v>42</v>
      </c>
      <c r="F19" s="8" t="str">
        <f>Summary!B3</f>
        <v>CO2 Miscible Flood</v>
      </c>
    </row>
    <row r="20" spans="1:10">
      <c r="A20" s="5"/>
      <c r="B20" s="6"/>
      <c r="C20" s="4"/>
      <c r="E20" s="3" t="s">
        <v>43</v>
      </c>
      <c r="F20" s="9" t="str">
        <f>Summary!B5</f>
        <v>FAIL (critical)</v>
      </c>
    </row>
    <row r="21" spans="1:10">
      <c r="A21" s="5" t="s">
        <v>44</v>
      </c>
      <c r="B21" s="6"/>
      <c r="C21" s="4" t="s">
        <v>45</v>
      </c>
      <c r="E21" t="s">
        <v>46</v>
      </c>
      <c r="F21" t="str">
        <f>Summary!B6</f>
        <v>Not suitable</v>
      </c>
    </row>
    <row r="22" spans="1:10">
      <c r="A22" s="5" t="s">
        <v>47</v>
      </c>
      <c r="B22" s="6"/>
      <c r="C22" s="4" t="s">
        <v>48</v>
      </c>
      <c r="E22" t="s">
        <v>49</v>
      </c>
      <c r="F22" t="str">
        <f>Summary!B31</f>
        <v/>
      </c>
    </row>
    <row r="23" spans="1:10">
      <c r="A23" s="5" t="s">
        <v>50</v>
      </c>
      <c r="B23" s="6"/>
      <c r="C23" s="4" t="s">
        <v>51</v>
      </c>
    </row>
    <row r="24" spans="1:10">
      <c r="A24" s="5" t="s">
        <v>52</v>
      </c>
      <c r="B24" s="6"/>
      <c r="C24" s="4" t="s">
        <v>53</v>
      </c>
    </row>
    <row r="25" spans="1:10">
      <c r="A25" s="5" t="s">
        <v>54</v>
      </c>
      <c r="B25" s="6"/>
      <c r="C25" s="4" t="s">
        <v>55</v>
      </c>
    </row>
    <row r="26" spans="1:10">
      <c r="A26" s="5" t="s">
        <v>56</v>
      </c>
      <c r="B26" s="6"/>
      <c r="C26" s="4" t="s">
        <v>57</v>
      </c>
    </row>
    <row r="27" spans="1:10">
      <c r="A27" s="5" t="s">
        <v>58</v>
      </c>
      <c r="B27" s="6"/>
      <c r="C27" s="4" t="s">
        <v>59</v>
      </c>
    </row>
    <row r="28" spans="1:10">
      <c r="A28" s="5" t="s">
        <v>60</v>
      </c>
      <c r="B28" s="6"/>
      <c r="C28" s="4" t="s">
        <v>48</v>
      </c>
    </row>
    <row r="29" spans="1:10">
      <c r="A29" s="5" t="s">
        <v>61</v>
      </c>
      <c r="B29" s="6"/>
      <c r="C29" s="4" t="s">
        <v>62</v>
      </c>
    </row>
    <row r="30" spans="1:10">
      <c r="A30" s="5" t="s">
        <v>63</v>
      </c>
      <c r="B30" s="6"/>
      <c r="C30" s="4" t="s">
        <v>64</v>
      </c>
    </row>
    <row r="31" spans="1:10" ht="28">
      <c r="A31" s="5" t="s">
        <v>65</v>
      </c>
      <c r="B31" s="6"/>
      <c r="C31" s="4" t="s">
        <v>64</v>
      </c>
    </row>
    <row r="32" spans="1:10">
      <c r="A32" s="5" t="s">
        <v>66</v>
      </c>
      <c r="B32" s="6"/>
      <c r="C32" s="4" t="s">
        <v>37</v>
      </c>
    </row>
    <row r="33" spans="1:3">
      <c r="A33" s="5" t="s">
        <v>67</v>
      </c>
      <c r="B33" s="6"/>
      <c r="C33" s="4" t="s">
        <v>68</v>
      </c>
    </row>
    <row r="34" spans="1:3">
      <c r="A34" s="5" t="s">
        <v>69</v>
      </c>
      <c r="B34" s="6"/>
      <c r="C34" s="4" t="s">
        <v>68</v>
      </c>
    </row>
    <row r="35" spans="1:3">
      <c r="A35" s="5" t="s">
        <v>70</v>
      </c>
      <c r="B35" s="6"/>
      <c r="C35" s="4" t="s">
        <v>71</v>
      </c>
    </row>
    <row r="36" spans="1:3">
      <c r="A36" s="5" t="s">
        <v>72</v>
      </c>
      <c r="B36" s="6"/>
      <c r="C36" s="4" t="s">
        <v>73</v>
      </c>
    </row>
    <row r="37" spans="1:3">
      <c r="A37" s="5" t="s">
        <v>74</v>
      </c>
      <c r="B37" s="6"/>
      <c r="C37" s="4" t="s">
        <v>73</v>
      </c>
    </row>
    <row r="38" spans="1:3">
      <c r="A38" s="5" t="s">
        <v>75</v>
      </c>
      <c r="B38" s="6"/>
      <c r="C38" s="4" t="s">
        <v>64</v>
      </c>
    </row>
    <row r="39" spans="1:3">
      <c r="A39" t="s">
        <v>76</v>
      </c>
      <c r="C39" t="s">
        <v>77</v>
      </c>
    </row>
    <row r="40" spans="1:3">
      <c r="A40" t="s">
        <v>78</v>
      </c>
      <c r="C40" t="s">
        <v>79</v>
      </c>
    </row>
    <row r="41" spans="1:3">
      <c r="A41" t="s">
        <v>80</v>
      </c>
      <c r="C41" t="s">
        <v>81</v>
      </c>
    </row>
    <row r="42" spans="1:3">
      <c r="A42" t="s">
        <v>82</v>
      </c>
      <c r="C42" t="s">
        <v>83</v>
      </c>
    </row>
    <row r="43" spans="1:3">
      <c r="A43" s="4" t="s">
        <v>84</v>
      </c>
      <c r="B43" s="4"/>
      <c r="C43" s="4" t="s">
        <v>85</v>
      </c>
    </row>
    <row r="44" spans="1:3">
      <c r="A44" s="4" t="s">
        <v>86</v>
      </c>
      <c r="B44" s="4"/>
      <c r="C44" s="4" t="s">
        <v>87</v>
      </c>
    </row>
  </sheetData>
  <pageMargins left="0.7" right="0.7" top="0.75" bottom="0.75" header="0.3" footer="0.3"/>
  <headerFooter>
    <oddHeader>&amp;C&amp;"Aptos"&amp;10&amp;K0078D7 [Open]&amp;1#_x000D_</oddHeader>
  </headerFooter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xr:uid="{00000000-0002-0000-0000-000000000000}">
          <x14:formula1>
            <xm:f>Lists!$A$2:$A$3</xm:f>
          </x14:formula1>
          <xm:sqref>B13</xm:sqref>
        </x14:dataValidation>
        <x14:dataValidation type="list" xr:uid="{00000000-0002-0000-0000-000001000000}">
          <x14:formula1>
            <xm:f>Lists!$B$2:$B$4</xm:f>
          </x14:formula1>
          <xm:sqref>B15</xm:sqref>
        </x14:dataValidation>
        <x14:dataValidation type="list" xr:uid="{00000000-0002-0000-0000-000002000000}">
          <x14:formula1>
            <xm:f>Lists!$C$2:$C$3</xm:f>
          </x14:formula1>
          <xm:sqref>B39 B32:B34 B23:B25 B16:B17</xm:sqref>
        </x14:dataValidation>
        <x14:dataValidation type="list" xr:uid="{00000000-0002-0000-0000-000004000000}">
          <x14:formula1>
            <xm:f>Lists!$D$2:$D$9</xm:f>
          </x14:formula1>
          <xm:sqref>B21</xm:sqref>
        </x14:dataValidation>
        <x14:dataValidation type="list" xr:uid="{00000000-0002-0000-0000-000008000000}">
          <x14:formula1>
            <xm:f>Lists!$E$2:$E$4</xm:f>
          </x14:formula1>
          <xm:sqref>B27</xm:sqref>
        </x14:dataValidation>
        <x14:dataValidation type="list" xr:uid="{00000000-0002-0000-0000-000009000000}">
          <x14:formula1>
            <xm:f>Lists!$F$2:$F$4</xm:f>
          </x14:formula1>
          <xm:sqref>B29</xm:sqref>
        </x14:dataValidation>
        <x14:dataValidation type="list" xr:uid="{00000000-0002-0000-0000-00000A000000}">
          <x14:formula1>
            <xm:f>Lists!$G$2:$G$4</xm:f>
          </x14:formula1>
          <xm:sqref>B38 B30:B31</xm:sqref>
        </x14:dataValidation>
        <x14:dataValidation type="list" xr:uid="{00000000-0002-0000-0000-00000F000000}">
          <x14:formula1>
            <xm:f>Lists!$I$2:$I$5</xm:f>
          </x14:formula1>
          <xm:sqref>B35</xm:sqref>
        </x14:dataValidation>
        <x14:dataValidation type="list" xr:uid="{00000000-0002-0000-0000-000010000000}">
          <x14:formula1>
            <xm:f>Lists!$H$2:$H$4</xm:f>
          </x14:formula1>
          <xm:sqref>B36:B37</xm:sqref>
        </x14:dataValidation>
        <x14:dataValidation type="list" xr:uid="{00000000-0002-0000-0000-000014000000}">
          <x14:formula1>
            <xm:f>Lists!$J$2:$J$5</xm:f>
          </x14:formula1>
          <xm:sqref>B40</xm:sqref>
        </x14:dataValidation>
        <x14:dataValidation type="list" xr:uid="{00000000-0002-0000-0000-000015000000}">
          <x14:formula1>
            <xm:f>Lists!$K$2:$K$4</xm:f>
          </x14:formula1>
          <xm:sqref>B41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4"/>
  <sheetViews>
    <sheetView workbookViewId="0">
      <selection activeCell="G6" sqref="G6"/>
    </sheetView>
  </sheetViews>
  <sheetFormatPr defaultRowHeight="14"/>
  <cols>
    <col min="1" max="1" width="24" customWidth="1"/>
    <col min="2" max="2" width="16" customWidth="1"/>
    <col min="3" max="3" width="65" customWidth="1"/>
    <col min="4" max="4" width="12" customWidth="1"/>
    <col min="5" max="5" width="18" customWidth="1"/>
    <col min="6" max="6" width="20" customWidth="1"/>
    <col min="7" max="8" width="14" customWidth="1"/>
    <col min="9" max="9" width="16" customWidth="1"/>
  </cols>
  <sheetData>
    <row r="1" spans="1:9">
      <c r="A1" s="13" t="s">
        <v>7</v>
      </c>
      <c r="B1" s="13" t="s">
        <v>88</v>
      </c>
      <c r="C1" s="13" t="s">
        <v>89</v>
      </c>
      <c r="D1" s="13" t="s">
        <v>10</v>
      </c>
      <c r="E1" s="13" t="s">
        <v>8</v>
      </c>
      <c r="F1" s="13" t="s">
        <v>9</v>
      </c>
      <c r="G1" s="13" t="s">
        <v>11</v>
      </c>
      <c r="H1" s="13" t="s">
        <v>90</v>
      </c>
      <c r="I1" s="13" t="s">
        <v>91</v>
      </c>
    </row>
    <row r="2" spans="1:9">
      <c r="A2" s="4" t="s">
        <v>92</v>
      </c>
      <c r="B2" s="4" t="b">
        <f>OR(InputData!$B$8&lt;25,InputData!$B$7&gt;10,InputData!$B$4&lt;2500,NOT(OR(InputData!$B$23="Yes",InputData!$B$23="YES",InputData!$B$23="yes")),NOT(OR(InputData!$B$24="Yes",InputData!$B$24="YES",InputData!$B$24="yes")))</f>
        <v>1</v>
      </c>
      <c r="C2" s="4" t="str">
        <f>IF(InputData!$B$8&lt;25,"API &lt; 25°, ","")&amp;IF(InputData!$B$7&gt;10,"Viscosity &gt; 10 cP, ","")&amp;IF(InputData!$B$4&lt;2500,"Depth &lt; 2500 ft, ","")&amp;IF(NOT(OR(InputData!$B$23="Yes",InputData!$B$23="YES",InputData!$B$23="yes")),"CO2 unavailable, ","")&amp;IF(NOT(OR(InputData!$B$24="Yes",InputData!$B$24="YES",InputData!$B$24="yes")),"MMP not satisfied, ","")</f>
        <v xml:space="preserve">API &lt; 25°, Depth &lt; 2500 ft, CO2 unavailable, MMP not satisfied, </v>
      </c>
      <c r="D2" s="11">
        <f>IF(B2,0,(IF(InputData!$B$8&gt;=25,1,0)+IF(InputData!$B$7&lt;=10,1,0)+IF(InputData!$B$4&gt;=2500,1,0)+IF(OR(InputData!$B$23="Yes",InputData!$B$23="YES",InputData!$B$23="yes"),1,0)+IF(OR(InputData!$B$24="Yes",InputData!$B$24="YES",InputData!$B$24="yes"),1,0)+IF(OR(InputData!$B$25="Yes",InputData!$B$25="YES",InputData!$B$25="yes"),1,0)+IF(OR(InputData!$B$29="Favorable",InputData!$B$29="Neutral"),1,0))/7*100)</f>
        <v>0</v>
      </c>
      <c r="E2" s="11" t="str">
        <f t="shared" ref="E2:E14" si="0">IF(B2,"FAIL (critical)",IF(ISNUMBER(SEARCH("Conditional",C2)),"CONDITIONAL","PASS"))</f>
        <v>FAIL (critical)</v>
      </c>
      <c r="F2" s="11" t="str">
        <f t="shared" ref="F2:F14" si="1">IF(E2="FAIL (critical)","Not suitable",IF(E2="CONDITIONAL",IF(D2&gt;=50,"Potentially suitable","Marginal"),IF(D2&gt;=80,"Highly suitable",IF(D2&gt;=50,"Potentially suitable","Marginal"))))</f>
        <v>Not suitable</v>
      </c>
      <c r="G2" s="11" t="str">
        <f>IF(E2="FAIL (critical)","",D2/100*15*InputData!$B$22*InputData!$B$28)</f>
        <v/>
      </c>
      <c r="H2" s="11" t="str">
        <f>IF(G2="","",InputData!$B$19+G2)</f>
        <v/>
      </c>
      <c r="I2" s="11" t="str">
        <f>IF(H2="","",InputData!$B$18*H2/100)</f>
        <v/>
      </c>
    </row>
    <row r="3" spans="1:9" ht="28">
      <c r="A3" s="4" t="s">
        <v>93</v>
      </c>
      <c r="B3" s="4" t="b">
        <f>OR(InputData!$B$8&lt;25,InputData!$B$7&gt;10,NOT(OR(InputData!$B$23="Yes",InputData!$B$23="YES",InputData!$B$23="yes")),NOT(OR(InputData!$B$24="Yes",InputData!$B$24="YES",InputData!$B$24="yes")),NOT(OR(InputData!$B$33="Yes",InputData!$B$33="YES",InputData!$B$33="yes")),NOT(OR(InputData!$B$34="Yes",InputData!$B$34="YES",InputData!$B$34="yes")))</f>
        <v>1</v>
      </c>
      <c r="C3" s="4" t="str">
        <f>IF(InputData!$B$8&lt;25,"API &lt; 25°, ","")&amp;IF(InputData!$B$7&gt;10,"Viscosity &gt; 10 cP, ","")&amp;IF(NOT(OR(InputData!$B$23="Yes",InputData!$B$23="YES",InputData!$B$23="yes")),"CO2 unavailable, ","")&amp;IF(NOT(OR(InputData!$B$24="Yes",InputData!$B$24="YES",InputData!$B$24="yes")),"MMP not satisfied, ","")&amp;IF(NOT(OR(InputData!$B$33="Yes",InputData!$B$33="YES",InputData!$B$33="yes")),"Water injection facilities unavailable, ","")&amp;IF(NOT(OR(InputData!$B$34="Yes",InputData!$B$34="YES",InputData!$B$34="yes")),"Gas injection facilities unavailable, ","")&amp;IF(InputData!$B$38="High","Conditional: gravity override risk high, ","")</f>
        <v xml:space="preserve">API &lt; 25°, CO2 unavailable, MMP not satisfied, Water injection facilities unavailable, Gas injection facilities unavailable, </v>
      </c>
      <c r="D3" s="11">
        <f>IF(B3,0,(IF(InputData!$B$8&gt;=25,1,0)+IF(InputData!$B$7&lt;=10,1,0)+IF(OR(InputData!$B$23="Yes",InputData!$B$23="YES",InputData!$B$23="yes"),1,0)+IF(OR(InputData!$B$24="Yes",InputData!$B$24="YES",InputData!$B$24="yes"),1,0)+IF(OR(InputData!$B$33="Yes",InputData!$B$33="YES",InputData!$B$33="yes"),1,0)+IF(OR(InputData!$B$34="Yes",InputData!$B$34="YES",InputData!$B$34="yes"),1,0)+IF(OR(InputData!$B$25="Yes",InputData!$B$25="YES",InputData!$B$25="yes"),1,0)+IF(OR(InputData!$B$36="Good",InputData!$B$36="Fair"),1,0)+IF(OR(InputData!$B$37="Good",InputData!$B$37="Fair"),1,0)+IF(OR(InputData!$B$38="Low",InputData!$B$38="Medium"),1,0))/10*100)</f>
        <v>0</v>
      </c>
      <c r="E3" s="11" t="str">
        <f t="shared" si="0"/>
        <v>FAIL (critical)</v>
      </c>
      <c r="F3" s="11" t="str">
        <f t="shared" si="1"/>
        <v>Not suitable</v>
      </c>
      <c r="G3" s="11" t="str">
        <f>IF(E3="FAIL (critical)","",D3/100*18*InputData!$B$22*InputData!$B$28)</f>
        <v/>
      </c>
      <c r="H3" s="11" t="str">
        <f>IF(G3="","",InputData!$B$19+G3)</f>
        <v/>
      </c>
      <c r="I3" s="11" t="str">
        <f>IF(H3="","",InputData!$B$18*H3/100)</f>
        <v/>
      </c>
    </row>
    <row r="4" spans="1:9">
      <c r="A4" s="4" t="s">
        <v>94</v>
      </c>
      <c r="B4" s="4" t="b">
        <f>OR(InputData!$B$8&lt;25,InputData!$B$7&gt;10,InputData!$B$4&lt;2500,NOT(OR(InputData!$B$24="Yes",InputData!$B$24="YES",InputData!$B$24="yes")),NOT(OR(InputData!$B$42="Available/Conditional",InputData!$B$42="Available",InputData!$B$39="Yes",InputData!$B$39="YES",InputData!$B$39="yes")))</f>
        <v>1</v>
      </c>
      <c r="C4" s="4" t="str">
        <f>IF(InputData!$B$8&lt;25,"API &lt; 25°, ","")&amp;IF(InputData!$B$7&gt;10,"Viscosity &gt; 10 cP, ","")&amp;IF(InputData!$B$4&lt;2500,"Depth &lt; 2500 ft, ","")&amp;IF(NOT(OR(InputData!$B$24="Yes",InputData!$B$24="YES",InputData!$B$24="yes")),"MMP not satisfied, ","")&amp;IF(NOT(OR(InputData!$B$42="Available/Conditional",InputData!$B$42="Available",InputData!$B$39="Yes",InputData!$B$39="YES",InputData!$B$39="yes")),"HC gas source unavailable, ","")&amp;IF(AND(NOT(OR(InputData!$B$39="Yes",InputData!$B$39="YES",InputData!$B$39="yes")),OR(InputData!$B$40="High",InputData!$B$40="Moderate",InputData!$B$44="High",InputData!$B$44="Moderate"),OR(InputData!$B$41="Yes",InputData!$B$41="YES",InputData!$B$41="yes")),"Conditional: produced GOR supports HC gas reinjection/recycling, ","")</f>
        <v xml:space="preserve">API &lt; 25°, Depth &lt; 2500 ft, MMP not satisfied, HC gas source unavailable, </v>
      </c>
      <c r="D4" s="11">
        <f>IF(B4,0,(IF(InputData!$B$8&gt;=25,1,0)+IF(InputData!$B$7&lt;=10,1,0)+IF(InputData!$B$4&gt;=2500,1,0)+IF(OR(InputData!$B$24="Yes",InputData!$B$24="YES",InputData!$B$24="yes"),1,0)+IF(OR(InputData!$B$42="Available/Conditional",InputData!$B$42="Available",InputData!$B$39="Yes",InputData!$B$39="YES",InputData!$B$39="yes"),1,0)+IF(OR(InputData!$B$25="Yes",InputData!$B$25="YES",InputData!$B$25="yes"),1,0)+IF(OR(InputData!$B$29="Favorable",InputData!$B$29="Neutral"),1,0)+IF(OR(InputData!$B$40="High",InputData!$B$44="High"),1,IF(OR(InputData!$B$40="Moderate",InputData!$B$44="Moderate"),0.5,0)))/8*100)</f>
        <v>0</v>
      </c>
      <c r="E4" s="11" t="str">
        <f t="shared" si="0"/>
        <v>FAIL (critical)</v>
      </c>
      <c r="F4" s="11" t="str">
        <f t="shared" si="1"/>
        <v>Not suitable</v>
      </c>
      <c r="G4" s="11" t="str">
        <f>IF(E4="FAIL (critical)","",D4/100*14*InputData!$B$22*InputData!$B$28)</f>
        <v/>
      </c>
      <c r="H4" s="11" t="str">
        <f>IF(G4="","",InputData!$B$19+G4)</f>
        <v/>
      </c>
      <c r="I4" s="11" t="str">
        <f>IF(H4="","",InputData!$B$18*H4/100)</f>
        <v/>
      </c>
    </row>
    <row r="5" spans="1:9" ht="28">
      <c r="A5" s="4" t="s">
        <v>95</v>
      </c>
      <c r="B5" s="4" t="b">
        <f>OR(InputData!$B$8&lt;25,InputData!$B$7&gt;10,NOT(OR(InputData!$B$24="Yes",InputData!$B$24="YES",InputData!$B$24="yes")),NOT(OR(InputData!$B$42="Available/Conditional",InputData!$B$42="Available",InputData!$B$39="Yes",InputData!$B$39="YES",InputData!$B$39="yes")),NOT(OR(InputData!$B$33="Yes",InputData!$B$33="YES",InputData!$B$33="yes")),NOT(OR(InputData!$B$34="Yes",InputData!$B$34="YES",InputData!$B$34="yes")))</f>
        <v>1</v>
      </c>
      <c r="C5" s="4" t="str">
        <f>IF(InputData!$B$8&lt;25,"API &lt; 25°, ","")&amp;IF(InputData!$B$7&gt;10,"Viscosity &gt; 10 cP, ","")&amp;IF(NOT(OR(InputData!$B$24="Yes",InputData!$B$24="YES",InputData!$B$24="yes")),"MMP not satisfied, ","")&amp;IF(NOT(OR(InputData!$B$42="Available/Conditional",InputData!$B$42="Available",InputData!$B$39="Yes",InputData!$B$39="YES",InputData!$B$39="yes")),"HC gas source unavailable, ","")&amp;IF(NOT(OR(InputData!$B$33="Yes",InputData!$B$33="YES",InputData!$B$33="yes")),"Water injection facilities unavailable, ","")&amp;IF(NOT(OR(InputData!$B$34="Yes",InputData!$B$34="YES",InputData!$B$34="yes")),"Gas injection facilities unavailable, ","")&amp;IF(AND(NOT(OR(InputData!$B$39="Yes",InputData!$B$39="YES",InputData!$B$39="yes")),OR(InputData!$B$40="High",InputData!$B$40="Moderate",InputData!$B$44="High",InputData!$B$44="Moderate"),OR(InputData!$B$41="Yes",InputData!$B$41="YES",InputData!$B$41="yes")),"Conditional: produced GOR supports HC gas reinjection/recycling, ","")&amp;IF(InputData!$B$38="High","Conditional: gravity override risk high, ","")</f>
        <v xml:space="preserve">API &lt; 25°, MMP not satisfied, HC gas source unavailable, Water injection facilities unavailable, Gas injection facilities unavailable, </v>
      </c>
      <c r="D5" s="11">
        <f>IF(B5,0,(IF(InputData!$B$8&gt;=25,1,0)+IF(InputData!$B$7&lt;=10,1,0)+IF(OR(InputData!$B$24="Yes",InputData!$B$24="YES",InputData!$B$24="yes"),1,0)+IF(OR(InputData!$B$42="Available/Conditional",InputData!$B$42="Available",InputData!$B$39="Yes",InputData!$B$39="YES",InputData!$B$39="yes"),1,0)+IF(OR(InputData!$B$33="Yes",InputData!$B$33="YES",InputData!$B$33="yes"),1,0)+IF(OR(InputData!$B$34="Yes",InputData!$B$34="YES",InputData!$B$34="yes"),1,0)+IF(OR(InputData!$B$25="Yes",InputData!$B$25="YES",InputData!$B$25="yes"),1,0)+IF(OR(InputData!$B$36="Good",InputData!$B$36="Fair"),1,0)+IF(OR(InputData!$B$37="Good",InputData!$B$37="Fair"),1,0)+IF(OR(InputData!$B$38="Low",InputData!$B$38="Medium"),1,0)+IF(OR(InputData!$B$40="High",InputData!$B$44="High"),1,IF(OR(InputData!$B$40="Moderate",InputData!$B$44="Moderate"),0.5,0)))/11*100)</f>
        <v>0</v>
      </c>
      <c r="E5" s="11" t="str">
        <f t="shared" si="0"/>
        <v>FAIL (critical)</v>
      </c>
      <c r="F5" s="11" t="str">
        <f t="shared" si="1"/>
        <v>Not suitable</v>
      </c>
      <c r="G5" s="11" t="str">
        <f>IF(E5="FAIL (critical)","",D5/100*17*InputData!$B$22*InputData!$B$28)</f>
        <v/>
      </c>
      <c r="H5" s="11" t="str">
        <f>IF(G5="","",InputData!$B$19+G5)</f>
        <v/>
      </c>
      <c r="I5" s="11" t="str">
        <f>IF(H5="","",InputData!$B$18*H5/100)</f>
        <v/>
      </c>
    </row>
    <row r="6" spans="1:9">
      <c r="A6" s="4" t="s">
        <v>96</v>
      </c>
      <c r="B6" s="4" t="b">
        <f>OR(InputData!$B$8&lt;15,InputData!$B$7&gt;35,NOT(OR(OR(InputData!$B$16="Yes",InputData!$B$16="YES",InputData!$B$16="yes"),OR(InputData!$B$42="Available/Conditional",InputData!$B$42="Available",InputData!$B$39="Yes",InputData!$B$39="YES",InputData!$B$39="yes"))))</f>
        <v>1</v>
      </c>
      <c r="C6" s="4" t="str">
        <f>IF(InputData!$B$8&lt;15,"API &lt; 15°, ","")&amp;IF(InputData!$B$7&gt;35,"Viscosity &gt; 35 cP, ","")&amp;IF(NOT(OR(OR(InputData!$B$16="Yes",InputData!$B$16="YES",InputData!$B$16="yes"),OR(InputData!$B$42="Available/Conditional",InputData!$B$42="Available",InputData!$B$39="Yes",InputData!$B$39="YES",InputData!$B$39="yes"))),"Injection gas source unavailable, ","")&amp;IF(AND(NOT(OR(InputData!$B$16="Yes",InputData!$B$16="YES",InputData!$B$16="yes")),AND(NOT(OR(InputData!$B$39="Yes",InputData!$B$39="YES",InputData!$B$39="yes")),OR(InputData!$B$40="High",InputData!$B$40="Moderate",InputData!$B$44="High",InputData!$B$44="Moderate"),OR(InputData!$B$41="Yes",InputData!$B$41="YES",InputData!$B$41="yes"))),"Conditional: produced GOR supports HC gas reinjection/recycling, ","")</f>
        <v xml:space="preserve">API &lt; 15°, Injection gas source unavailable, </v>
      </c>
      <c r="D6" s="11">
        <f>IF(B6,0,(IF(InputData!$B$8&gt;=15,1,0)+IF(InputData!$B$7&lt;=35,1,0)+IF(OR(OR(InputData!$B$16="Yes",InputData!$B$16="YES",InputData!$B$16="yes"),OR(InputData!$B$42="Available/Conditional",InputData!$B$42="Available",InputData!$B$39="Yes",InputData!$B$39="YES",InputData!$B$39="yes")),1,0)+IF(OR(InputData!$B$25="Yes",InputData!$B$25="YES",InputData!$B$25="yes"),1,0)+IF(OR(InputData!$B$29="Favorable",InputData!$B$29="Neutral"),1,0)+IF(OR(InputData!$B$40="High",InputData!$B$44="High"),1,IF(OR(InputData!$B$40="Moderate",InputData!$B$44="Moderate"),0.5,0)))/6*100)</f>
        <v>0</v>
      </c>
      <c r="E6" s="11" t="str">
        <f t="shared" si="0"/>
        <v>FAIL (critical)</v>
      </c>
      <c r="F6" s="11" t="str">
        <f t="shared" si="1"/>
        <v>Not suitable</v>
      </c>
      <c r="G6" s="11" t="str">
        <f>IF(E6="FAIL (critical)","",D6/100*8*InputData!$B$22*InputData!$B$28)</f>
        <v/>
      </c>
      <c r="H6" s="11" t="str">
        <f>IF(G6="","",InputData!$B$19+G6)</f>
        <v/>
      </c>
      <c r="I6" s="11" t="str">
        <f>IF(H6="","",InputData!$B$18*H6/100)</f>
        <v/>
      </c>
    </row>
    <row r="7" spans="1:9" ht="28">
      <c r="A7" s="4" t="s">
        <v>97</v>
      </c>
      <c r="B7" s="4" t="b">
        <f>OR(InputData!$B$8&lt;15,InputData!$B$7&gt;35,NOT(OR(OR(InputData!$B$16="Yes",InputData!$B$16="YES",InputData!$B$16="yes"),OR(InputData!$B$42="Available/Conditional",InputData!$B$42="Available",InputData!$B$39="Yes",InputData!$B$39="YES",InputData!$B$39="yes"))),NOT(OR(InputData!$B$33="Yes",InputData!$B$33="YES",InputData!$B$33="yes")),NOT(OR(InputData!$B$34="Yes",InputData!$B$34="YES",InputData!$B$34="yes")))</f>
        <v>1</v>
      </c>
      <c r="C7" s="4" t="str">
        <f>IF(InputData!$B$8&lt;15,"API &lt; 15°, ","")&amp;IF(InputData!$B$7&gt;35,"Viscosity &gt; 35 cP, ","")&amp;IF(NOT(OR(OR(InputData!$B$16="Yes",InputData!$B$16="YES",InputData!$B$16="yes"),OR(InputData!$B$42="Available/Conditional",InputData!$B$42="Available",InputData!$B$39="Yes",InputData!$B$39="YES",InputData!$B$39="yes"))),"Injection gas source unavailable, ","")&amp;IF(NOT(OR(InputData!$B$33="Yes",InputData!$B$33="YES",InputData!$B$33="yes")),"Water injection facilities unavailable, ","")&amp;IF(NOT(OR(InputData!$B$34="Yes",InputData!$B$34="YES",InputData!$B$34="yes")),"Gas injection facilities unavailable, ","")&amp;IF(AND(NOT(OR(InputData!$B$16="Yes",InputData!$B$16="YES",InputData!$B$16="yes")),AND(NOT(OR(InputData!$B$39="Yes",InputData!$B$39="YES",InputData!$B$39="yes")),OR(InputData!$B$40="High",InputData!$B$40="Moderate",InputData!$B$44="High",InputData!$B$44="Moderate"),OR(InputData!$B$41="Yes",InputData!$B$41="YES",InputData!$B$41="yes"))),"Conditional: produced GOR supports HC gas reinjection/recycling, ","")&amp;IF(InputData!$B$38="High","Conditional: gravity override risk high, ","")</f>
        <v xml:space="preserve">API &lt; 15°, Injection gas source unavailable, Water injection facilities unavailable, Gas injection facilities unavailable, </v>
      </c>
      <c r="D7" s="11">
        <f>IF(B7,0,(IF(InputData!$B$8&gt;=15,1,0)+IF(InputData!$B$7&lt;=35,1,0)+IF(OR(OR(InputData!$B$16="Yes",InputData!$B$16="YES",InputData!$B$16="yes"),OR(InputData!$B$42="Available/Conditional",InputData!$B$42="Available",InputData!$B$39="Yes",InputData!$B$39="YES",InputData!$B$39="yes")),1,0)+IF(OR(InputData!$B$33="Yes",InputData!$B$33="YES",InputData!$B$33="yes"),1,0)+IF(OR(InputData!$B$34="Yes",InputData!$B$34="YES",InputData!$B$34="yes"),1,0)+IF(OR(InputData!$B$25="Yes",InputData!$B$25="YES",InputData!$B$25="yes"),1,0)+IF(OR(InputData!$B$36="Good",InputData!$B$36="Fair"),1,0)+IF(OR(InputData!$B$37="Good",InputData!$B$37="Fair"),1,0)+IF(OR(InputData!$B$38="Low",InputData!$B$38="Medium"),1,0)+IF(OR(InputData!$B$40="High",InputData!$B$44="High"),1,IF(OR(InputData!$B$40="Moderate",InputData!$B$44="Moderate"),0.5,0)))/10*100)</f>
        <v>0</v>
      </c>
      <c r="E7" s="11" t="str">
        <f t="shared" si="0"/>
        <v>FAIL (critical)</v>
      </c>
      <c r="F7" s="11" t="str">
        <f t="shared" si="1"/>
        <v>Not suitable</v>
      </c>
      <c r="G7" s="11" t="str">
        <f>IF(E7="FAIL (critical)","",D7/100*12*InputData!$B$22*InputData!$B$28)</f>
        <v/>
      </c>
      <c r="H7" s="11" t="str">
        <f>IF(G7="","",InputData!$B$19+G7)</f>
        <v/>
      </c>
      <c r="I7" s="11" t="str">
        <f>IF(H7="","",InputData!$B$18*H7/100)</f>
        <v/>
      </c>
    </row>
    <row r="8" spans="1:9">
      <c r="A8" s="4" t="s">
        <v>98</v>
      </c>
      <c r="B8" s="4" t="b">
        <f>OR(InputData!$B$6&gt;70,InputData!$B$11&gt;70000,InputData!$B$12&gt;500,InputData!$B$9&lt;50,OR(InputData!$B$17="Yes",InputData!$B$17="YES",InputData!$B$17="yes"))</f>
        <v>1</v>
      </c>
      <c r="C8" s="4" t="str">
        <f>IF(InputData!$B$6&gt;70,"Temperature &gt; 70°C, ","")&amp;IF(InputData!$B$11&gt;70000,"TDS &gt; 70,000 ppm, ","")&amp;IF(InputData!$B$12&gt;500,"Hardness &gt; 500 ppm, ","")&amp;IF(InputData!$B$9&lt;50,"Permeability &lt; 50 mD, ","")&amp;IF(OR(InputData!$B$17="Yes",InputData!$B$17="YES",InputData!$B$17="yes"),"Oxygen control required, ","")</f>
        <v xml:space="preserve">Permeability &lt; 50 mD, </v>
      </c>
      <c r="D8" s="11">
        <f>IF(B8,0,(IF(InputData!$B$6&lt;=70,1,0)+IF(InputData!$B$11&lt;=70000,1,0)+IF(InputData!$B$12&lt;=500,1,0)+IF(InputData!$B$9&gt;=50,1,0)+IF(NOT(OR(InputData!$B$17="Yes",InputData!$B$17="YES",InputData!$B$17="yes")),1,0)+IF(InputData!$B$26&gt;=50,1,0)+IF(OR(InputData!$B$29="Favorable",InputData!$B$29="Neutral"),1,0))/7*100)</f>
        <v>0</v>
      </c>
      <c r="E8" s="11" t="str">
        <f t="shared" si="0"/>
        <v>FAIL (critical)</v>
      </c>
      <c r="F8" s="11" t="str">
        <f t="shared" si="1"/>
        <v>Not suitable</v>
      </c>
      <c r="G8" s="11" t="str">
        <f>IF(E8="FAIL (critical)","",D8/100*10*InputData!$B$22*InputData!$B$28)</f>
        <v/>
      </c>
      <c r="H8" s="11" t="str">
        <f>IF(G8="","",InputData!$B$19+G8)</f>
        <v/>
      </c>
      <c r="I8" s="11" t="str">
        <f>IF(H8="","",InputData!$B$18*H8/100)</f>
        <v/>
      </c>
    </row>
    <row r="9" spans="1:9">
      <c r="A9" s="4" t="s">
        <v>99</v>
      </c>
      <c r="B9" s="4" t="b">
        <f>OR(InputData!$B$6&gt;120,InputData!$B$11&gt;250000,InputData!$B$12&gt;5000,InputData!$B$9&lt;30,OR(InputData!$B$17="Yes",InputData!$B$17="YES",InputData!$B$17="yes"))</f>
        <v>1</v>
      </c>
      <c r="C9" s="4" t="str">
        <f>IF(InputData!$B$6&gt;120,"Temperature &gt; 120°C, ","")&amp;IF(InputData!$B$11&gt;250000,"TDS &gt; 250,000 ppm, ","")&amp;IF(InputData!$B$12&gt;5000,"Hardness &gt; 5,000 ppm, ","")&amp;IF(InputData!$B$9&lt;30,"Permeability &lt; 30 mD, ","")&amp;IF(OR(InputData!$B$17="Yes",InputData!$B$17="YES",InputData!$B$17="yes"),"Oxygen control required, ","")</f>
        <v xml:space="preserve">Permeability &lt; 30 mD, </v>
      </c>
      <c r="D9" s="11">
        <f>IF(B9,0,(IF(InputData!$B$6&lt;=120,1,0)+IF(InputData!$B$11&lt;=250000,1,0)+IF(InputData!$B$12&lt;=5000,1,0)+IF(InputData!$B$9&gt;=30,1,0)+IF(NOT(OR(InputData!$B$17="Yes",InputData!$B$17="YES",InputData!$B$17="yes")),1,0)+IF(InputData!$B$26&gt;=50,1,0)+IF(OR(InputData!$B$29="Favorable",InputData!$B$29="Neutral"),1,0))/7*100)</f>
        <v>0</v>
      </c>
      <c r="E9" s="11" t="str">
        <f t="shared" si="0"/>
        <v>FAIL (critical)</v>
      </c>
      <c r="F9" s="11" t="str">
        <f t="shared" si="1"/>
        <v>Not suitable</v>
      </c>
      <c r="G9" s="11" t="str">
        <f>IF(E9="FAIL (critical)","",D9/100*12*InputData!$B$22*InputData!$B$28)</f>
        <v/>
      </c>
      <c r="H9" s="11" t="str">
        <f>IF(G9="","",InputData!$B$19+G9)</f>
        <v/>
      </c>
      <c r="I9" s="11" t="str">
        <f>IF(H9="","",InputData!$B$18*H9/100)</f>
        <v/>
      </c>
    </row>
    <row r="10" spans="1:9">
      <c r="A10" s="4" t="s">
        <v>100</v>
      </c>
      <c r="B10" s="4" t="b">
        <f>OR(InputData!$B$8&lt;20,InputData!$B$7&gt;35,InputData!$B$6&gt;100,InputData!$B$11&gt;100000,InputData!$B$30="High",InputData!$B$31="High")</f>
        <v>1</v>
      </c>
      <c r="C10" s="4" t="str">
        <f>IF(InputData!$B$8&lt;20,"API &lt; 20°, ","")&amp;IF(InputData!$B$7&gt;35,"Viscosity &gt; 35 cP, ","")&amp;IF(InputData!$B$6&gt;100,"Temperature &gt; 100°C, ","")&amp;IF(InputData!$B$11&gt;100000,"TDS &gt; 100,000 ppm, ","")&amp;IF(InputData!$B$30="High","Adsorption risk high, ","")&amp;IF(InputData!$B$31="High","Produced-water handling high, ","")</f>
        <v xml:space="preserve">API &lt; 20°, </v>
      </c>
      <c r="D10" s="11">
        <f>IF(B10,0,(IF(InputData!$B$8&gt;=20,1,0)+IF(InputData!$B$7&lt;=35,1,0)+IF(InputData!$B$6&lt;=100,1,0)+IF(InputData!$B$11&lt;=100000,1,0)+IF(OR(InputData!$B$30="Low",InputData!$B$30="Medium"),1,0)+IF(OR(InputData!$B$31="Low",InputData!$B$31="Medium"),1,0)+IF(OR(InputData!$B$13="Sandstone",InputData!$B$13="Carbonate"),1,0)+IF(InputData!$B$26&gt;=50,1,0))/8*100)</f>
        <v>0</v>
      </c>
      <c r="E10" s="11" t="str">
        <f t="shared" si="0"/>
        <v>FAIL (critical)</v>
      </c>
      <c r="F10" s="11" t="str">
        <f t="shared" si="1"/>
        <v>Not suitable</v>
      </c>
      <c r="G10" s="11" t="str">
        <f>IF(E10="FAIL (critical)","",D10/100*15*InputData!$B$22*InputData!$B$28)</f>
        <v/>
      </c>
      <c r="H10" s="11" t="str">
        <f>IF(G10="","",InputData!$B$19+G10)</f>
        <v/>
      </c>
      <c r="I10" s="11" t="str">
        <f>IF(H10="","",InputData!$B$18*H10/100)</f>
        <v/>
      </c>
    </row>
    <row r="11" spans="1:9">
      <c r="A11" s="4" t="s">
        <v>101</v>
      </c>
      <c r="B11" s="4" t="b">
        <f>OR(InputData!$B$8&lt;22,InputData!$B$7&gt;30,InputData!$B$6&gt;90,InputData!$B$11&gt;10000,InputData!$B$12&gt;50,NOT(OR(InputData!$B$13="Sandstone",InputData!$B$13="sandstone")))</f>
        <v>1</v>
      </c>
      <c r="C11" s="4" t="str">
        <f>IF(InputData!$B$8&lt;22,"API &lt; 22°, ","")&amp;IF(InputData!$B$7&gt;30,"Viscosity &gt; 30 cP, ","")&amp;IF(InputData!$B$6&gt;90,"Temperature &gt; 90°C, ","")&amp;IF(InputData!$B$11&gt;10000,"TDS &gt; 10,000 ppm, ","")&amp;IF(InputData!$B$12&gt;50,"Hardness &gt; 50 ppm, ","")&amp;IF(NOT(OR(InputData!$B$13="Sandstone",InputData!$B$13="sandstone")),"Requires sandstone, ","")</f>
        <v xml:space="preserve">API &lt; 22°, Requires sandstone, </v>
      </c>
      <c r="D11" s="11">
        <f>IF(B11,0,(IF(InputData!$B$8&gt;=22,1,0)+IF(InputData!$B$7&lt;=30,1,0)+IF(InputData!$B$6&lt;=90,1,0)+IF(InputData!$B$11&lt;=10000,1,0)+IF(InputData!$B$12&lt;=50,1,0)+IF(OR(InputData!$B$13="Sandstone",InputData!$B$13="sandstone"),1,0)+IF(OR(InputData!$B$31="Low",InputData!$B$31="Medium"),1,0)+IF(InputData!$B$26&gt;=50,1,0))/8*100)</f>
        <v>0</v>
      </c>
      <c r="E11" s="11" t="str">
        <f t="shared" si="0"/>
        <v>FAIL (critical)</v>
      </c>
      <c r="F11" s="11" t="str">
        <f t="shared" si="1"/>
        <v>Not suitable</v>
      </c>
      <c r="G11" s="11" t="str">
        <f>IF(E11="FAIL (critical)","",D11/100*20*InputData!$B$22*InputData!$B$28)</f>
        <v/>
      </c>
      <c r="H11" s="11" t="str">
        <f>IF(G11="","",InputData!$B$19+G11)</f>
        <v/>
      </c>
      <c r="I11" s="11" t="str">
        <f>IF(H11="","",InputData!$B$18*H11/100)</f>
        <v/>
      </c>
    </row>
    <row r="12" spans="1:9">
      <c r="A12" s="4" t="s">
        <v>102</v>
      </c>
      <c r="B12" s="4" t="b">
        <f>OR(InputData!$B$7&lt;100,InputData!$B$4&gt;3000,InputData!$B$9&lt;500)</f>
        <v>1</v>
      </c>
      <c r="C12" s="4" t="str">
        <f>IF(InputData!$B$7&lt;100,"Viscosity &lt; 100 cP, ","")&amp;IF(InputData!$B$4&gt;3000,"Depth &gt; 3000 ft, ","")&amp;IF(InputData!$B$9&lt;500,"Permeability &lt; 500 mD, ","")</f>
        <v xml:space="preserve">Viscosity &lt; 100 cP, Permeability &lt; 500 mD, </v>
      </c>
      <c r="D12" s="11">
        <f>IF(B12,0,(IF(InputData!$B$7&gt;=100,1,0)+IF(InputData!$B$4&lt;=3000,1,0)+IF(InputData!$B$9&gt;=500,1,0)+IF(OR(InputData!$B$32="No",InputData!$B$32="NO",InputData!$B$32="no"),1,0))/4*100)</f>
        <v>0</v>
      </c>
      <c r="E12" s="11" t="str">
        <f t="shared" si="0"/>
        <v>FAIL (critical)</v>
      </c>
      <c r="F12" s="11" t="str">
        <f t="shared" si="1"/>
        <v>Not suitable</v>
      </c>
      <c r="G12" s="11" t="str">
        <f>IF(E12="FAIL (critical)","",D12/100*15*InputData!$B$22*InputData!$B$28)</f>
        <v/>
      </c>
      <c r="H12" s="11" t="str">
        <f>IF(G12="","",InputData!$B$19+G12)</f>
        <v/>
      </c>
      <c r="I12" s="11" t="str">
        <f>IF(H12="","",InputData!$B$18*H12/100)</f>
        <v/>
      </c>
    </row>
    <row r="13" spans="1:9">
      <c r="A13" t="s">
        <v>103</v>
      </c>
      <c r="B13" t="b">
        <f>OR(InputData!$B$7&lt;100,InputData!$B$4&gt;3000,InputData!$B$9&lt;1000)</f>
        <v>1</v>
      </c>
      <c r="C13" t="str">
        <f>IF(InputData!$B$7&lt;100,"Viscosity &lt; 100 cP, ","")&amp;IF(InputData!$B$4&gt;3000,"Depth &gt; 3000 ft, ","")&amp;IF(InputData!$B$9&lt;1000,"Permeability &lt; 1000 mD, ","")</f>
        <v xml:space="preserve">Viscosity &lt; 100 cP, Permeability &lt; 1000 mD, </v>
      </c>
      <c r="D13" s="7">
        <f>IF(B13,0,(IF(InputData!$B$7&gt;=100,1,0)+IF(InputData!$B$4&lt;=3000,1,0)+IF(InputData!$B$9&gt;=1000,1,0)+IF(OR(InputData!$B$32="No",InputData!$B$32="NO",InputData!$B$32="no"),1,0))/4*100)</f>
        <v>0</v>
      </c>
      <c r="E13" t="str">
        <f t="shared" si="0"/>
        <v>FAIL (critical)</v>
      </c>
      <c r="F13" t="str">
        <f t="shared" si="1"/>
        <v>Not suitable</v>
      </c>
      <c r="G13" s="7" t="str">
        <f>IF(E13="FAIL (critical)","",D13/100*18*InputData!$B$22*InputData!$B$28)</f>
        <v/>
      </c>
      <c r="H13" s="7" t="str">
        <f>IF(G13="","",InputData!$B$19+G13)</f>
        <v/>
      </c>
      <c r="I13" s="7" t="str">
        <f>IF(H13="","",InputData!$B$18*H13/100)</f>
        <v/>
      </c>
    </row>
    <row r="14" spans="1:9">
      <c r="A14" t="s">
        <v>104</v>
      </c>
      <c r="B14" t="b">
        <f>OR(InputData!$B$7&lt;10,InputData!$B$7&gt;200,InputData!$B$9&lt;200)</f>
        <v>1</v>
      </c>
      <c r="C14" t="str">
        <f>IF(InputData!$B$7&lt;10,"Viscosity &lt; 10 cP, ","")&amp;IF(InputData!$B$7&gt;200,"Viscosity &gt; 200 cP, ","")&amp;IF(InputData!$B$9&lt;200,"Permeability &lt; 200 mD, ","")</f>
        <v xml:space="preserve">Viscosity &lt; 10 cP, Permeability &lt; 200 mD, </v>
      </c>
      <c r="D14" s="7">
        <f>IF(B14,0,(IF(AND(InputData!$B$7&gt;=10,InputData!$B$7&lt;=200),1,0)+IF(InputData!$B$9&gt;=200,1,0)+IF(OR(InputData!$B$32="No",InputData!$B$32="NO",InputData!$B$32="no"),1,0))/3*100)</f>
        <v>0</v>
      </c>
      <c r="E14" t="str">
        <f t="shared" si="0"/>
        <v>FAIL (critical)</v>
      </c>
      <c r="F14" t="str">
        <f t="shared" si="1"/>
        <v>Not suitable</v>
      </c>
      <c r="G14" s="7" t="str">
        <f>IF(E14="FAIL (critical)","",D14/100*10*InputData!$B$22*InputData!$B$28)</f>
        <v/>
      </c>
      <c r="H14" s="7" t="str">
        <f>IF(G14="","",InputData!$B$19+G14)</f>
        <v/>
      </c>
      <c r="I14" s="7" t="str">
        <f>IF(H14="","",InputData!$B$18*H14/100)</f>
        <v/>
      </c>
    </row>
  </sheetData>
  <conditionalFormatting sqref="E2:E12">
    <cfRule type="expression" dxfId="21" priority="1">
      <formula>E2="PASS"</formula>
    </cfRule>
    <cfRule type="expression" dxfId="20" priority="2">
      <formula>E2="FAIL (critical)"</formula>
    </cfRule>
  </conditionalFormatting>
  <conditionalFormatting sqref="E2:E14">
    <cfRule type="expression" dxfId="19" priority="6">
      <formula>EXACT(E2,"PASS")</formula>
    </cfRule>
    <cfRule type="expression" dxfId="18" priority="7">
      <formula>EXACT(E2,"CONDITIONAL")</formula>
    </cfRule>
    <cfRule type="expression" dxfId="17" priority="8">
      <formula>ISNUMBER(SEARCH("FAIL",E2))</formula>
    </cfRule>
  </conditionalFormatting>
  <conditionalFormatting sqref="F2:F12">
    <cfRule type="expression" dxfId="16" priority="3">
      <formula>F2="Highly suitable"</formula>
    </cfRule>
    <cfRule type="expression" dxfId="15" priority="4">
      <formula>OR(F2="Potentially suitable",F2="Marginal")</formula>
    </cfRule>
    <cfRule type="expression" dxfId="14" priority="5">
      <formula>F2="Not suitable"</formula>
    </cfRule>
  </conditionalFormatting>
  <conditionalFormatting sqref="F2:F14">
    <cfRule type="expression" dxfId="13" priority="9">
      <formula>EXACT(F2,"Highly suitable")</formula>
    </cfRule>
    <cfRule type="expression" dxfId="12" priority="10">
      <formula>OR(EXACT(F2,"Potentially suitable"),EXACT(F2,"Marginal"))</formula>
    </cfRule>
    <cfRule type="expression" dxfId="11" priority="11">
      <formula>EXACT(F2,"Not suitable")</formula>
    </cfRule>
  </conditionalFormatting>
  <pageMargins left="0.7" right="0.7" top="0.75" bottom="0.75" header="0.3" footer="0.3"/>
  <headerFooter>
    <oddHeader>&amp;C&amp;"Aptos"&amp;10&amp;K0078D7 [Open]&amp;1#_x000D_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4"/>
  <sheetViews>
    <sheetView workbookViewId="0">
      <selection activeCell="C2" sqref="C2"/>
    </sheetView>
  </sheetViews>
  <sheetFormatPr defaultRowHeight="14"/>
  <cols>
    <col min="1" max="1" width="8" customWidth="1"/>
    <col min="2" max="2" width="26" customWidth="1"/>
    <col min="3" max="3" width="12" customWidth="1"/>
    <col min="4" max="4" width="18" customWidth="1"/>
    <col min="5" max="5" width="20" customWidth="1"/>
  </cols>
  <sheetData>
    <row r="1" spans="1:5">
      <c r="A1" s="13" t="s">
        <v>105</v>
      </c>
      <c r="B1" s="13" t="s">
        <v>7</v>
      </c>
      <c r="C1" s="13" t="s">
        <v>10</v>
      </c>
      <c r="D1" s="13" t="s">
        <v>8</v>
      </c>
      <c r="E1" s="13" t="s">
        <v>9</v>
      </c>
    </row>
    <row r="2" spans="1:5">
      <c r="A2">
        <v>1</v>
      </c>
      <c r="B2" t="str">
        <f>INDEX(Screening!$A$2:$A$14,MATCH(C2,Screening!$D$2:$D$14,0))</f>
        <v>CO2 Miscible Flood</v>
      </c>
      <c r="C2" s="7">
        <f>LARGE(Screening!$D$2:$D$14,A2)</f>
        <v>0</v>
      </c>
      <c r="D2" t="str">
        <f>INDEX(Screening!$E$2:$E$14,MATCH(B2,Screening!$A$2:$A$14,0))</f>
        <v>FAIL (critical)</v>
      </c>
      <c r="E2" t="str">
        <f>INDEX(Screening!$F$2:$F$14,MATCH(B2,Screening!$A$2:$A$14,0))</f>
        <v>Not suitable</v>
      </c>
    </row>
    <row r="3" spans="1:5">
      <c r="A3">
        <v>2</v>
      </c>
      <c r="B3" t="str">
        <f>INDEX(Screening!$A$2:$A$14,MATCH(C3,Screening!$D$2:$D$14,0))</f>
        <v>CO2 Miscible Flood</v>
      </c>
      <c r="C3" s="7">
        <f>LARGE(Screening!$D$2:$D$14,A3)</f>
        <v>0</v>
      </c>
      <c r="D3" t="str">
        <f>INDEX(Screening!$E$2:$E$14,MATCH(B3,Screening!$A$2:$A$14,0))</f>
        <v>FAIL (critical)</v>
      </c>
      <c r="E3" t="str">
        <f>INDEX(Screening!$F$2:$F$14,MATCH(B3,Screening!$A$2:$A$14,0))</f>
        <v>Not suitable</v>
      </c>
    </row>
    <row r="4" spans="1:5">
      <c r="A4">
        <v>3</v>
      </c>
      <c r="B4" t="str">
        <f>INDEX(Screening!$A$2:$A$14,MATCH(C4,Screening!$D$2:$D$14,0))</f>
        <v>CO2 Miscible Flood</v>
      </c>
      <c r="C4" s="7">
        <f>LARGE(Screening!$D$2:$D$14,A4)</f>
        <v>0</v>
      </c>
      <c r="D4" t="str">
        <f>INDEX(Screening!$E$2:$E$14,MATCH(B4,Screening!$A$2:$A$14,0))</f>
        <v>FAIL (critical)</v>
      </c>
      <c r="E4" t="str">
        <f>INDEX(Screening!$F$2:$F$14,MATCH(B4,Screening!$A$2:$A$14,0))</f>
        <v>Not suitable</v>
      </c>
    </row>
    <row r="5" spans="1:5">
      <c r="A5">
        <v>4</v>
      </c>
      <c r="B5" t="str">
        <f>INDEX(Screening!$A$2:$A$14,MATCH(C5,Screening!$D$2:$D$14,0))</f>
        <v>CO2 Miscible Flood</v>
      </c>
      <c r="C5" s="7">
        <f>LARGE(Screening!$D$2:$D$14,A5)</f>
        <v>0</v>
      </c>
      <c r="D5" t="str">
        <f>INDEX(Screening!$E$2:$E$14,MATCH(B5,Screening!$A$2:$A$14,0))</f>
        <v>FAIL (critical)</v>
      </c>
      <c r="E5" t="str">
        <f>INDEX(Screening!$F$2:$F$14,MATCH(B5,Screening!$A$2:$A$14,0))</f>
        <v>Not suitable</v>
      </c>
    </row>
    <row r="6" spans="1:5">
      <c r="A6">
        <v>5</v>
      </c>
      <c r="B6" t="str">
        <f>INDEX(Screening!$A$2:$A$14,MATCH(C6,Screening!$D$2:$D$14,0))</f>
        <v>CO2 Miscible Flood</v>
      </c>
      <c r="C6" s="7">
        <f>LARGE(Screening!$D$2:$D$14,A6)</f>
        <v>0</v>
      </c>
      <c r="D6" t="str">
        <f>INDEX(Screening!$E$2:$E$14,MATCH(B6,Screening!$A$2:$A$14,0))</f>
        <v>FAIL (critical)</v>
      </c>
      <c r="E6" t="str">
        <f>INDEX(Screening!$F$2:$F$14,MATCH(B6,Screening!$A$2:$A$14,0))</f>
        <v>Not suitable</v>
      </c>
    </row>
    <row r="7" spans="1:5">
      <c r="A7">
        <v>6</v>
      </c>
      <c r="B7" t="str">
        <f>INDEX(Screening!$A$2:$A$14,MATCH(C7,Screening!$D$2:$D$14,0))</f>
        <v>CO2 Miscible Flood</v>
      </c>
      <c r="C7" s="7">
        <f>LARGE(Screening!$D$2:$D$14,A7)</f>
        <v>0</v>
      </c>
      <c r="D7" t="str">
        <f>INDEX(Screening!$E$2:$E$14,MATCH(B7,Screening!$A$2:$A$14,0))</f>
        <v>FAIL (critical)</v>
      </c>
      <c r="E7" t="str">
        <f>INDEX(Screening!$F$2:$F$14,MATCH(B7,Screening!$A$2:$A$14,0))</f>
        <v>Not suitable</v>
      </c>
    </row>
    <row r="8" spans="1:5">
      <c r="A8">
        <v>7</v>
      </c>
      <c r="B8" t="str">
        <f>INDEX(Screening!$A$2:$A$14,MATCH(C8,Screening!$D$2:$D$14,0))</f>
        <v>CO2 Miscible Flood</v>
      </c>
      <c r="C8" s="7">
        <f>LARGE(Screening!$D$2:$D$14,A8)</f>
        <v>0</v>
      </c>
      <c r="D8" t="str">
        <f>INDEX(Screening!$E$2:$E$14,MATCH(B8,Screening!$A$2:$A$14,0))</f>
        <v>FAIL (critical)</v>
      </c>
      <c r="E8" t="str">
        <f>INDEX(Screening!$F$2:$F$14,MATCH(B8,Screening!$A$2:$A$14,0))</f>
        <v>Not suitable</v>
      </c>
    </row>
    <row r="9" spans="1:5">
      <c r="A9">
        <v>8</v>
      </c>
      <c r="B9" t="str">
        <f>INDEX(Screening!$A$2:$A$14,MATCH(C9,Screening!$D$2:$D$14,0))</f>
        <v>CO2 Miscible Flood</v>
      </c>
      <c r="C9" s="7">
        <f>LARGE(Screening!$D$2:$D$14,A9)</f>
        <v>0</v>
      </c>
      <c r="D9" t="str">
        <f>INDEX(Screening!$E$2:$E$14,MATCH(B9,Screening!$A$2:$A$14,0))</f>
        <v>FAIL (critical)</v>
      </c>
      <c r="E9" t="str">
        <f>INDEX(Screening!$F$2:$F$14,MATCH(B9,Screening!$A$2:$A$14,0))</f>
        <v>Not suitable</v>
      </c>
    </row>
    <row r="10" spans="1:5">
      <c r="A10">
        <v>9</v>
      </c>
      <c r="B10" t="str">
        <f>INDEX(Screening!$A$2:$A$14,MATCH(C10,Screening!$D$2:$D$14,0))</f>
        <v>CO2 Miscible Flood</v>
      </c>
      <c r="C10" s="7">
        <f>LARGE(Screening!$D$2:$D$14,A10)</f>
        <v>0</v>
      </c>
      <c r="D10" t="str">
        <f>INDEX(Screening!$E$2:$E$14,MATCH(B10,Screening!$A$2:$A$14,0))</f>
        <v>FAIL (critical)</v>
      </c>
      <c r="E10" t="str">
        <f>INDEX(Screening!$F$2:$F$14,MATCH(B10,Screening!$A$2:$A$14,0))</f>
        <v>Not suitable</v>
      </c>
    </row>
    <row r="11" spans="1:5">
      <c r="A11">
        <v>10</v>
      </c>
      <c r="B11" t="str">
        <f>INDEX(Screening!$A$2:$A$14,MATCH(C11,Screening!$D$2:$D$14,0))</f>
        <v>CO2 Miscible Flood</v>
      </c>
      <c r="C11" s="7">
        <f>LARGE(Screening!$D$2:$D$14,A11)</f>
        <v>0</v>
      </c>
      <c r="D11" t="str">
        <f>INDEX(Screening!$E$2:$E$14,MATCH(B11,Screening!$A$2:$A$14,0))</f>
        <v>FAIL (critical)</v>
      </c>
      <c r="E11" t="str">
        <f>INDEX(Screening!$F$2:$F$14,MATCH(B11,Screening!$A$2:$A$14,0))</f>
        <v>Not suitable</v>
      </c>
    </row>
    <row r="12" spans="1:5">
      <c r="A12">
        <v>11</v>
      </c>
      <c r="B12" t="str">
        <f>INDEX(Screening!$A$2:$A$14,MATCH(C12,Screening!$D$2:$D$14,0))</f>
        <v>CO2 Miscible Flood</v>
      </c>
      <c r="C12" s="7">
        <f>LARGE(Screening!$D$2:$D$14,A12)</f>
        <v>0</v>
      </c>
      <c r="D12" t="str">
        <f>INDEX(Screening!$E$2:$E$14,MATCH(B12,Screening!$A$2:$A$14,0))</f>
        <v>FAIL (critical)</v>
      </c>
      <c r="E12" t="str">
        <f>INDEX(Screening!$F$2:$F$14,MATCH(B12,Screening!$A$2:$A$14,0))</f>
        <v>Not suitable</v>
      </c>
    </row>
    <row r="13" spans="1:5">
      <c r="A13">
        <v>12</v>
      </c>
      <c r="B13" t="str">
        <f>INDEX(Screening!$A$2:$A$14,MATCH(C13,Screening!$D$2:$D$14,0))</f>
        <v>CO2 Miscible Flood</v>
      </c>
      <c r="C13">
        <f>LARGE(Screening!$D$2:$D$14,A13)</f>
        <v>0</v>
      </c>
      <c r="D13" t="str">
        <f>INDEX(Screening!$E$2:$E$14,MATCH(B13,Screening!$A$2:$A$14,0))</f>
        <v>FAIL (critical)</v>
      </c>
      <c r="E13" t="str">
        <f>INDEX(Screening!$F$2:$F$14,MATCH(B13,Screening!$A$2:$A$14,0))</f>
        <v>Not suitable</v>
      </c>
    </row>
    <row r="14" spans="1:5">
      <c r="A14">
        <v>13</v>
      </c>
      <c r="B14" t="str">
        <f>INDEX(Screening!$A$2:$A$14,MATCH(C14,Screening!$D$2:$D$14,0))</f>
        <v>CO2 Miscible Flood</v>
      </c>
      <c r="C14">
        <f>LARGE(Screening!$D$2:$D$14,A14)</f>
        <v>0</v>
      </c>
      <c r="D14" t="str">
        <f>INDEX(Screening!$E$2:$E$14,MATCH(B14,Screening!$A$2:$A$14,0))</f>
        <v>FAIL (critical)</v>
      </c>
      <c r="E14" t="str">
        <f>INDEX(Screening!$F$2:$F$14,MATCH(B14,Screening!$A$2:$A$14,0))</f>
        <v>Not suitable</v>
      </c>
    </row>
  </sheetData>
  <pageMargins left="0.7" right="0.7" top="0.75" bottom="0.75" header="0.3" footer="0.3"/>
  <headerFooter>
    <oddHeader>&amp;C&amp;"Aptos"&amp;10&amp;K0078D7 [Open]&amp;1#_x000D_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4"/>
  <sheetViews>
    <sheetView workbookViewId="0">
      <selection activeCell="A9" sqref="A9"/>
    </sheetView>
  </sheetViews>
  <sheetFormatPr defaultRowHeight="14"/>
  <cols>
    <col min="1" max="1" width="24" customWidth="1"/>
    <col min="2" max="2" width="18" customWidth="1"/>
    <col min="3" max="3" width="20" customWidth="1"/>
    <col min="4" max="4" width="14" customWidth="1"/>
    <col min="5" max="5" width="15" customWidth="1"/>
    <col min="6" max="6" width="16" customWidth="1"/>
    <col min="7" max="7" width="14" customWidth="1"/>
    <col min="8" max="8" width="15" customWidth="1"/>
    <col min="9" max="9" width="16" customWidth="1"/>
    <col min="10" max="10" width="14" customWidth="1"/>
    <col min="11" max="11" width="15" customWidth="1"/>
    <col min="12" max="12" width="16" customWidth="1"/>
  </cols>
  <sheetData>
    <row r="1" spans="1:12">
      <c r="A1" s="13" t="s">
        <v>7</v>
      </c>
      <c r="B1" s="13" t="s">
        <v>8</v>
      </c>
      <c r="C1" s="13" t="s">
        <v>9</v>
      </c>
      <c r="D1" s="13" t="s">
        <v>106</v>
      </c>
      <c r="E1" s="13" t="s">
        <v>107</v>
      </c>
      <c r="F1" s="13" t="s">
        <v>108</v>
      </c>
      <c r="G1" s="13" t="s">
        <v>109</v>
      </c>
      <c r="H1" s="13" t="s">
        <v>110</v>
      </c>
      <c r="I1" s="13" t="s">
        <v>12</v>
      </c>
      <c r="J1" s="13" t="s">
        <v>111</v>
      </c>
      <c r="K1" s="13" t="s">
        <v>112</v>
      </c>
      <c r="L1" s="13" t="s">
        <v>113</v>
      </c>
    </row>
    <row r="2" spans="1:12">
      <c r="A2" t="str">
        <f>Screening!A2</f>
        <v>CO2 Miscible Flood</v>
      </c>
      <c r="B2" s="8" t="str">
        <f>Screening!E2</f>
        <v>FAIL (critical)</v>
      </c>
      <c r="C2" s="8" t="str">
        <f>Screening!F2</f>
        <v>Not suitable</v>
      </c>
      <c r="D2" s="7" t="str">
        <f>IF(Screening!G2="","",Screening!G2*ScenarioControls!$B$3)</f>
        <v/>
      </c>
      <c r="E2" s="7" t="str">
        <f>IF(D2="","",InputData!$B$19+D2)</f>
        <v/>
      </c>
      <c r="F2" s="7" t="str">
        <f>IF(E2="","",InputData!$B$18*E2/100)</f>
        <v/>
      </c>
      <c r="G2" s="7" t="str">
        <f>IF(Screening!G2="","",Screening!G2*ScenarioControls!$B$4)</f>
        <v/>
      </c>
      <c r="H2" s="7" t="str">
        <f>IF(G2="","",InputData!$B$19+G2)</f>
        <v/>
      </c>
      <c r="I2" s="7" t="str">
        <f>IF(H2="","",InputData!$B$18*H2/100)</f>
        <v/>
      </c>
      <c r="J2" s="7" t="str">
        <f>IF(Screening!G2="","",Screening!G2*ScenarioControls!$B$5)</f>
        <v/>
      </c>
      <c r="K2" s="7" t="str">
        <f>IF(J2="","",InputData!$B$19+J2)</f>
        <v/>
      </c>
      <c r="L2" s="7" t="str">
        <f>IF(K2="","",InputData!$B$18*K2/100)</f>
        <v/>
      </c>
    </row>
    <row r="3" spans="1:12">
      <c r="A3" t="str">
        <f>Screening!A3</f>
        <v>CO2 WAG</v>
      </c>
      <c r="B3" s="8" t="str">
        <f>Screening!E3</f>
        <v>FAIL (critical)</v>
      </c>
      <c r="C3" s="8" t="str">
        <f>Screening!F3</f>
        <v>Not suitable</v>
      </c>
      <c r="D3" s="7" t="str">
        <f>IF(Screening!G3="","",Screening!G3*ScenarioControls!$B$3)</f>
        <v/>
      </c>
      <c r="E3" s="7" t="str">
        <f>IF(D3="","",InputData!$B$19+D3)</f>
        <v/>
      </c>
      <c r="F3" s="7" t="str">
        <f>IF(E3="","",InputData!$B$18*E3/100)</f>
        <v/>
      </c>
      <c r="G3" s="7" t="str">
        <f>IF(Screening!G3="","",Screening!G3*ScenarioControls!$B$4)</f>
        <v/>
      </c>
      <c r="H3" s="7" t="str">
        <f>IF(G3="","",InputData!$B$19+G3)</f>
        <v/>
      </c>
      <c r="I3" s="7" t="str">
        <f>IF(H3="","",InputData!$B$18*H3/100)</f>
        <v/>
      </c>
      <c r="J3" s="7" t="str">
        <f>IF(Screening!G3="","",Screening!G3*ScenarioControls!$B$5)</f>
        <v/>
      </c>
      <c r="K3" s="7" t="str">
        <f>IF(J3="","",InputData!$B$19+J3)</f>
        <v/>
      </c>
      <c r="L3" s="7" t="str">
        <f>IF(K3="","",InputData!$B$18*K3/100)</f>
        <v/>
      </c>
    </row>
    <row r="4" spans="1:12">
      <c r="A4" t="str">
        <f>Screening!A4</f>
        <v>HC Gas Miscible Flood</v>
      </c>
      <c r="B4" s="8" t="str">
        <f>Screening!E4</f>
        <v>FAIL (critical)</v>
      </c>
      <c r="C4" s="8" t="str">
        <f>Screening!F4</f>
        <v>Not suitable</v>
      </c>
      <c r="D4" s="7" t="str">
        <f>IF(Screening!G4="","",Screening!G4*ScenarioControls!$B$3)</f>
        <v/>
      </c>
      <c r="E4" s="7" t="str">
        <f>IF(D4="","",InputData!$B$19+D4)</f>
        <v/>
      </c>
      <c r="F4" s="7" t="str">
        <f>IF(E4="","",InputData!$B$18*E4/100)</f>
        <v/>
      </c>
      <c r="G4" s="7" t="str">
        <f>IF(Screening!G4="","",Screening!G4*ScenarioControls!$B$4)</f>
        <v/>
      </c>
      <c r="H4" s="7" t="str">
        <f>IF(G4="","",InputData!$B$19+G4)</f>
        <v/>
      </c>
      <c r="I4" s="7" t="str">
        <f>IF(H4="","",InputData!$B$18*H4/100)</f>
        <v/>
      </c>
      <c r="J4" s="7" t="str">
        <f>IF(Screening!G4="","",Screening!G4*ScenarioControls!$B$5)</f>
        <v/>
      </c>
      <c r="K4" s="7" t="str">
        <f>IF(J4="","",InputData!$B$19+J4)</f>
        <v/>
      </c>
      <c r="L4" s="7" t="str">
        <f>IF(K4="","",InputData!$B$18*K4/100)</f>
        <v/>
      </c>
    </row>
    <row r="5" spans="1:12">
      <c r="A5" t="str">
        <f>Screening!A5</f>
        <v>HC Gas WAG</v>
      </c>
      <c r="B5" s="8" t="str">
        <f>Screening!E5</f>
        <v>FAIL (critical)</v>
      </c>
      <c r="C5" s="8" t="str">
        <f>Screening!F5</f>
        <v>Not suitable</v>
      </c>
      <c r="D5" s="7" t="str">
        <f>IF(Screening!G5="","",Screening!G5*ScenarioControls!$B$3)</f>
        <v/>
      </c>
      <c r="E5" s="7" t="str">
        <f>IF(D5="","",InputData!$B$19+D5)</f>
        <v/>
      </c>
      <c r="F5" s="7" t="str">
        <f>IF(E5="","",InputData!$B$18*E5/100)</f>
        <v/>
      </c>
      <c r="G5" s="7" t="str">
        <f>IF(Screening!G5="","",Screening!G5*ScenarioControls!$B$4)</f>
        <v/>
      </c>
      <c r="H5" s="7" t="str">
        <f>IF(G5="","",InputData!$B$19+G5)</f>
        <v/>
      </c>
      <c r="I5" s="7" t="str">
        <f>IF(H5="","",InputData!$B$18*H5/100)</f>
        <v/>
      </c>
      <c r="J5" s="7" t="str">
        <f>IF(Screening!G5="","",Screening!G5*ScenarioControls!$B$5)</f>
        <v/>
      </c>
      <c r="K5" s="7" t="str">
        <f>IF(J5="","",InputData!$B$19+J5)</f>
        <v/>
      </c>
      <c r="L5" s="7" t="str">
        <f>IF(K5="","",InputData!$B$18*K5/100)</f>
        <v/>
      </c>
    </row>
    <row r="6" spans="1:12">
      <c r="A6" t="str">
        <f>Screening!A6</f>
        <v>Immiscible Gas Flood</v>
      </c>
      <c r="B6" s="8" t="str">
        <f>Screening!E6</f>
        <v>FAIL (critical)</v>
      </c>
      <c r="C6" s="8" t="str">
        <f>Screening!F6</f>
        <v>Not suitable</v>
      </c>
      <c r="D6" s="7" t="str">
        <f>IF(Screening!G6="","",Screening!G6*ScenarioControls!$B$3)</f>
        <v/>
      </c>
      <c r="E6" s="7" t="str">
        <f>IF(D6="","",InputData!$B$19+D6)</f>
        <v/>
      </c>
      <c r="F6" s="7" t="str">
        <f>IF(E6="","",InputData!$B$18*E6/100)</f>
        <v/>
      </c>
      <c r="G6" s="7" t="str">
        <f>IF(Screening!G6="","",Screening!G6*ScenarioControls!$B$4)</f>
        <v/>
      </c>
      <c r="H6" s="7" t="str">
        <f>IF(G6="","",InputData!$B$19+G6)</f>
        <v/>
      </c>
      <c r="I6" s="7" t="str">
        <f>IF(H6="","",InputData!$B$18*H6/100)</f>
        <v/>
      </c>
      <c r="J6" s="7" t="str">
        <f>IF(Screening!G6="","",Screening!G6*ScenarioControls!$B$5)</f>
        <v/>
      </c>
      <c r="K6" s="7" t="str">
        <f>IF(J6="","",InputData!$B$19+J6)</f>
        <v/>
      </c>
      <c r="L6" s="7" t="str">
        <f>IF(K6="","",InputData!$B$18*K6/100)</f>
        <v/>
      </c>
    </row>
    <row r="7" spans="1:12">
      <c r="A7" t="str">
        <f>Screening!A7</f>
        <v>Immiscible Gas WAG</v>
      </c>
      <c r="B7" s="8" t="str">
        <f>Screening!E7</f>
        <v>FAIL (critical)</v>
      </c>
      <c r="C7" s="8" t="str">
        <f>Screening!F7</f>
        <v>Not suitable</v>
      </c>
      <c r="D7" s="7" t="str">
        <f>IF(Screening!G7="","",Screening!G7*ScenarioControls!$B$3)</f>
        <v/>
      </c>
      <c r="E7" s="7" t="str">
        <f>IF(D7="","",InputData!$B$19+D7)</f>
        <v/>
      </c>
      <c r="F7" s="7" t="str">
        <f>IF(E7="","",InputData!$B$18*E7/100)</f>
        <v/>
      </c>
      <c r="G7" s="7" t="str">
        <f>IF(Screening!G7="","",Screening!G7*ScenarioControls!$B$4)</f>
        <v/>
      </c>
      <c r="H7" s="7" t="str">
        <f>IF(G7="","",InputData!$B$19+G7)</f>
        <v/>
      </c>
      <c r="I7" s="7" t="str">
        <f>IF(H7="","",InputData!$B$18*H7/100)</f>
        <v/>
      </c>
      <c r="J7" s="7" t="str">
        <f>IF(Screening!G7="","",Screening!G7*ScenarioControls!$B$5)</f>
        <v/>
      </c>
      <c r="K7" s="7" t="str">
        <f>IF(J7="","",InputData!$B$19+J7)</f>
        <v/>
      </c>
      <c r="L7" s="7" t="str">
        <f>IF(K7="","",InputData!$B$18*K7/100)</f>
        <v/>
      </c>
    </row>
    <row r="8" spans="1:12">
      <c r="A8" t="str">
        <f>Screening!A8</f>
        <v>Polymer (HPAM)</v>
      </c>
      <c r="B8" s="8" t="str">
        <f>Screening!E8</f>
        <v>FAIL (critical)</v>
      </c>
      <c r="C8" s="8" t="str">
        <f>Screening!F8</f>
        <v>Not suitable</v>
      </c>
      <c r="D8" s="7" t="str">
        <f>IF(Screening!G8="","",Screening!G8*ScenarioControls!$B$3)</f>
        <v/>
      </c>
      <c r="E8" s="7" t="str">
        <f>IF(D8="","",InputData!$B$19+D8)</f>
        <v/>
      </c>
      <c r="F8" s="7" t="str">
        <f>IF(E8="","",InputData!$B$18*E8/100)</f>
        <v/>
      </c>
      <c r="G8" s="7" t="str">
        <f>IF(Screening!G8="","",Screening!G8*ScenarioControls!$B$4)</f>
        <v/>
      </c>
      <c r="H8" s="7" t="str">
        <f>IF(G8="","",InputData!$B$19+G8)</f>
        <v/>
      </c>
      <c r="I8" s="7" t="str">
        <f>IF(H8="","",InputData!$B$18*H8/100)</f>
        <v/>
      </c>
      <c r="J8" s="7" t="str">
        <f>IF(Screening!G8="","",Screening!G8*ScenarioControls!$B$5)</f>
        <v/>
      </c>
      <c r="K8" s="7" t="str">
        <f>IF(J8="","",InputData!$B$19+J8)</f>
        <v/>
      </c>
      <c r="L8" s="7" t="str">
        <f>IF(K8="","",InputData!$B$18*K8/100)</f>
        <v/>
      </c>
    </row>
    <row r="9" spans="1:12">
      <c r="A9" t="str">
        <f>Screening!A9</f>
        <v>Polymer (ATBS)</v>
      </c>
      <c r="B9" s="8" t="str">
        <f>Screening!E9</f>
        <v>FAIL (critical)</v>
      </c>
      <c r="C9" s="8" t="str">
        <f>Screening!F9</f>
        <v>Not suitable</v>
      </c>
      <c r="D9" s="7" t="str">
        <f>IF(Screening!G9="","",Screening!G9*ScenarioControls!$B$3)</f>
        <v/>
      </c>
      <c r="E9" s="7" t="str">
        <f>IF(D9="","",InputData!$B$19+D9)</f>
        <v/>
      </c>
      <c r="F9" s="7" t="str">
        <f>IF(E9="","",InputData!$B$18*E9/100)</f>
        <v/>
      </c>
      <c r="G9" s="7" t="str">
        <f>IF(Screening!G9="","",Screening!G9*ScenarioControls!$B$4)</f>
        <v/>
      </c>
      <c r="H9" s="7" t="str">
        <f>IF(G9="","",InputData!$B$19+G9)</f>
        <v/>
      </c>
      <c r="I9" s="7" t="str">
        <f>IF(H9="","",InputData!$B$18*H9/100)</f>
        <v/>
      </c>
      <c r="J9" s="7" t="str">
        <f>IF(Screening!G9="","",Screening!G9*ScenarioControls!$B$5)</f>
        <v/>
      </c>
      <c r="K9" s="7" t="str">
        <f>IF(J9="","",InputData!$B$19+J9)</f>
        <v/>
      </c>
      <c r="L9" s="7" t="str">
        <f>IF(K9="","",InputData!$B$18*K9/100)</f>
        <v/>
      </c>
    </row>
    <row r="10" spans="1:12">
      <c r="A10" t="str">
        <f>Screening!A10</f>
        <v>SP</v>
      </c>
      <c r="B10" s="8" t="str">
        <f>Screening!E10</f>
        <v>FAIL (critical)</v>
      </c>
      <c r="C10" s="8" t="str">
        <f>Screening!F10</f>
        <v>Not suitable</v>
      </c>
      <c r="D10" s="7" t="str">
        <f>IF(Screening!G10="","",Screening!G10*ScenarioControls!$B$3)</f>
        <v/>
      </c>
      <c r="E10" s="7" t="str">
        <f>IF(D10="","",InputData!$B$19+D10)</f>
        <v/>
      </c>
      <c r="F10" s="7" t="str">
        <f>IF(E10="","",InputData!$B$18*E10/100)</f>
        <v/>
      </c>
      <c r="G10" s="7" t="str">
        <f>IF(Screening!G10="","",Screening!G10*ScenarioControls!$B$4)</f>
        <v/>
      </c>
      <c r="H10" s="7" t="str">
        <f>IF(G10="","",InputData!$B$19+G10)</f>
        <v/>
      </c>
      <c r="I10" s="7" t="str">
        <f>IF(H10="","",InputData!$B$18*H10/100)</f>
        <v/>
      </c>
      <c r="J10" s="7" t="str">
        <f>IF(Screening!G10="","",Screening!G10*ScenarioControls!$B$5)</f>
        <v/>
      </c>
      <c r="K10" s="7" t="str">
        <f>IF(J10="","",InputData!$B$19+J10)</f>
        <v/>
      </c>
      <c r="L10" s="7" t="str">
        <f>IF(K10="","",InputData!$B$18*K10/100)</f>
        <v/>
      </c>
    </row>
    <row r="11" spans="1:12">
      <c r="A11" t="str">
        <f>Screening!A11</f>
        <v>ASP</v>
      </c>
      <c r="B11" s="8" t="str">
        <f>Screening!E11</f>
        <v>FAIL (critical)</v>
      </c>
      <c r="C11" s="8" t="str">
        <f>Screening!F11</f>
        <v>Not suitable</v>
      </c>
      <c r="D11" s="7" t="str">
        <f>IF(Screening!G11="","",Screening!G11*ScenarioControls!$B$3)</f>
        <v/>
      </c>
      <c r="E11" s="7" t="str">
        <f>IF(D11="","",InputData!$B$19+D11)</f>
        <v/>
      </c>
      <c r="F11" s="7" t="str">
        <f>IF(E11="","",InputData!$B$18*E11/100)</f>
        <v/>
      </c>
      <c r="G11" s="7" t="str">
        <f>IF(Screening!G11="","",Screening!G11*ScenarioControls!$B$4)</f>
        <v/>
      </c>
      <c r="H11" s="7" t="str">
        <f>IF(G11="","",InputData!$B$19+G11)</f>
        <v/>
      </c>
      <c r="I11" s="7" t="str">
        <f>IF(H11="","",InputData!$B$18*H11/100)</f>
        <v/>
      </c>
      <c r="J11" s="7" t="str">
        <f>IF(Screening!G11="","",Screening!G11*ScenarioControls!$B$5)</f>
        <v/>
      </c>
      <c r="K11" s="7" t="str">
        <f>IF(J11="","",InputData!$B$19+J11)</f>
        <v/>
      </c>
      <c r="L11" s="7" t="str">
        <f>IF(K11="","",InputData!$B$18*K11/100)</f>
        <v/>
      </c>
    </row>
    <row r="12" spans="1:12">
      <c r="A12" t="str">
        <f>Screening!A12</f>
        <v>CSS</v>
      </c>
      <c r="B12" s="8" t="str">
        <f>Screening!E12</f>
        <v>FAIL (critical)</v>
      </c>
      <c r="C12" s="8" t="str">
        <f>Screening!F12</f>
        <v>Not suitable</v>
      </c>
      <c r="D12" s="7" t="str">
        <f>IF(Screening!G12="","",Screening!G12*ScenarioControls!$B$3)</f>
        <v/>
      </c>
      <c r="E12" s="7" t="str">
        <f>IF(D12="","",InputData!$B$19+D12)</f>
        <v/>
      </c>
      <c r="F12" s="7" t="str">
        <f>IF(E12="","",InputData!$B$18*E12/100)</f>
        <v/>
      </c>
      <c r="G12" s="7" t="str">
        <f>IF(Screening!G12="","",Screening!G12*ScenarioControls!$B$4)</f>
        <v/>
      </c>
      <c r="H12" s="7" t="str">
        <f>IF(G12="","",InputData!$B$19+G12)</f>
        <v/>
      </c>
      <c r="I12" s="7" t="str">
        <f>IF(H12="","",InputData!$B$18*H12/100)</f>
        <v/>
      </c>
      <c r="J12" s="7" t="str">
        <f>IF(Screening!G12="","",Screening!G12*ScenarioControls!$B$5)</f>
        <v/>
      </c>
      <c r="K12" s="7" t="str">
        <f>IF(J12="","",InputData!$B$19+J12)</f>
        <v/>
      </c>
      <c r="L12" s="7" t="str">
        <f>IF(K12="","",InputData!$B$18*K12/100)</f>
        <v/>
      </c>
    </row>
    <row r="13" spans="1:12">
      <c r="A13" t="str">
        <f>Screening!A13</f>
        <v>Steam Flood</v>
      </c>
      <c r="B13" t="str">
        <f>Screening!E13</f>
        <v>FAIL (critical)</v>
      </c>
      <c r="C13" t="str">
        <f>Screening!F13</f>
        <v>Not suitable</v>
      </c>
      <c r="D13" s="7" t="str">
        <f>IF(Screening!G13="","",Screening!G13*ScenarioControls!$B$3)</f>
        <v/>
      </c>
      <c r="E13" s="7" t="str">
        <f>IF(D13="","",InputData!$B$19+D13)</f>
        <v/>
      </c>
      <c r="F13" s="7" t="str">
        <f>IF(E13="","",InputData!$B$18*E13/100)</f>
        <v/>
      </c>
      <c r="G13" s="7" t="str">
        <f>IF(Screening!G13="","",Screening!G13*ScenarioControls!$B$4)</f>
        <v/>
      </c>
      <c r="H13" s="7" t="str">
        <f>IF(G13="","",InputData!$B$19+G13)</f>
        <v/>
      </c>
      <c r="I13" s="7" t="str">
        <f>IF(H13="","",InputData!$B$18*H13/100)</f>
        <v/>
      </c>
      <c r="J13" s="7" t="str">
        <f>IF(Screening!G13="","",Screening!G13*ScenarioControls!$B$5)</f>
        <v/>
      </c>
      <c r="K13" s="7" t="str">
        <f>IF(J13="","",InputData!$B$19+J13)</f>
        <v/>
      </c>
      <c r="L13" s="7" t="str">
        <f>IF(K13="","",InputData!$B$18*K13/100)</f>
        <v/>
      </c>
    </row>
    <row r="14" spans="1:12">
      <c r="A14" t="str">
        <f>Screening!A14</f>
        <v>ISC</v>
      </c>
      <c r="B14" t="str">
        <f>Screening!E14</f>
        <v>FAIL (critical)</v>
      </c>
      <c r="C14" t="str">
        <f>Screening!F14</f>
        <v>Not suitable</v>
      </c>
      <c r="D14" s="7" t="str">
        <f>IF(Screening!G14="","",Screening!G14*ScenarioControls!$B$3)</f>
        <v/>
      </c>
      <c r="E14" s="7" t="str">
        <f>IF(D14="","",InputData!$B$19+D14)</f>
        <v/>
      </c>
      <c r="F14" s="7" t="str">
        <f>IF(E14="","",InputData!$B$18*E14/100)</f>
        <v/>
      </c>
      <c r="G14" s="7" t="str">
        <f>IF(Screening!G14="","",Screening!G14*ScenarioControls!$B$4)</f>
        <v/>
      </c>
      <c r="H14" s="7" t="str">
        <f>IF(G14="","",InputData!$B$19+G14)</f>
        <v/>
      </c>
      <c r="I14" s="7" t="str">
        <f>IF(H14="","",InputData!$B$18*H14/100)</f>
        <v/>
      </c>
      <c r="J14" s="7" t="str">
        <f>IF(Screening!G14="","",Screening!G14*ScenarioControls!$B$5)</f>
        <v/>
      </c>
      <c r="K14" s="7" t="str">
        <f>IF(J14="","",InputData!$B$19+J14)</f>
        <v/>
      </c>
      <c r="L14" s="7" t="str">
        <f>IF(K14="","",InputData!$B$18*K14/100)</f>
        <v/>
      </c>
    </row>
  </sheetData>
  <conditionalFormatting sqref="B2:B12">
    <cfRule type="expression" dxfId="10" priority="1">
      <formula>B2="PASS"</formula>
    </cfRule>
    <cfRule type="expression" dxfId="9" priority="2">
      <formula>B2="FAIL (critical)"</formula>
    </cfRule>
  </conditionalFormatting>
  <conditionalFormatting sqref="B2:B14">
    <cfRule type="expression" dxfId="8" priority="6">
      <formula>EXACT(B2,"PASS")</formula>
    </cfRule>
    <cfRule type="expression" dxfId="7" priority="7">
      <formula>EXACT(B2,"CONDITIONAL")</formula>
    </cfRule>
    <cfRule type="expression" dxfId="6" priority="8">
      <formula>ISNUMBER(SEARCH("FAIL",B2))</formula>
    </cfRule>
  </conditionalFormatting>
  <conditionalFormatting sqref="C2:C12">
    <cfRule type="expression" dxfId="5" priority="3">
      <formula>C2="Highly suitable"</formula>
    </cfRule>
    <cfRule type="expression" dxfId="4" priority="4">
      <formula>OR(C2="Potentially suitable",C2="Marginal")</formula>
    </cfRule>
    <cfRule type="expression" dxfId="3" priority="5">
      <formula>C2="Not suitable"</formula>
    </cfRule>
  </conditionalFormatting>
  <conditionalFormatting sqref="C2:C14">
    <cfRule type="expression" dxfId="2" priority="9">
      <formula>EXACT(C2,"Highly suitable")</formula>
    </cfRule>
    <cfRule type="expression" dxfId="1" priority="10">
      <formula>OR(EXACT(C2,"Potentially suitable"),EXACT(C2,"Marginal"))</formula>
    </cfRule>
    <cfRule type="expression" dxfId="0" priority="11">
      <formula>EXACT(C2,"Not suitable")</formula>
    </cfRule>
  </conditionalFormatting>
  <pageMargins left="0.7" right="0.7" top="0.75" bottom="0.75" header="0.3" footer="0.3"/>
  <headerFooter>
    <oddHeader>&amp;C&amp;"Aptos"&amp;10&amp;K0078D7 [Open]&amp;1#_x000D_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2"/>
  <sheetViews>
    <sheetView zoomScale="93" zoomScaleNormal="55" workbookViewId="0">
      <selection activeCell="A6" sqref="A6"/>
    </sheetView>
  </sheetViews>
  <sheetFormatPr defaultRowHeight="14"/>
  <cols>
    <col min="1" max="1" width="72" customWidth="1"/>
    <col min="2" max="2" width="24" customWidth="1"/>
  </cols>
  <sheetData>
    <row r="1" spans="1:2" ht="18">
      <c r="A1" s="1" t="s">
        <v>114</v>
      </c>
      <c r="B1" s="1"/>
    </row>
    <row r="3" spans="1:2">
      <c r="A3" t="s">
        <v>115</v>
      </c>
      <c r="B3" t="str">
        <f>Ranking!B2</f>
        <v>CO2 Miscible Flood</v>
      </c>
    </row>
    <row r="4" spans="1:2">
      <c r="A4" t="s">
        <v>10</v>
      </c>
      <c r="B4" s="7">
        <f>Ranking!C2</f>
        <v>0</v>
      </c>
    </row>
    <row r="5" spans="1:2">
      <c r="A5" t="s">
        <v>8</v>
      </c>
      <c r="B5" t="str">
        <f>Ranking!D2</f>
        <v>FAIL (critical)</v>
      </c>
    </row>
    <row r="6" spans="1:2">
      <c r="A6" t="s">
        <v>9</v>
      </c>
      <c r="B6" t="str">
        <f>Ranking!E2</f>
        <v>Not suitable</v>
      </c>
    </row>
    <row r="8" spans="1:2">
      <c r="A8" s="3" t="s">
        <v>116</v>
      </c>
      <c r="B8" s="3"/>
    </row>
    <row r="9" spans="1:2">
      <c r="A9" t="s">
        <v>117</v>
      </c>
    </row>
    <row r="10" spans="1:2">
      <c r="A10" t="s">
        <v>118</v>
      </c>
    </row>
    <row r="11" spans="1:2">
      <c r="A11" t="s">
        <v>119</v>
      </c>
    </row>
    <row r="12" spans="1:2">
      <c r="A12" t="s">
        <v>120</v>
      </c>
    </row>
    <row r="14" spans="1:2">
      <c r="A14" s="3" t="s">
        <v>121</v>
      </c>
      <c r="B14" s="3"/>
    </row>
    <row r="15" spans="1:2">
      <c r="A15" t="s">
        <v>122</v>
      </c>
    </row>
    <row r="16" spans="1:2">
      <c r="A16" t="s">
        <v>123</v>
      </c>
    </row>
    <row r="18" spans="1:2">
      <c r="A18" s="3" t="s">
        <v>124</v>
      </c>
      <c r="B18" s="3"/>
    </row>
    <row r="19" spans="1:2">
      <c r="A19" t="s">
        <v>125</v>
      </c>
      <c r="B19" s="7" t="str">
        <f>INDEX(RF_EUR_Ranges!$E$2:$E$12,MATCH(B3,RF_EUR_Ranges!$A$2:$A$12,0))</f>
        <v/>
      </c>
    </row>
    <row r="20" spans="1:2">
      <c r="A20" t="s">
        <v>126</v>
      </c>
      <c r="B20" s="7" t="str">
        <f>INDEX(RF_EUR_Ranges!$H$2:$H$12,MATCH(B3,RF_EUR_Ranges!$A$2:$A$12,0))</f>
        <v/>
      </c>
    </row>
    <row r="21" spans="1:2">
      <c r="A21" t="s">
        <v>127</v>
      </c>
      <c r="B21" s="7" t="str">
        <f>INDEX(RF_EUR_Ranges!$K$2:$K$12,MATCH(B3,RF_EUR_Ranges!$A$2:$A$12,0))</f>
        <v/>
      </c>
    </row>
    <row r="22" spans="1:2">
      <c r="A22" t="s">
        <v>128</v>
      </c>
      <c r="B22" s="7" t="str">
        <f>INDEX(RF_EUR_Ranges!$F$2:$F$12,MATCH(B3,RF_EUR_Ranges!$A$2:$A$12,0))</f>
        <v/>
      </c>
    </row>
    <row r="23" spans="1:2">
      <c r="A23" t="s">
        <v>129</v>
      </c>
      <c r="B23" s="7" t="str">
        <f>INDEX(RF_EUR_Ranges!$I$2:$I$12,MATCH(B3,RF_EUR_Ranges!$A$2:$A$12,0))</f>
        <v/>
      </c>
    </row>
    <row r="24" spans="1:2">
      <c r="A24" t="s">
        <v>130</v>
      </c>
      <c r="B24" s="7" t="str">
        <f>INDEX(RF_EUR_Ranges!$L$2:$L$12,MATCH(B3,RF_EUR_Ranges!$A$2:$A$12,0))</f>
        <v/>
      </c>
    </row>
    <row r="26" spans="1:2">
      <c r="B26" t="str">
        <f>INDEX(RF_EUR_Ranges!$E$2:$E$14,MATCH(B3,RF_EUR_Ranges!$A$2:$A$14,0))</f>
        <v/>
      </c>
    </row>
    <row r="27" spans="1:2">
      <c r="B27" t="str">
        <f>INDEX(RF_EUR_Ranges!$H$2:$H$14,MATCH(B3,RF_EUR_Ranges!$A$2:$A$14,0))</f>
        <v/>
      </c>
    </row>
    <row r="28" spans="1:2">
      <c r="B28" t="str">
        <f>INDEX(RF_EUR_Ranges!$K$2:$K$14,MATCH(B3,RF_EUR_Ranges!$A$2:$A$14,0))</f>
        <v/>
      </c>
    </row>
    <row r="30" spans="1:2">
      <c r="B30" t="str">
        <f>INDEX(RF_EUR_Ranges!$F$2:$F$14,MATCH(B3,RF_EUR_Ranges!$A$2:$A$14,0))</f>
        <v/>
      </c>
    </row>
    <row r="31" spans="1:2">
      <c r="B31" t="str">
        <f>INDEX(RF_EUR_Ranges!$I$2:$I$14,MATCH(B3,RF_EUR_Ranges!$A$2:$A$14,0))</f>
        <v/>
      </c>
    </row>
    <row r="32" spans="1:2">
      <c r="B32" t="str">
        <f>INDEX(RF_EUR_Ranges!$L$2:$L$14,MATCH(B3,RF_EUR_Ranges!$A$2:$A$14,0))</f>
        <v/>
      </c>
    </row>
  </sheetData>
  <pageMargins left="0.7" right="0.7" top="0.75" bottom="0.75" header="0.3" footer="0.3"/>
  <headerFooter>
    <oddHeader>&amp;C&amp;"Aptos"&amp;10&amp;K0078D7 [Open]&amp;1#_x000D_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6"/>
  <sheetViews>
    <sheetView workbookViewId="0"/>
  </sheetViews>
  <sheetFormatPr defaultRowHeight="14"/>
  <cols>
    <col min="1" max="1" width="30" customWidth="1"/>
    <col min="2" max="2" width="14" customWidth="1"/>
    <col min="3" max="3" width="80" customWidth="1"/>
  </cols>
  <sheetData>
    <row r="1" spans="1:3">
      <c r="A1" s="3" t="s">
        <v>131</v>
      </c>
      <c r="B1" s="3"/>
      <c r="C1" s="3"/>
    </row>
    <row r="2" spans="1:3">
      <c r="A2" s="2" t="s">
        <v>1</v>
      </c>
      <c r="B2" s="2" t="s">
        <v>2</v>
      </c>
      <c r="C2" s="2" t="s">
        <v>132</v>
      </c>
    </row>
    <row r="3" spans="1:3">
      <c r="A3" t="s">
        <v>133</v>
      </c>
      <c r="B3" s="10">
        <v>0.8</v>
      </c>
      <c r="C3" t="s">
        <v>134</v>
      </c>
    </row>
    <row r="4" spans="1:3">
      <c r="A4" t="s">
        <v>135</v>
      </c>
      <c r="B4" s="10">
        <v>1</v>
      </c>
      <c r="C4" t="s">
        <v>136</v>
      </c>
    </row>
    <row r="5" spans="1:3">
      <c r="A5" t="s">
        <v>137</v>
      </c>
      <c r="B5" s="10">
        <v>1.2</v>
      </c>
      <c r="C5" t="s">
        <v>138</v>
      </c>
    </row>
    <row r="6" spans="1:3">
      <c r="A6" t="s">
        <v>139</v>
      </c>
      <c r="C6" t="s">
        <v>140</v>
      </c>
    </row>
  </sheetData>
  <pageMargins left="0.7" right="0.7" top="0.75" bottom="0.75" header="0.3" footer="0.3"/>
  <headerFooter>
    <oddHeader>&amp;C&amp;"Aptos"&amp;10&amp;K0078D7 [Open]&amp;1#_x000D_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7"/>
  <sheetViews>
    <sheetView tabSelected="1" workbookViewId="0">
      <selection activeCell="C13" sqref="C13"/>
    </sheetView>
  </sheetViews>
  <sheetFormatPr defaultRowHeight="14"/>
  <cols>
    <col min="1" max="1" width="24" customWidth="1"/>
    <col min="2" max="2" width="26" customWidth="1"/>
    <col min="3" max="3" width="34" customWidth="1"/>
    <col min="4" max="4" width="30" customWidth="1"/>
    <col min="5" max="6" width="16" customWidth="1"/>
    <col min="7" max="7" width="60" customWidth="1"/>
    <col min="8" max="8" width="45" customWidth="1"/>
  </cols>
  <sheetData>
    <row r="1" spans="1:8">
      <c r="A1" s="13" t="s">
        <v>7</v>
      </c>
      <c r="B1" s="13" t="s">
        <v>1</v>
      </c>
      <c r="C1" s="13" t="s">
        <v>141</v>
      </c>
      <c r="D1" s="13" t="s">
        <v>142</v>
      </c>
      <c r="E1" s="13" t="s">
        <v>143</v>
      </c>
      <c r="F1" s="13" t="s">
        <v>144</v>
      </c>
      <c r="G1" s="13" t="s">
        <v>145</v>
      </c>
      <c r="H1" s="13" t="s">
        <v>146</v>
      </c>
    </row>
    <row r="2" spans="1:8" ht="28">
      <c r="A2" s="4" t="s">
        <v>92</v>
      </c>
      <c r="B2" s="4" t="s">
        <v>50</v>
      </c>
      <c r="C2" s="4" t="s">
        <v>147</v>
      </c>
      <c r="D2" s="4" t="s">
        <v>148</v>
      </c>
      <c r="E2" s="4" t="s">
        <v>147</v>
      </c>
      <c r="F2" s="4" t="s">
        <v>149</v>
      </c>
      <c r="G2" s="4" t="s">
        <v>150</v>
      </c>
      <c r="H2" s="4" t="s">
        <v>151</v>
      </c>
    </row>
    <row r="3" spans="1:8">
      <c r="A3" s="4" t="s">
        <v>92</v>
      </c>
      <c r="B3" s="4" t="s">
        <v>52</v>
      </c>
      <c r="C3" s="4" t="s">
        <v>147</v>
      </c>
      <c r="D3" s="4" t="s">
        <v>152</v>
      </c>
      <c r="E3" s="4" t="s">
        <v>147</v>
      </c>
      <c r="F3" s="4" t="s">
        <v>149</v>
      </c>
      <c r="G3" s="4" t="s">
        <v>153</v>
      </c>
      <c r="H3" s="4" t="s">
        <v>154</v>
      </c>
    </row>
    <row r="4" spans="1:8">
      <c r="A4" s="4" t="s">
        <v>92</v>
      </c>
      <c r="B4" s="4" t="s">
        <v>155</v>
      </c>
      <c r="C4" s="4" t="s">
        <v>156</v>
      </c>
      <c r="D4" s="4" t="s">
        <v>157</v>
      </c>
      <c r="E4" s="4" t="s">
        <v>147</v>
      </c>
      <c r="F4" s="4" t="s">
        <v>158</v>
      </c>
      <c r="G4" s="4" t="s">
        <v>159</v>
      </c>
      <c r="H4" s="4" t="s">
        <v>160</v>
      </c>
    </row>
    <row r="5" spans="1:8">
      <c r="A5" s="4" t="s">
        <v>93</v>
      </c>
      <c r="B5" s="4" t="s">
        <v>161</v>
      </c>
      <c r="C5" s="4" t="s">
        <v>162</v>
      </c>
      <c r="D5" s="4" t="s">
        <v>163</v>
      </c>
      <c r="E5" s="4" t="s">
        <v>147</v>
      </c>
      <c r="F5" s="4" t="s">
        <v>164</v>
      </c>
      <c r="G5" s="4" t="s">
        <v>165</v>
      </c>
      <c r="H5" s="4" t="s">
        <v>154</v>
      </c>
    </row>
    <row r="6" spans="1:8">
      <c r="A6" s="4" t="s">
        <v>93</v>
      </c>
      <c r="B6" s="4" t="s">
        <v>75</v>
      </c>
      <c r="C6" s="4" t="s">
        <v>166</v>
      </c>
      <c r="D6" s="4" t="s">
        <v>167</v>
      </c>
      <c r="E6" s="4" t="s">
        <v>168</v>
      </c>
      <c r="F6" s="4" t="s">
        <v>164</v>
      </c>
      <c r="G6" s="4" t="s">
        <v>169</v>
      </c>
      <c r="H6" s="4" t="s">
        <v>154</v>
      </c>
    </row>
    <row r="7" spans="1:8" ht="28">
      <c r="A7" s="4" t="s">
        <v>94</v>
      </c>
      <c r="B7" s="4" t="s">
        <v>170</v>
      </c>
      <c r="C7" s="4" t="s">
        <v>171</v>
      </c>
      <c r="D7" s="4" t="s">
        <v>172</v>
      </c>
      <c r="E7" s="4" t="s">
        <v>173</v>
      </c>
      <c r="F7" s="4" t="s">
        <v>174</v>
      </c>
      <c r="G7" s="4" t="s">
        <v>175</v>
      </c>
      <c r="H7" s="4" t="s">
        <v>176</v>
      </c>
    </row>
    <row r="8" spans="1:8">
      <c r="A8" s="4" t="s">
        <v>94</v>
      </c>
      <c r="B8" s="4" t="s">
        <v>52</v>
      </c>
      <c r="C8" s="4" t="s">
        <v>147</v>
      </c>
      <c r="D8" s="4" t="s">
        <v>152</v>
      </c>
      <c r="E8" s="4" t="s">
        <v>147</v>
      </c>
      <c r="F8" s="4" t="s">
        <v>177</v>
      </c>
      <c r="G8" s="4" t="s">
        <v>178</v>
      </c>
      <c r="H8" s="4" t="s">
        <v>176</v>
      </c>
    </row>
    <row r="9" spans="1:8" ht="28">
      <c r="A9" s="4" t="s">
        <v>95</v>
      </c>
      <c r="B9" s="4" t="s">
        <v>179</v>
      </c>
      <c r="C9" s="4" t="s">
        <v>180</v>
      </c>
      <c r="D9" s="4" t="s">
        <v>181</v>
      </c>
      <c r="E9" s="4" t="s">
        <v>173</v>
      </c>
      <c r="F9" s="4" t="s">
        <v>174</v>
      </c>
      <c r="G9" s="4" t="s">
        <v>182</v>
      </c>
      <c r="H9" s="4" t="s">
        <v>176</v>
      </c>
    </row>
    <row r="10" spans="1:8" ht="28">
      <c r="A10" s="4" t="s">
        <v>96</v>
      </c>
      <c r="B10" s="4" t="s">
        <v>183</v>
      </c>
      <c r="C10" s="4" t="s">
        <v>184</v>
      </c>
      <c r="D10" s="4" t="s">
        <v>185</v>
      </c>
      <c r="E10" s="4" t="s">
        <v>173</v>
      </c>
      <c r="F10" s="4" t="s">
        <v>186</v>
      </c>
      <c r="G10" s="4" t="s">
        <v>187</v>
      </c>
      <c r="H10" s="4" t="s">
        <v>176</v>
      </c>
    </row>
    <row r="11" spans="1:8" ht="28">
      <c r="A11" s="4" t="s">
        <v>97</v>
      </c>
      <c r="B11" s="4" t="s">
        <v>188</v>
      </c>
      <c r="C11" s="4" t="s">
        <v>189</v>
      </c>
      <c r="D11" s="4" t="s">
        <v>181</v>
      </c>
      <c r="E11" s="4" t="s">
        <v>173</v>
      </c>
      <c r="F11" s="4" t="s">
        <v>190</v>
      </c>
      <c r="G11" s="4" t="s">
        <v>191</v>
      </c>
      <c r="H11" s="4" t="s">
        <v>154</v>
      </c>
    </row>
    <row r="12" spans="1:8" ht="28">
      <c r="A12" s="4" t="s">
        <v>98</v>
      </c>
      <c r="B12" s="4" t="s">
        <v>192</v>
      </c>
      <c r="C12" s="4" t="s">
        <v>193</v>
      </c>
      <c r="D12" s="4" t="s">
        <v>157</v>
      </c>
      <c r="E12" s="4" t="s">
        <v>147</v>
      </c>
      <c r="F12" s="4" t="s">
        <v>194</v>
      </c>
      <c r="G12" s="4" t="s">
        <v>195</v>
      </c>
      <c r="H12" s="4" t="s">
        <v>196</v>
      </c>
    </row>
    <row r="13" spans="1:8" ht="28">
      <c r="A13" s="4" t="s">
        <v>99</v>
      </c>
      <c r="B13" s="4" t="s">
        <v>192</v>
      </c>
      <c r="C13" s="4" t="s">
        <v>197</v>
      </c>
      <c r="D13" s="4" t="s">
        <v>157</v>
      </c>
      <c r="E13" s="4" t="s">
        <v>147</v>
      </c>
      <c r="F13" s="4" t="s">
        <v>198</v>
      </c>
      <c r="G13" s="4" t="s">
        <v>199</v>
      </c>
      <c r="H13" s="4" t="s">
        <v>200</v>
      </c>
    </row>
    <row r="14" spans="1:8" ht="28">
      <c r="A14" s="4" t="s">
        <v>100</v>
      </c>
      <c r="B14" s="4" t="s">
        <v>201</v>
      </c>
      <c r="C14" s="4" t="s">
        <v>202</v>
      </c>
      <c r="D14" s="4" t="s">
        <v>203</v>
      </c>
      <c r="E14" s="4" t="s">
        <v>147</v>
      </c>
      <c r="F14" s="4" t="s">
        <v>204</v>
      </c>
      <c r="G14" s="4" t="s">
        <v>205</v>
      </c>
      <c r="H14" s="4" t="s">
        <v>206</v>
      </c>
    </row>
    <row r="15" spans="1:8" ht="28">
      <c r="A15" s="4" t="s">
        <v>101</v>
      </c>
      <c r="B15" s="4" t="s">
        <v>207</v>
      </c>
      <c r="C15" s="4" t="s">
        <v>208</v>
      </c>
      <c r="D15" s="4" t="s">
        <v>209</v>
      </c>
      <c r="E15" s="4" t="s">
        <v>147</v>
      </c>
      <c r="F15" s="4" t="s">
        <v>158</v>
      </c>
      <c r="G15" s="4" t="s">
        <v>210</v>
      </c>
      <c r="H15" s="4" t="s">
        <v>211</v>
      </c>
    </row>
    <row r="16" spans="1:8" ht="28">
      <c r="A16" s="4" t="s">
        <v>212</v>
      </c>
      <c r="B16" s="4" t="s">
        <v>213</v>
      </c>
      <c r="C16" s="4" t="s">
        <v>214</v>
      </c>
      <c r="D16" s="4" t="s">
        <v>215</v>
      </c>
      <c r="E16" s="4" t="s">
        <v>147</v>
      </c>
      <c r="F16" s="4" t="s">
        <v>216</v>
      </c>
      <c r="G16" s="4" t="s">
        <v>217</v>
      </c>
      <c r="H16" s="4" t="s">
        <v>218</v>
      </c>
    </row>
    <row r="17" spans="1:8">
      <c r="A17" s="4" t="s">
        <v>104</v>
      </c>
      <c r="B17" s="4" t="s">
        <v>219</v>
      </c>
      <c r="C17" s="4" t="s">
        <v>220</v>
      </c>
      <c r="D17" s="4" t="s">
        <v>157</v>
      </c>
      <c r="E17" s="4" t="s">
        <v>147</v>
      </c>
      <c r="F17" s="4" t="s">
        <v>158</v>
      </c>
      <c r="G17" s="4" t="s">
        <v>221</v>
      </c>
      <c r="H17" s="4" t="s">
        <v>211</v>
      </c>
    </row>
    <row r="18" spans="1:8" ht="28">
      <c r="A18" s="4" t="s">
        <v>94</v>
      </c>
      <c r="B18" s="4" t="s">
        <v>222</v>
      </c>
      <c r="C18" s="4" t="s">
        <v>223</v>
      </c>
      <c r="D18" s="4" t="s">
        <v>224</v>
      </c>
      <c r="E18" s="4" t="s">
        <v>173</v>
      </c>
      <c r="F18" s="4" t="s">
        <v>225</v>
      </c>
      <c r="G18" s="4" t="s">
        <v>226</v>
      </c>
      <c r="H18" s="4" t="s">
        <v>227</v>
      </c>
    </row>
    <row r="19" spans="1:8" ht="28">
      <c r="A19" s="4" t="s">
        <v>95</v>
      </c>
      <c r="B19" s="4" t="s">
        <v>228</v>
      </c>
      <c r="C19" s="4" t="s">
        <v>229</v>
      </c>
      <c r="D19" s="4" t="s">
        <v>230</v>
      </c>
      <c r="E19" s="4" t="s">
        <v>173</v>
      </c>
      <c r="F19" s="4" t="s">
        <v>231</v>
      </c>
      <c r="G19" s="4" t="s">
        <v>232</v>
      </c>
      <c r="H19" s="4" t="s">
        <v>233</v>
      </c>
    </row>
    <row r="20" spans="1:8" ht="28">
      <c r="A20" s="4" t="s">
        <v>96</v>
      </c>
      <c r="B20" s="4" t="s">
        <v>234</v>
      </c>
      <c r="C20" s="4" t="s">
        <v>235</v>
      </c>
      <c r="D20" s="4" t="s">
        <v>236</v>
      </c>
      <c r="E20" s="4" t="s">
        <v>173</v>
      </c>
      <c r="F20" s="4" t="s">
        <v>225</v>
      </c>
      <c r="G20" s="4" t="s">
        <v>237</v>
      </c>
      <c r="H20" s="4" t="s">
        <v>238</v>
      </c>
    </row>
    <row r="21" spans="1:8" ht="28">
      <c r="A21" s="4" t="s">
        <v>239</v>
      </c>
      <c r="B21" s="4" t="s">
        <v>240</v>
      </c>
      <c r="C21" s="4" t="s">
        <v>241</v>
      </c>
      <c r="D21" s="4" t="s">
        <v>242</v>
      </c>
      <c r="E21" s="4" t="s">
        <v>243</v>
      </c>
      <c r="F21" s="4" t="s">
        <v>244</v>
      </c>
      <c r="G21" s="4" t="s">
        <v>245</v>
      </c>
      <c r="H21" s="4" t="s">
        <v>246</v>
      </c>
    </row>
    <row r="22" spans="1:8" ht="28">
      <c r="A22" s="4" t="s">
        <v>86</v>
      </c>
      <c r="B22" s="4" t="s">
        <v>247</v>
      </c>
      <c r="C22" s="4" t="s">
        <v>248</v>
      </c>
      <c r="D22" s="4" t="s">
        <v>249</v>
      </c>
      <c r="E22" s="4" t="s">
        <v>250</v>
      </c>
      <c r="F22" s="4" t="s">
        <v>251</v>
      </c>
      <c r="G22" s="4" t="s">
        <v>252</v>
      </c>
      <c r="H22" s="4" t="s">
        <v>227</v>
      </c>
    </row>
    <row r="23" spans="1:8">
      <c r="A23" s="4"/>
      <c r="B23" s="4"/>
      <c r="C23" s="4"/>
      <c r="D23" s="4"/>
      <c r="E23" s="4"/>
      <c r="F23" s="4"/>
      <c r="G23" s="4"/>
      <c r="H23" s="4"/>
    </row>
    <row r="24" spans="1:8">
      <c r="A24" s="4"/>
      <c r="B24" s="4"/>
      <c r="C24" s="4"/>
      <c r="D24" s="4"/>
      <c r="E24" s="4"/>
      <c r="F24" s="4"/>
      <c r="G24" s="4"/>
      <c r="H24" s="4"/>
    </row>
    <row r="25" spans="1:8">
      <c r="A25" s="4"/>
      <c r="B25" s="4"/>
      <c r="C25" s="4"/>
      <c r="D25" s="4"/>
      <c r="E25" s="4"/>
      <c r="F25" s="4"/>
      <c r="G25" s="4"/>
      <c r="H25" s="4"/>
    </row>
    <row r="26" spans="1:8">
      <c r="A26" s="4"/>
      <c r="B26" s="4"/>
      <c r="C26" s="4"/>
      <c r="D26" s="4"/>
      <c r="E26" s="4"/>
      <c r="F26" s="4"/>
      <c r="G26" s="4"/>
      <c r="H26" s="4"/>
    </row>
    <row r="27" spans="1:8">
      <c r="A27" s="4"/>
      <c r="B27" s="4"/>
      <c r="C27" s="4"/>
      <c r="D27" s="4"/>
      <c r="E27" s="4"/>
      <c r="F27" s="4"/>
      <c r="G27" s="4"/>
      <c r="H27" s="4"/>
    </row>
  </sheetData>
  <pageMargins left="0.7" right="0.7" top="0.75" bottom="0.75" header="0.3" footer="0.3"/>
  <headerFooter>
    <oddHeader>&amp;C&amp;"Aptos"&amp;10&amp;K0078D7 [Open]&amp;1#_x000D_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4"/>
  <sheetViews>
    <sheetView workbookViewId="0">
      <selection activeCell="D2" sqref="D2:D12"/>
    </sheetView>
  </sheetViews>
  <sheetFormatPr defaultRowHeight="14"/>
  <cols>
    <col min="1" max="1" width="10" customWidth="1"/>
    <col min="2" max="2" width="60" customWidth="1"/>
    <col min="3" max="3" width="12" customWidth="1"/>
    <col min="4" max="4" width="60" customWidth="1"/>
    <col min="5" max="5" width="45" customWidth="1"/>
  </cols>
  <sheetData>
    <row r="1" spans="1:5">
      <c r="A1" s="13" t="s">
        <v>253</v>
      </c>
      <c r="B1" s="13" t="s">
        <v>254</v>
      </c>
      <c r="C1" s="13" t="s">
        <v>255</v>
      </c>
      <c r="D1" s="13" t="s">
        <v>256</v>
      </c>
      <c r="E1" s="13" t="s">
        <v>257</v>
      </c>
    </row>
    <row r="2" spans="1:5" ht="28">
      <c r="A2" s="4" t="s">
        <v>258</v>
      </c>
      <c r="B2" s="4" t="s">
        <v>259</v>
      </c>
      <c r="C2" s="4" t="s">
        <v>260</v>
      </c>
      <c r="D2" s="4" t="s">
        <v>261</v>
      </c>
      <c r="E2" s="4" t="s">
        <v>211</v>
      </c>
    </row>
    <row r="3" spans="1:5" ht="28">
      <c r="A3" s="4" t="s">
        <v>262</v>
      </c>
      <c r="B3" s="4" t="s">
        <v>263</v>
      </c>
      <c r="C3" s="4" t="s">
        <v>264</v>
      </c>
      <c r="D3" s="4" t="s">
        <v>265</v>
      </c>
      <c r="E3" s="4" t="s">
        <v>160</v>
      </c>
    </row>
    <row r="4" spans="1:5" ht="28">
      <c r="A4" s="4" t="s">
        <v>266</v>
      </c>
      <c r="B4" s="4" t="s">
        <v>267</v>
      </c>
      <c r="C4" s="4" t="s">
        <v>268</v>
      </c>
      <c r="D4" s="4" t="s">
        <v>269</v>
      </c>
      <c r="E4" s="4" t="s">
        <v>151</v>
      </c>
    </row>
    <row r="5" spans="1:5" ht="28">
      <c r="A5" s="4" t="s">
        <v>164</v>
      </c>
      <c r="B5" s="4" t="s">
        <v>270</v>
      </c>
      <c r="C5" s="4" t="s">
        <v>264</v>
      </c>
      <c r="D5" s="4" t="s">
        <v>271</v>
      </c>
      <c r="E5" s="4" t="s">
        <v>154</v>
      </c>
    </row>
    <row r="6" spans="1:5" ht="28">
      <c r="A6" s="4" t="s">
        <v>272</v>
      </c>
      <c r="B6" s="4" t="s">
        <v>273</v>
      </c>
      <c r="C6" s="4" t="s">
        <v>274</v>
      </c>
      <c r="D6" s="4" t="s">
        <v>275</v>
      </c>
      <c r="E6" s="4" t="s">
        <v>196</v>
      </c>
    </row>
    <row r="7" spans="1:5" ht="28">
      <c r="A7" s="4" t="s">
        <v>276</v>
      </c>
      <c r="B7" s="4" t="s">
        <v>277</v>
      </c>
      <c r="C7" s="4" t="s">
        <v>278</v>
      </c>
      <c r="D7" s="4" t="s">
        <v>279</v>
      </c>
      <c r="E7" s="4" t="s">
        <v>206</v>
      </c>
    </row>
    <row r="8" spans="1:5" ht="28">
      <c r="A8" s="4" t="s">
        <v>280</v>
      </c>
      <c r="B8" s="4" t="s">
        <v>281</v>
      </c>
      <c r="C8" s="4" t="s">
        <v>274</v>
      </c>
      <c r="D8" s="4" t="s">
        <v>282</v>
      </c>
      <c r="E8" s="4" t="s">
        <v>283</v>
      </c>
    </row>
    <row r="9" spans="1:5" ht="28">
      <c r="A9" s="4" t="s">
        <v>284</v>
      </c>
      <c r="B9" s="4" t="s">
        <v>285</v>
      </c>
      <c r="C9" s="4" t="s">
        <v>274</v>
      </c>
      <c r="D9" s="4" t="s">
        <v>286</v>
      </c>
      <c r="E9" s="4" t="s">
        <v>218</v>
      </c>
    </row>
    <row r="10" spans="1:5" ht="28">
      <c r="A10" s="4" t="s">
        <v>287</v>
      </c>
      <c r="B10" s="4" t="s">
        <v>288</v>
      </c>
      <c r="C10" s="4" t="s">
        <v>289</v>
      </c>
      <c r="D10" s="4" t="s">
        <v>290</v>
      </c>
      <c r="E10" s="4" t="s">
        <v>200</v>
      </c>
    </row>
    <row r="11" spans="1:5" ht="28">
      <c r="A11" s="4" t="s">
        <v>177</v>
      </c>
      <c r="B11" s="4" t="s">
        <v>291</v>
      </c>
      <c r="C11" s="4" t="s">
        <v>264</v>
      </c>
      <c r="D11" s="4" t="s">
        <v>292</v>
      </c>
      <c r="E11" s="4" t="s">
        <v>227</v>
      </c>
    </row>
    <row r="12" spans="1:5">
      <c r="A12" t="s">
        <v>293</v>
      </c>
      <c r="B12" t="s">
        <v>294</v>
      </c>
      <c r="C12" t="s">
        <v>295</v>
      </c>
      <c r="D12" t="s">
        <v>296</v>
      </c>
      <c r="E12" t="s">
        <v>246</v>
      </c>
    </row>
    <row r="13" spans="1:5">
      <c r="A13" t="s">
        <v>297</v>
      </c>
      <c r="B13" t="s">
        <v>298</v>
      </c>
      <c r="C13" t="s">
        <v>278</v>
      </c>
      <c r="D13" t="s">
        <v>299</v>
      </c>
      <c r="E13" t="s">
        <v>233</v>
      </c>
    </row>
    <row r="14" spans="1:5">
      <c r="A14" t="s">
        <v>300</v>
      </c>
      <c r="B14" t="s">
        <v>301</v>
      </c>
      <c r="C14" t="s">
        <v>302</v>
      </c>
      <c r="D14" t="s">
        <v>303</v>
      </c>
      <c r="E14" t="s">
        <v>238</v>
      </c>
    </row>
  </sheetData>
  <pageMargins left="0.7" right="0.7" top="0.75" bottom="0.75" header="0.3" footer="0.3"/>
  <headerFooter>
    <oddHeader>&amp;C&amp;"Aptos"&amp;10&amp;K0078D7 [Open]&amp;1#_x000D_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9"/>
  <sheetViews>
    <sheetView workbookViewId="0">
      <selection activeCell="C29" sqref="C29"/>
    </sheetView>
  </sheetViews>
  <sheetFormatPr defaultRowHeight="14"/>
  <cols>
    <col min="1" max="2" width="16" customWidth="1"/>
    <col min="3" max="3" width="12" customWidth="1"/>
    <col min="4" max="4" width="24" customWidth="1"/>
    <col min="5" max="5" width="16" customWidth="1"/>
    <col min="6" max="6" width="18" customWidth="1"/>
    <col min="7" max="8" width="16" customWidth="1"/>
    <col min="9" max="9" width="14" customWidth="1"/>
    <col min="10" max="10" width="16" customWidth="1"/>
    <col min="11" max="12" width="18" customWidth="1"/>
  </cols>
  <sheetData>
    <row r="1" spans="1:12">
      <c r="A1" s="13" t="s">
        <v>304</v>
      </c>
      <c r="B1" s="13" t="s">
        <v>32</v>
      </c>
      <c r="C1" s="13" t="s">
        <v>305</v>
      </c>
      <c r="D1" s="13" t="s">
        <v>306</v>
      </c>
      <c r="E1" s="13" t="s">
        <v>307</v>
      </c>
      <c r="F1" s="13" t="s">
        <v>308</v>
      </c>
      <c r="G1" s="13" t="s">
        <v>309</v>
      </c>
      <c r="H1" s="13" t="s">
        <v>310</v>
      </c>
      <c r="I1" s="13" t="s">
        <v>311</v>
      </c>
      <c r="J1" s="13" t="s">
        <v>312</v>
      </c>
      <c r="K1" s="13" t="s">
        <v>313</v>
      </c>
      <c r="L1" s="13" t="s">
        <v>314</v>
      </c>
    </row>
    <row r="2" spans="1:12">
      <c r="A2" t="s">
        <v>315</v>
      </c>
      <c r="B2" t="s">
        <v>316</v>
      </c>
      <c r="C2" t="s">
        <v>147</v>
      </c>
      <c r="D2" t="s">
        <v>317</v>
      </c>
      <c r="E2" t="s">
        <v>318</v>
      </c>
      <c r="F2" t="s">
        <v>319</v>
      </c>
      <c r="G2" t="s">
        <v>316</v>
      </c>
      <c r="H2" t="s">
        <v>320</v>
      </c>
      <c r="I2" t="s">
        <v>321</v>
      </c>
      <c r="J2" t="s">
        <v>316</v>
      </c>
      <c r="K2" t="s">
        <v>147</v>
      </c>
      <c r="L2" t="s">
        <v>322</v>
      </c>
    </row>
    <row r="3" spans="1:12">
      <c r="A3" t="s">
        <v>323</v>
      </c>
      <c r="B3" t="s">
        <v>324</v>
      </c>
      <c r="C3" t="s">
        <v>325</v>
      </c>
      <c r="D3" t="s">
        <v>326</v>
      </c>
      <c r="E3" t="s">
        <v>327</v>
      </c>
      <c r="F3" t="s">
        <v>328</v>
      </c>
      <c r="G3" t="s">
        <v>329</v>
      </c>
      <c r="H3" t="s">
        <v>330</v>
      </c>
      <c r="I3" t="s">
        <v>331</v>
      </c>
      <c r="J3" t="s">
        <v>324</v>
      </c>
      <c r="K3" t="s">
        <v>325</v>
      </c>
      <c r="L3" t="s">
        <v>168</v>
      </c>
    </row>
    <row r="4" spans="1:12">
      <c r="B4" t="s">
        <v>332</v>
      </c>
      <c r="D4" t="s">
        <v>333</v>
      </c>
      <c r="E4" t="s">
        <v>334</v>
      </c>
      <c r="F4" t="s">
        <v>335</v>
      </c>
      <c r="G4" t="s">
        <v>332</v>
      </c>
      <c r="H4" t="s">
        <v>336</v>
      </c>
      <c r="I4" t="s">
        <v>337</v>
      </c>
      <c r="J4" t="s">
        <v>332</v>
      </c>
      <c r="K4" t="s">
        <v>338</v>
      </c>
      <c r="L4" t="s">
        <v>339</v>
      </c>
    </row>
    <row r="5" spans="1:12">
      <c r="D5" t="s">
        <v>340</v>
      </c>
      <c r="I5" t="s">
        <v>341</v>
      </c>
      <c r="J5" t="s">
        <v>338</v>
      </c>
    </row>
    <row r="6" spans="1:12">
      <c r="D6" t="s">
        <v>342</v>
      </c>
    </row>
    <row r="7" spans="1:12">
      <c r="D7" t="s">
        <v>343</v>
      </c>
    </row>
    <row r="8" spans="1:12">
      <c r="D8" t="s">
        <v>344</v>
      </c>
    </row>
    <row r="9" spans="1:12">
      <c r="D9" t="s">
        <v>345</v>
      </c>
    </row>
  </sheetData>
  <pageMargins left="0.7" right="0.7" top="0.75" bottom="0.75" header="0.3" footer="0.3"/>
  <headerFooter>
    <oddHeader>&amp;C&amp;"Aptos"&amp;10&amp;K0078D7 [Open]&amp;1#_x000D_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D2B68-F6E4-4B6A-B153-A2A5CE1EE8EE}">
  <dimension ref="A1:M73"/>
  <sheetViews>
    <sheetView workbookViewId="0">
      <pane ySplit="3" topLeftCell="A58" activePane="bottomLeft" state="frozen"/>
      <selection pane="bottomLeft" activeCell="C13" sqref="C13"/>
    </sheetView>
  </sheetViews>
  <sheetFormatPr defaultColWidth="8.83203125" defaultRowHeight="14.5"/>
  <cols>
    <col min="1" max="1" width="14.9140625" style="32" customWidth="1"/>
    <col min="2" max="2" width="22.4140625" style="18" customWidth="1"/>
    <col min="3" max="3" width="25.6640625" style="18" customWidth="1"/>
    <col min="4" max="4" width="16.58203125" style="19" customWidth="1"/>
    <col min="5" max="5" width="13.4140625" style="19" customWidth="1"/>
    <col min="6" max="6" width="19.6640625" style="18" customWidth="1"/>
    <col min="7" max="9" width="8.83203125" style="19"/>
    <col min="10" max="10" width="19.83203125" style="19" customWidth="1"/>
    <col min="11" max="11" width="18" style="19" customWidth="1"/>
    <col min="12" max="12" width="39.9140625" style="19" customWidth="1"/>
    <col min="13" max="16384" width="8.83203125" style="19"/>
  </cols>
  <sheetData>
    <row r="1" spans="1:6">
      <c r="A1" s="17" t="s">
        <v>359</v>
      </c>
    </row>
    <row r="3" spans="1:6">
      <c r="A3" s="20" t="s">
        <v>360</v>
      </c>
      <c r="B3" s="20" t="s">
        <v>361</v>
      </c>
      <c r="C3" s="20" t="s">
        <v>362</v>
      </c>
      <c r="D3" s="21" t="s">
        <v>2</v>
      </c>
      <c r="E3" s="21" t="s">
        <v>363</v>
      </c>
      <c r="F3" s="20" t="s">
        <v>364</v>
      </c>
    </row>
    <row r="4" spans="1:6">
      <c r="A4" s="358" t="s">
        <v>365</v>
      </c>
      <c r="B4" s="22" t="s">
        <v>366</v>
      </c>
      <c r="C4" s="22" t="s">
        <v>367</v>
      </c>
      <c r="D4" s="23" t="s">
        <v>368</v>
      </c>
      <c r="E4" s="23"/>
      <c r="F4" s="22" t="s">
        <v>369</v>
      </c>
    </row>
    <row r="5" spans="1:6">
      <c r="A5" s="358"/>
      <c r="B5" s="22" t="s">
        <v>370</v>
      </c>
      <c r="C5" s="22" t="s">
        <v>367</v>
      </c>
      <c r="D5" s="23" t="s">
        <v>371</v>
      </c>
      <c r="E5" s="23"/>
      <c r="F5" s="22"/>
    </row>
    <row r="6" spans="1:6">
      <c r="A6" s="358"/>
      <c r="B6" s="22" t="s">
        <v>372</v>
      </c>
      <c r="C6" s="22" t="s">
        <v>367</v>
      </c>
      <c r="D6" s="23" t="s">
        <v>373</v>
      </c>
      <c r="E6" s="23"/>
      <c r="F6" s="22"/>
    </row>
    <row r="7" spans="1:6" ht="29">
      <c r="A7" s="358"/>
      <c r="B7" s="22" t="s">
        <v>374</v>
      </c>
      <c r="C7" s="22" t="s">
        <v>375</v>
      </c>
      <c r="D7" s="23" t="s">
        <v>376</v>
      </c>
      <c r="E7" s="23"/>
      <c r="F7" s="22" t="s">
        <v>377</v>
      </c>
    </row>
    <row r="8" spans="1:6">
      <c r="A8" s="358"/>
      <c r="B8" s="22" t="s">
        <v>378</v>
      </c>
      <c r="C8" s="22"/>
      <c r="D8" s="24">
        <v>0.2</v>
      </c>
      <c r="E8" s="22" t="s">
        <v>57</v>
      </c>
      <c r="F8" s="22" t="s">
        <v>379</v>
      </c>
    </row>
    <row r="9" spans="1:6" ht="58">
      <c r="A9" s="358"/>
      <c r="B9" s="22" t="s">
        <v>380</v>
      </c>
      <c r="C9" s="22" t="s">
        <v>381</v>
      </c>
      <c r="D9" s="23" t="s">
        <v>382</v>
      </c>
      <c r="E9" s="23"/>
      <c r="F9" s="22" t="s">
        <v>383</v>
      </c>
    </row>
    <row r="10" spans="1:6">
      <c r="A10" s="358"/>
      <c r="B10" s="22" t="s">
        <v>384</v>
      </c>
      <c r="C10" s="22" t="s">
        <v>385</v>
      </c>
      <c r="D10" s="25">
        <v>46022</v>
      </c>
      <c r="E10" s="23"/>
      <c r="F10" s="22" t="s">
        <v>386</v>
      </c>
    </row>
    <row r="11" spans="1:6">
      <c r="A11" s="358"/>
      <c r="B11" s="22" t="s">
        <v>387</v>
      </c>
      <c r="C11" s="22" t="s">
        <v>367</v>
      </c>
      <c r="D11" s="23"/>
      <c r="E11" s="23"/>
      <c r="F11" s="22" t="s">
        <v>388</v>
      </c>
    </row>
    <row r="12" spans="1:6">
      <c r="A12" s="358" t="s">
        <v>389</v>
      </c>
      <c r="B12" s="22" t="s">
        <v>390</v>
      </c>
      <c r="C12" s="22" t="s">
        <v>391</v>
      </c>
      <c r="D12" s="23">
        <v>2300</v>
      </c>
      <c r="E12" s="22" t="s">
        <v>31</v>
      </c>
      <c r="F12" s="22"/>
    </row>
    <row r="13" spans="1:6">
      <c r="A13" s="358"/>
      <c r="B13" s="22" t="s">
        <v>30</v>
      </c>
      <c r="C13" s="22" t="s">
        <v>391</v>
      </c>
      <c r="D13" s="23">
        <v>38</v>
      </c>
      <c r="E13" s="22" t="s">
        <v>31</v>
      </c>
      <c r="F13" s="22"/>
    </row>
    <row r="14" spans="1:6">
      <c r="A14" s="358"/>
      <c r="B14" s="22" t="s">
        <v>392</v>
      </c>
      <c r="C14" s="22" t="s">
        <v>391</v>
      </c>
      <c r="D14" s="23">
        <v>38</v>
      </c>
      <c r="E14" s="22" t="s">
        <v>31</v>
      </c>
      <c r="F14" s="22"/>
    </row>
    <row r="15" spans="1:6">
      <c r="A15" s="358"/>
      <c r="B15" s="22" t="s">
        <v>393</v>
      </c>
      <c r="C15" s="22" t="s">
        <v>391</v>
      </c>
      <c r="D15" s="23"/>
      <c r="E15" s="22" t="s">
        <v>394</v>
      </c>
      <c r="F15" s="22"/>
    </row>
    <row r="16" spans="1:6">
      <c r="A16" s="358"/>
      <c r="B16" s="22" t="s">
        <v>395</v>
      </c>
      <c r="C16" s="22" t="s">
        <v>391</v>
      </c>
      <c r="D16" s="26">
        <v>0.24</v>
      </c>
      <c r="E16" s="23"/>
      <c r="F16" s="22" t="s">
        <v>396</v>
      </c>
    </row>
    <row r="17" spans="1:6">
      <c r="A17" s="358"/>
      <c r="B17" s="22" t="s">
        <v>397</v>
      </c>
      <c r="C17" s="22" t="s">
        <v>391</v>
      </c>
      <c r="D17" s="23">
        <v>30</v>
      </c>
      <c r="E17" s="22" t="s">
        <v>22</v>
      </c>
      <c r="F17" s="22"/>
    </row>
    <row r="18" spans="1:6">
      <c r="A18" s="358"/>
      <c r="B18" s="22" t="s">
        <v>398</v>
      </c>
      <c r="C18" s="22" t="s">
        <v>391</v>
      </c>
      <c r="D18" s="23">
        <v>1</v>
      </c>
      <c r="E18" s="23"/>
      <c r="F18" s="22" t="s">
        <v>396</v>
      </c>
    </row>
    <row r="19" spans="1:6">
      <c r="A19" s="358"/>
      <c r="B19" s="22" t="s">
        <v>399</v>
      </c>
      <c r="C19" s="22" t="s">
        <v>391</v>
      </c>
      <c r="D19" s="23">
        <v>0.7</v>
      </c>
      <c r="E19" s="22" t="s">
        <v>400</v>
      </c>
      <c r="F19" s="22"/>
    </row>
    <row r="20" spans="1:6">
      <c r="A20" s="358"/>
      <c r="B20" s="22" t="s">
        <v>401</v>
      </c>
      <c r="C20" s="22" t="s">
        <v>391</v>
      </c>
      <c r="D20" s="23"/>
      <c r="E20" s="23"/>
      <c r="F20" s="22" t="s">
        <v>396</v>
      </c>
    </row>
    <row r="21" spans="1:6">
      <c r="A21" s="358"/>
      <c r="B21" s="22" t="s">
        <v>402</v>
      </c>
      <c r="C21" s="22" t="s">
        <v>391</v>
      </c>
      <c r="D21" s="23"/>
      <c r="E21" s="23"/>
      <c r="F21" s="22" t="s">
        <v>396</v>
      </c>
    </row>
    <row r="22" spans="1:6" ht="29">
      <c r="A22" s="358"/>
      <c r="B22" s="22" t="s">
        <v>403</v>
      </c>
      <c r="C22" s="22" t="s">
        <v>367</v>
      </c>
      <c r="D22" s="23"/>
      <c r="E22" s="23"/>
      <c r="F22" s="22" t="s">
        <v>404</v>
      </c>
    </row>
    <row r="23" spans="1:6" ht="29">
      <c r="A23" s="358"/>
      <c r="B23" s="22" t="s">
        <v>405</v>
      </c>
      <c r="C23" s="22" t="s">
        <v>406</v>
      </c>
      <c r="D23" s="23"/>
      <c r="E23" s="23"/>
      <c r="F23" s="22" t="s">
        <v>407</v>
      </c>
    </row>
    <row r="24" spans="1:6" ht="29">
      <c r="A24" s="358"/>
      <c r="B24" s="22" t="s">
        <v>408</v>
      </c>
      <c r="C24" s="22" t="s">
        <v>409</v>
      </c>
      <c r="D24" s="23" t="s">
        <v>410</v>
      </c>
      <c r="E24" s="23"/>
      <c r="F24" s="22"/>
    </row>
    <row r="25" spans="1:6" ht="29">
      <c r="A25" s="358"/>
      <c r="B25" s="22" t="s">
        <v>411</v>
      </c>
      <c r="C25" s="22" t="s">
        <v>412</v>
      </c>
      <c r="D25" s="23" t="s">
        <v>413</v>
      </c>
      <c r="E25" s="23"/>
      <c r="F25" s="22"/>
    </row>
    <row r="26" spans="1:6">
      <c r="A26" s="358"/>
      <c r="B26" s="22" t="s">
        <v>15</v>
      </c>
      <c r="C26" s="22" t="s">
        <v>391</v>
      </c>
      <c r="D26" s="23">
        <v>74</v>
      </c>
      <c r="E26" s="22" t="s">
        <v>16</v>
      </c>
      <c r="F26" s="22"/>
    </row>
    <row r="27" spans="1:6">
      <c r="A27" s="358"/>
      <c r="B27" s="22" t="s">
        <v>414</v>
      </c>
      <c r="C27" s="22" t="s">
        <v>391</v>
      </c>
      <c r="D27" s="23">
        <v>3900</v>
      </c>
      <c r="E27" s="22" t="s">
        <v>415</v>
      </c>
      <c r="F27" s="22"/>
    </row>
    <row r="28" spans="1:6">
      <c r="A28" s="358"/>
      <c r="B28" s="22" t="s">
        <v>416</v>
      </c>
      <c r="C28" s="22" t="s">
        <v>391</v>
      </c>
      <c r="D28" s="23">
        <v>3100</v>
      </c>
      <c r="E28" s="22" t="s">
        <v>415</v>
      </c>
      <c r="F28" s="22"/>
    </row>
    <row r="29" spans="1:6">
      <c r="A29" s="358"/>
      <c r="B29" s="22" t="s">
        <v>417</v>
      </c>
      <c r="C29" s="22" t="s">
        <v>391</v>
      </c>
      <c r="D29" s="23">
        <v>2646</v>
      </c>
      <c r="E29" s="22" t="s">
        <v>415</v>
      </c>
      <c r="F29" s="22"/>
    </row>
    <row r="30" spans="1:6" ht="87">
      <c r="A30" s="358" t="s">
        <v>418</v>
      </c>
      <c r="B30" s="22" t="s">
        <v>419</v>
      </c>
      <c r="C30" s="22" t="s">
        <v>367</v>
      </c>
      <c r="D30" s="23" t="s">
        <v>420</v>
      </c>
      <c r="E30" s="23"/>
      <c r="F30" s="22" t="s">
        <v>421</v>
      </c>
    </row>
    <row r="31" spans="1:6">
      <c r="A31" s="358"/>
      <c r="B31" s="22" t="s">
        <v>422</v>
      </c>
      <c r="C31" s="22" t="s">
        <v>391</v>
      </c>
      <c r="D31" s="23">
        <v>574</v>
      </c>
      <c r="E31" s="22" t="s">
        <v>423</v>
      </c>
      <c r="F31" s="22"/>
    </row>
    <row r="32" spans="1:6">
      <c r="A32" s="358"/>
      <c r="B32" s="22" t="s">
        <v>424</v>
      </c>
      <c r="C32" s="22" t="s">
        <v>391</v>
      </c>
      <c r="D32" s="23"/>
      <c r="E32" s="22" t="s">
        <v>425</v>
      </c>
      <c r="F32" s="22"/>
    </row>
    <row r="33" spans="1:13">
      <c r="A33" s="358"/>
      <c r="B33" s="22" t="s">
        <v>426</v>
      </c>
      <c r="C33" s="22" t="s">
        <v>391</v>
      </c>
      <c r="D33" s="23">
        <v>0.75</v>
      </c>
      <c r="E33" s="22" t="s">
        <v>425</v>
      </c>
      <c r="F33" s="22"/>
    </row>
    <row r="34" spans="1:13">
      <c r="A34" s="358"/>
      <c r="B34" s="22" t="s">
        <v>19</v>
      </c>
      <c r="C34" s="22" t="s">
        <v>391</v>
      </c>
      <c r="D34" s="23">
        <v>25</v>
      </c>
      <c r="E34" s="22" t="s">
        <v>427</v>
      </c>
      <c r="F34" s="22"/>
    </row>
    <row r="35" spans="1:13">
      <c r="A35" s="358"/>
      <c r="B35" s="22" t="s">
        <v>428</v>
      </c>
      <c r="C35" s="22" t="s">
        <v>391</v>
      </c>
      <c r="D35" s="23">
        <v>2.2000000000000002</v>
      </c>
      <c r="E35" s="22" t="s">
        <v>18</v>
      </c>
      <c r="F35" s="22"/>
    </row>
    <row r="36" spans="1:13">
      <c r="A36" s="358"/>
      <c r="B36" s="22" t="s">
        <v>429</v>
      </c>
      <c r="C36" s="22" t="s">
        <v>391</v>
      </c>
      <c r="D36" s="23">
        <v>1.78</v>
      </c>
      <c r="E36" s="22" t="s">
        <v>18</v>
      </c>
      <c r="F36" s="22"/>
    </row>
    <row r="37" spans="1:13">
      <c r="A37" s="358"/>
      <c r="B37" s="22" t="s">
        <v>430</v>
      </c>
      <c r="C37" s="22"/>
      <c r="D37" s="23"/>
      <c r="E37" s="23"/>
      <c r="F37" s="22"/>
    </row>
    <row r="38" spans="1:13" ht="43.5">
      <c r="A38" s="358"/>
      <c r="B38" s="22" t="s">
        <v>431</v>
      </c>
      <c r="C38" s="22" t="s">
        <v>432</v>
      </c>
      <c r="D38" s="22" t="s">
        <v>433</v>
      </c>
      <c r="E38" s="23" t="s">
        <v>434</v>
      </c>
      <c r="F38" s="22" t="s">
        <v>435</v>
      </c>
    </row>
    <row r="39" spans="1:13" ht="72.5">
      <c r="A39" s="358"/>
      <c r="B39" s="22" t="s">
        <v>436</v>
      </c>
      <c r="C39" s="22" t="s">
        <v>432</v>
      </c>
      <c r="D39" s="22" t="s">
        <v>437</v>
      </c>
      <c r="E39" s="23" t="s">
        <v>438</v>
      </c>
      <c r="F39" s="22" t="s">
        <v>439</v>
      </c>
      <c r="M39" s="19" t="s">
        <v>147</v>
      </c>
    </row>
    <row r="40" spans="1:13">
      <c r="A40" s="358"/>
      <c r="B40" s="22" t="s">
        <v>440</v>
      </c>
      <c r="C40" s="22" t="s">
        <v>391</v>
      </c>
      <c r="D40" s="23">
        <v>177000</v>
      </c>
      <c r="E40" s="23" t="s">
        <v>26</v>
      </c>
      <c r="F40" s="22" t="s">
        <v>441</v>
      </c>
      <c r="M40" s="19" t="s">
        <v>325</v>
      </c>
    </row>
    <row r="41" spans="1:13" ht="43.5">
      <c r="A41" s="358"/>
      <c r="B41" s="22" t="s">
        <v>442</v>
      </c>
      <c r="C41" s="22" t="s">
        <v>432</v>
      </c>
      <c r="D41" s="23"/>
      <c r="E41" s="23" t="s">
        <v>26</v>
      </c>
      <c r="F41" s="22" t="s">
        <v>443</v>
      </c>
      <c r="J41" s="27" t="s">
        <v>444</v>
      </c>
      <c r="K41" s="27" t="s">
        <v>445</v>
      </c>
      <c r="L41" s="27" t="s">
        <v>446</v>
      </c>
    </row>
    <row r="42" spans="1:13" ht="43.5">
      <c r="A42" s="358"/>
      <c r="B42" s="22" t="s">
        <v>447</v>
      </c>
      <c r="C42" s="22" t="s">
        <v>432</v>
      </c>
      <c r="D42" s="23"/>
      <c r="E42" s="23" t="s">
        <v>26</v>
      </c>
      <c r="F42" s="22" t="s">
        <v>443</v>
      </c>
      <c r="J42" s="28" t="s">
        <v>448</v>
      </c>
      <c r="K42" s="29" t="s">
        <v>324</v>
      </c>
      <c r="L42" s="29" t="s">
        <v>449</v>
      </c>
    </row>
    <row r="43" spans="1:13">
      <c r="A43" s="358"/>
      <c r="B43" s="22" t="s">
        <v>450</v>
      </c>
      <c r="C43" s="22" t="s">
        <v>432</v>
      </c>
      <c r="D43" s="23"/>
      <c r="E43" s="23" t="s">
        <v>26</v>
      </c>
      <c r="F43" s="22" t="s">
        <v>451</v>
      </c>
      <c r="J43" s="28" t="s">
        <v>452</v>
      </c>
      <c r="K43" s="29" t="s">
        <v>453</v>
      </c>
      <c r="L43" s="29" t="s">
        <v>454</v>
      </c>
    </row>
    <row r="44" spans="1:13" ht="29">
      <c r="A44" s="358" t="s">
        <v>455</v>
      </c>
      <c r="B44" s="22" t="s">
        <v>456</v>
      </c>
      <c r="C44" s="22" t="s">
        <v>406</v>
      </c>
      <c r="D44" s="23" t="s">
        <v>147</v>
      </c>
      <c r="E44" s="23"/>
      <c r="F44" s="22" t="s">
        <v>407</v>
      </c>
      <c r="J44" s="28" t="s">
        <v>457</v>
      </c>
      <c r="K44" s="29" t="s">
        <v>453</v>
      </c>
      <c r="L44" s="29" t="s">
        <v>458</v>
      </c>
    </row>
    <row r="45" spans="1:13" ht="29">
      <c r="A45" s="358"/>
      <c r="B45" s="22" t="s">
        <v>459</v>
      </c>
      <c r="C45" s="22" t="s">
        <v>460</v>
      </c>
      <c r="D45" s="23">
        <v>0.9</v>
      </c>
      <c r="E45" s="23"/>
      <c r="F45" s="22" t="s">
        <v>461</v>
      </c>
      <c r="J45" s="28" t="s">
        <v>462</v>
      </c>
      <c r="K45" s="29" t="s">
        <v>463</v>
      </c>
      <c r="L45" s="29" t="s">
        <v>464</v>
      </c>
    </row>
    <row r="46" spans="1:13" ht="29">
      <c r="A46" s="358"/>
      <c r="B46" s="22" t="s">
        <v>402</v>
      </c>
      <c r="C46" s="22" t="s">
        <v>460</v>
      </c>
      <c r="D46" s="23">
        <v>0.3</v>
      </c>
      <c r="E46" s="23"/>
      <c r="F46" s="22"/>
      <c r="J46" s="28" t="s">
        <v>465</v>
      </c>
      <c r="K46" s="29" t="s">
        <v>324</v>
      </c>
      <c r="L46" s="29" t="s">
        <v>466</v>
      </c>
    </row>
    <row r="47" spans="1:13">
      <c r="A47" s="358"/>
      <c r="B47" s="22" t="s">
        <v>467</v>
      </c>
      <c r="C47" s="22" t="s">
        <v>460</v>
      </c>
      <c r="D47" s="23">
        <v>0.2</v>
      </c>
      <c r="E47" s="23"/>
      <c r="F47" s="22"/>
    </row>
    <row r="48" spans="1:13">
      <c r="A48" s="358"/>
      <c r="B48" s="22" t="s">
        <v>468</v>
      </c>
      <c r="C48" s="22" t="s">
        <v>460</v>
      </c>
      <c r="D48" s="23">
        <v>0.1</v>
      </c>
      <c r="E48" s="23"/>
      <c r="F48" s="22" t="s">
        <v>469</v>
      </c>
    </row>
    <row r="49" spans="1:6">
      <c r="A49" s="358"/>
      <c r="B49" s="22" t="s">
        <v>470</v>
      </c>
      <c r="C49" s="22" t="s">
        <v>460</v>
      </c>
      <c r="D49" s="23"/>
      <c r="E49" s="23"/>
      <c r="F49" s="22" t="s">
        <v>461</v>
      </c>
    </row>
    <row r="50" spans="1:6" ht="29">
      <c r="A50" s="358"/>
      <c r="B50" s="22" t="s">
        <v>471</v>
      </c>
      <c r="C50" s="22" t="s">
        <v>460</v>
      </c>
      <c r="D50" s="23" t="s">
        <v>472</v>
      </c>
      <c r="E50" s="23"/>
      <c r="F50" s="22" t="s">
        <v>473</v>
      </c>
    </row>
    <row r="51" spans="1:6">
      <c r="A51" s="358"/>
      <c r="B51" s="22" t="s">
        <v>474</v>
      </c>
      <c r="C51" s="22" t="s">
        <v>460</v>
      </c>
      <c r="D51" s="23" t="s">
        <v>472</v>
      </c>
      <c r="E51" s="22" t="s">
        <v>475</v>
      </c>
      <c r="F51" s="22"/>
    </row>
    <row r="52" spans="1:6">
      <c r="A52" s="358" t="s">
        <v>476</v>
      </c>
      <c r="B52" s="22" t="s">
        <v>477</v>
      </c>
      <c r="C52" s="22" t="s">
        <v>391</v>
      </c>
      <c r="D52" s="23">
        <v>121</v>
      </c>
      <c r="E52" s="23" t="s">
        <v>478</v>
      </c>
      <c r="F52" s="22" t="s">
        <v>479</v>
      </c>
    </row>
    <row r="53" spans="1:6">
      <c r="A53" s="358"/>
      <c r="B53" s="22" t="s">
        <v>480</v>
      </c>
      <c r="C53" s="22" t="s">
        <v>391</v>
      </c>
      <c r="D53" s="23">
        <v>34</v>
      </c>
      <c r="E53" s="23" t="s">
        <v>478</v>
      </c>
      <c r="F53" s="22" t="s">
        <v>479</v>
      </c>
    </row>
    <row r="54" spans="1:6" ht="29">
      <c r="A54" s="358"/>
      <c r="B54" s="22" t="s">
        <v>481</v>
      </c>
      <c r="C54" s="22" t="s">
        <v>482</v>
      </c>
      <c r="D54" s="23" t="s">
        <v>483</v>
      </c>
      <c r="E54" s="23"/>
      <c r="F54" s="22"/>
    </row>
    <row r="55" spans="1:6" ht="29">
      <c r="A55" s="358"/>
      <c r="B55" s="22" t="s">
        <v>484</v>
      </c>
      <c r="C55" s="22" t="s">
        <v>485</v>
      </c>
      <c r="D55" s="23" t="s">
        <v>486</v>
      </c>
      <c r="E55" s="23"/>
      <c r="F55" s="22"/>
    </row>
    <row r="56" spans="1:6">
      <c r="A56" s="358"/>
      <c r="B56" s="22" t="s">
        <v>487</v>
      </c>
      <c r="C56" s="22" t="s">
        <v>367</v>
      </c>
      <c r="D56" s="23" t="s">
        <v>488</v>
      </c>
      <c r="E56" s="23"/>
      <c r="F56" s="22" t="s">
        <v>489</v>
      </c>
    </row>
    <row r="57" spans="1:6" ht="29">
      <c r="A57" s="358"/>
      <c r="B57" s="22" t="s">
        <v>490</v>
      </c>
      <c r="C57" s="22" t="s">
        <v>367</v>
      </c>
      <c r="D57" s="23" t="s">
        <v>491</v>
      </c>
      <c r="E57" s="23"/>
      <c r="F57" s="22" t="s">
        <v>489</v>
      </c>
    </row>
    <row r="58" spans="1:6" ht="29">
      <c r="A58" s="358" t="s">
        <v>492</v>
      </c>
      <c r="B58" s="22" t="s">
        <v>493</v>
      </c>
      <c r="C58" s="22" t="s">
        <v>494</v>
      </c>
      <c r="D58" s="23" t="s">
        <v>495</v>
      </c>
      <c r="E58" s="23"/>
      <c r="F58" s="22"/>
    </row>
    <row r="59" spans="1:6">
      <c r="A59" s="358"/>
      <c r="B59" s="22" t="s">
        <v>496</v>
      </c>
      <c r="C59" s="22" t="s">
        <v>391</v>
      </c>
      <c r="D59" s="23">
        <v>900</v>
      </c>
      <c r="E59" s="22" t="s">
        <v>31</v>
      </c>
      <c r="F59" s="22"/>
    </row>
    <row r="60" spans="1:6" ht="29">
      <c r="A60" s="358"/>
      <c r="B60" s="22" t="s">
        <v>497</v>
      </c>
      <c r="C60" s="22" t="s">
        <v>406</v>
      </c>
      <c r="D60" s="23" t="s">
        <v>498</v>
      </c>
      <c r="E60" s="23"/>
      <c r="F60" s="22" t="s">
        <v>407</v>
      </c>
    </row>
    <row r="61" spans="1:6">
      <c r="A61" s="358"/>
      <c r="B61" s="22" t="s">
        <v>499</v>
      </c>
      <c r="C61" s="22" t="s">
        <v>367</v>
      </c>
      <c r="D61" s="23" t="s">
        <v>500</v>
      </c>
      <c r="E61" s="23"/>
      <c r="F61" s="22" t="s">
        <v>501</v>
      </c>
    </row>
    <row r="62" spans="1:6">
      <c r="A62" s="358"/>
      <c r="B62" s="22" t="s">
        <v>502</v>
      </c>
      <c r="C62" s="22" t="s">
        <v>385</v>
      </c>
      <c r="D62" s="30">
        <v>43556</v>
      </c>
      <c r="E62" s="23"/>
      <c r="F62" s="22" t="s">
        <v>386</v>
      </c>
    </row>
    <row r="63" spans="1:6">
      <c r="A63" s="358"/>
      <c r="B63" s="22" t="s">
        <v>503</v>
      </c>
      <c r="C63" s="22" t="s">
        <v>504</v>
      </c>
      <c r="D63" s="23" t="s">
        <v>505</v>
      </c>
      <c r="E63" s="23"/>
      <c r="F63" s="22" t="s">
        <v>386</v>
      </c>
    </row>
    <row r="64" spans="1:6" ht="58">
      <c r="A64" s="358"/>
      <c r="B64" s="22" t="s">
        <v>506</v>
      </c>
      <c r="C64" s="22" t="s">
        <v>367</v>
      </c>
      <c r="D64" s="22" t="s">
        <v>507</v>
      </c>
      <c r="E64" s="23"/>
      <c r="F64" s="22" t="s">
        <v>508</v>
      </c>
    </row>
    <row r="65" spans="1:6">
      <c r="A65" s="358" t="s">
        <v>509</v>
      </c>
      <c r="B65" s="22" t="s">
        <v>510</v>
      </c>
      <c r="C65" s="22" t="s">
        <v>511</v>
      </c>
      <c r="D65" s="23" t="s">
        <v>512</v>
      </c>
      <c r="E65" s="23"/>
      <c r="F65" s="22"/>
    </row>
    <row r="66" spans="1:6" ht="29">
      <c r="A66" s="358"/>
      <c r="B66" s="22" t="s">
        <v>513</v>
      </c>
      <c r="C66" s="22" t="s">
        <v>367</v>
      </c>
      <c r="D66" s="23" t="s">
        <v>514</v>
      </c>
      <c r="E66" s="23"/>
      <c r="F66" s="22" t="s">
        <v>515</v>
      </c>
    </row>
    <row r="67" spans="1:6">
      <c r="A67" s="358" t="s">
        <v>516</v>
      </c>
      <c r="B67" s="22" t="s">
        <v>517</v>
      </c>
      <c r="C67" s="22" t="s">
        <v>367</v>
      </c>
      <c r="D67" s="23" t="s">
        <v>518</v>
      </c>
      <c r="E67" s="23"/>
      <c r="F67" s="22" t="s">
        <v>519</v>
      </c>
    </row>
    <row r="68" spans="1:6" ht="29">
      <c r="A68" s="358"/>
      <c r="B68" s="22" t="s">
        <v>520</v>
      </c>
      <c r="C68" s="22" t="s">
        <v>367</v>
      </c>
      <c r="D68" s="23" t="s">
        <v>521</v>
      </c>
      <c r="E68" s="23"/>
      <c r="F68" s="22" t="s">
        <v>522</v>
      </c>
    </row>
    <row r="69" spans="1:6">
      <c r="A69" s="358"/>
      <c r="B69" s="22" t="s">
        <v>523</v>
      </c>
      <c r="C69" s="22" t="s">
        <v>367</v>
      </c>
      <c r="D69" s="23" t="s">
        <v>524</v>
      </c>
      <c r="E69" s="23"/>
      <c r="F69" s="22"/>
    </row>
    <row r="70" spans="1:6" ht="29">
      <c r="A70" s="358"/>
      <c r="B70" s="22" t="s">
        <v>525</v>
      </c>
      <c r="C70" s="22" t="s">
        <v>367</v>
      </c>
      <c r="D70" s="23" t="s">
        <v>514</v>
      </c>
      <c r="E70" s="23"/>
      <c r="F70" s="22"/>
    </row>
    <row r="71" spans="1:6" ht="43.4" customHeight="1">
      <c r="A71" s="358" t="s">
        <v>526</v>
      </c>
      <c r="B71" s="22" t="s">
        <v>527</v>
      </c>
      <c r="C71" s="22" t="s">
        <v>367</v>
      </c>
      <c r="D71" s="23" t="s">
        <v>528</v>
      </c>
      <c r="E71" s="23"/>
      <c r="F71" s="22" t="s">
        <v>529</v>
      </c>
    </row>
    <row r="72" spans="1:6">
      <c r="A72" s="358"/>
      <c r="B72" s="22" t="s">
        <v>530</v>
      </c>
      <c r="C72" s="22" t="s">
        <v>367</v>
      </c>
      <c r="D72" s="23" t="s">
        <v>531</v>
      </c>
      <c r="E72" s="23"/>
      <c r="F72" s="22" t="s">
        <v>532</v>
      </c>
    </row>
    <row r="73" spans="1:6">
      <c r="A73" s="358"/>
      <c r="B73" s="22" t="s">
        <v>385</v>
      </c>
      <c r="C73" s="22" t="s">
        <v>367</v>
      </c>
      <c r="D73" s="31">
        <v>45992</v>
      </c>
      <c r="E73" s="23"/>
      <c r="F73" s="22" t="s">
        <v>386</v>
      </c>
    </row>
  </sheetData>
  <mergeCells count="9">
    <mergeCell ref="A65:A66"/>
    <mergeCell ref="A67:A70"/>
    <mergeCell ref="A71:A73"/>
    <mergeCell ref="A4:A11"/>
    <mergeCell ref="A12:A29"/>
    <mergeCell ref="A30:A43"/>
    <mergeCell ref="A44:A51"/>
    <mergeCell ref="A52:A57"/>
    <mergeCell ref="A58:A64"/>
  </mergeCells>
  <dataValidations count="12">
    <dataValidation type="list" allowBlank="1" sqref="D7:D8" xr:uid="{FE50F395-2B9F-4D99-8229-337D47F6166B}">
      <formula1>"Primary; Waterflood; Gasflood; Other"</formula1>
    </dataValidation>
    <dataValidation type="list" allowBlank="1" sqref="D9" xr:uid="{7BD9608B-589E-4580-AD57-3827B35F1151}">
      <formula1>"CO2 miscible; HC gas miscible; Polymer; ASP; Surfactant; Thermal; WAG; HnP; Other"</formula1>
    </dataValidation>
    <dataValidation type="date" allowBlank="1" sqref="D10 D62:D63" xr:uid="{9294CC99-3940-458C-9889-CE21DD0A2374}"/>
    <dataValidation type="decimal" allowBlank="1" sqref="D59 D52:D53 D12:D21 D40 D26:D37" xr:uid="{6B8F8BE6-7F25-49B2-9537-A823E1FAAC89}"/>
    <dataValidation type="list" allowBlank="1" sqref="D23 D60" xr:uid="{DE73E558-1AA3-4F02-994B-0D283A89416F}">
      <formula1>"Yes; No"</formula1>
    </dataValidation>
    <dataValidation type="list" allowBlank="1" sqref="D24" xr:uid="{D5DA13F2-C92E-4342-94C7-70CA495B5873}">
      <formula1>"Sandstone; Carbonate; Mixed; Shale; Other"</formula1>
    </dataValidation>
    <dataValidation type="list" allowBlank="1" sqref="D25" xr:uid="{FFAF23C0-B1D7-42C0-87B3-010D7A4B31E0}">
      <formula1>"None; Natural; Induced; Both"</formula1>
    </dataValidation>
    <dataValidation type="list" allowBlank="1" sqref="D54" xr:uid="{E491C728-9CA4-4B2E-92A5-56EE92AD0B20}">
      <formula1>"Openhole; Cased &amp; Perforated; Slotted Liner; Other"</formula1>
    </dataValidation>
    <dataValidation type="list" allowBlank="1" sqref="D55" xr:uid="{47082CF7-3CA6-4D5C-B53D-2AEE3EA606E3}">
      <formula1>"None; ESP; Gas Lift; Rod Pump; PCP; Other"</formula1>
    </dataValidation>
    <dataValidation type="list" allowBlank="1" sqref="D58" xr:uid="{49AB1AB4-B158-433D-BC69-6AA4C45674FA}">
      <formula1>"5-spot; 7-spot; 9-spot; Line drive; Peripheral; N/A"</formula1>
    </dataValidation>
    <dataValidation type="list" allowBlank="1" sqref="D65" xr:uid="{0674672C-AD7D-4D87-AAFF-B708FF27BC84}">
      <formula1>"None; CO2; H2S; Both"</formula1>
    </dataValidation>
    <dataValidation type="list" allowBlank="1" sqref="D44" xr:uid="{E7404836-276C-46DB-9BA8-90827829B228}">
      <formula1>$M$39:$M$40</formula1>
    </dataValidation>
  </dataValidations>
  <pageMargins left="0.75" right="0.75" top="1" bottom="1" header="0.5" footer="0.5"/>
  <headerFooter>
    <oddHeader>&amp;C&amp;"Aptos"&amp;10&amp;K0078D7 [Open]&amp;1#_x000D_</oddHead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CE548-29BF-45CE-8592-DE1057BB8BB1}">
  <dimension ref="A1:AF20"/>
  <sheetViews>
    <sheetView workbookViewId="0">
      <selection activeCell="J11" sqref="J11:J20"/>
    </sheetView>
  </sheetViews>
  <sheetFormatPr defaultRowHeight="14"/>
  <cols>
    <col min="1" max="2" width="14.4140625" style="34" customWidth="1"/>
    <col min="3" max="3" width="31.6640625" style="34" customWidth="1"/>
    <col min="4" max="4" width="28.08203125" style="34" customWidth="1"/>
    <col min="5" max="5" width="26.83203125" style="34" customWidth="1"/>
    <col min="6" max="6" width="24.75" style="34" customWidth="1"/>
    <col min="7" max="7" width="38.83203125" style="34" customWidth="1"/>
    <col min="8" max="8" width="36.75" style="34" customWidth="1"/>
    <col min="9" max="9" width="45.4140625" style="34" customWidth="1"/>
    <col min="10" max="10" width="33.6640625" style="34" customWidth="1"/>
    <col min="11" max="11" width="41.83203125" style="34" customWidth="1"/>
    <col min="12" max="12" width="39.75" style="34" customWidth="1"/>
    <col min="13" max="13" width="31.75" style="34" customWidth="1"/>
    <col min="14" max="14" width="36.9140625" style="34" customWidth="1"/>
    <col min="15" max="15" width="26.5" style="34" customWidth="1"/>
    <col min="16" max="16" width="24.4140625" style="34" customWidth="1"/>
    <col min="17" max="18" width="42.83203125" style="34" customWidth="1"/>
    <col min="19" max="19" width="33.4140625" style="34" customWidth="1"/>
    <col min="20" max="20" width="38.58203125" style="34" customWidth="1"/>
    <col min="21" max="21" width="34.5" style="34" customWidth="1"/>
    <col min="22" max="31" width="0" style="34" hidden="1" customWidth="1"/>
    <col min="32" max="32" width="8.6640625" style="50"/>
    <col min="33" max="16384" width="8.6640625" style="37"/>
  </cols>
  <sheetData>
    <row r="1" spans="1:31" ht="76" thickBot="1">
      <c r="A1" s="34" t="s">
        <v>533</v>
      </c>
      <c r="B1" s="35" t="s">
        <v>255</v>
      </c>
      <c r="C1" s="43" t="s">
        <v>556</v>
      </c>
      <c r="D1" s="43" t="s">
        <v>557</v>
      </c>
      <c r="E1" s="44" t="s">
        <v>558</v>
      </c>
      <c r="F1" s="44" t="s">
        <v>559</v>
      </c>
      <c r="G1" s="45" t="s">
        <v>560</v>
      </c>
      <c r="H1" s="45" t="s">
        <v>561</v>
      </c>
      <c r="I1" s="44" t="s">
        <v>562</v>
      </c>
      <c r="J1" s="44" t="s">
        <v>563</v>
      </c>
      <c r="K1" s="46" t="s">
        <v>564</v>
      </c>
      <c r="L1" s="46" t="s">
        <v>565</v>
      </c>
      <c r="M1" s="47" t="s">
        <v>566</v>
      </c>
      <c r="N1" s="47" t="s">
        <v>534</v>
      </c>
      <c r="O1" s="44" t="s">
        <v>567</v>
      </c>
      <c r="P1" s="44" t="s">
        <v>568</v>
      </c>
      <c r="Q1" s="45" t="s">
        <v>569</v>
      </c>
      <c r="R1" s="45" t="s">
        <v>570</v>
      </c>
      <c r="S1" s="47" t="s">
        <v>571</v>
      </c>
      <c r="T1" s="47" t="s">
        <v>535</v>
      </c>
      <c r="U1" s="48" t="s">
        <v>536</v>
      </c>
      <c r="W1" s="44" t="s">
        <v>572</v>
      </c>
      <c r="X1" s="44" t="s">
        <v>572</v>
      </c>
      <c r="Y1" s="45" t="s">
        <v>573</v>
      </c>
      <c r="Z1" s="45" t="s">
        <v>573</v>
      </c>
      <c r="AA1" s="44" t="s">
        <v>574</v>
      </c>
      <c r="AB1" s="44" t="s">
        <v>574</v>
      </c>
      <c r="AC1" s="45" t="s">
        <v>575</v>
      </c>
      <c r="AD1" s="45" t="s">
        <v>575</v>
      </c>
      <c r="AE1" s="49" t="s">
        <v>576</v>
      </c>
    </row>
    <row r="2" spans="1:31" ht="14.5" thickBot="1">
      <c r="A2" s="38" t="s">
        <v>537</v>
      </c>
      <c r="B2" s="35">
        <v>2013</v>
      </c>
      <c r="C2" s="51">
        <v>68</v>
      </c>
      <c r="D2" s="51">
        <v>32</v>
      </c>
      <c r="E2" s="52">
        <v>66.7</v>
      </c>
      <c r="F2" s="53">
        <v>45.3</v>
      </c>
      <c r="G2" s="54">
        <v>33.299999999999997</v>
      </c>
      <c r="H2" s="54">
        <v>22.7</v>
      </c>
      <c r="I2" s="53">
        <v>6.6</v>
      </c>
      <c r="J2" s="53">
        <v>4.5</v>
      </c>
      <c r="K2" s="55">
        <v>26.7</v>
      </c>
      <c r="L2" s="55">
        <v>18.2</v>
      </c>
      <c r="M2" s="56">
        <v>73</v>
      </c>
      <c r="N2" s="57">
        <v>20</v>
      </c>
      <c r="O2" s="58">
        <v>7.3</v>
      </c>
      <c r="P2" s="58">
        <v>5</v>
      </c>
      <c r="Q2" s="59">
        <v>19.399999999999999</v>
      </c>
      <c r="R2" s="59">
        <v>13.2</v>
      </c>
      <c r="S2" s="57">
        <v>81</v>
      </c>
      <c r="T2" s="57">
        <v>42</v>
      </c>
      <c r="U2" s="60">
        <v>0</v>
      </c>
      <c r="W2" s="53">
        <v>0</v>
      </c>
      <c r="X2" s="53">
        <v>0</v>
      </c>
      <c r="Y2" s="54">
        <v>0</v>
      </c>
      <c r="Z2" s="54">
        <v>0</v>
      </c>
      <c r="AA2" s="53">
        <v>0</v>
      </c>
      <c r="AB2" s="53">
        <v>0</v>
      </c>
      <c r="AC2" s="54"/>
      <c r="AD2" s="54"/>
      <c r="AE2" s="61"/>
    </row>
    <row r="3" spans="1:31" ht="14.5" thickBot="1">
      <c r="A3" s="40" t="s">
        <v>538</v>
      </c>
      <c r="B3" s="35">
        <v>2013</v>
      </c>
      <c r="C3" s="51">
        <v>58.6</v>
      </c>
      <c r="D3" s="51">
        <v>41.4</v>
      </c>
      <c r="E3" s="52">
        <v>51.3</v>
      </c>
      <c r="F3" s="53">
        <v>30.1</v>
      </c>
      <c r="G3" s="54">
        <v>48.7</v>
      </c>
      <c r="H3" s="54">
        <v>28.5</v>
      </c>
      <c r="I3" s="53">
        <v>20.3</v>
      </c>
      <c r="J3" s="53">
        <v>11.9</v>
      </c>
      <c r="K3" s="55">
        <v>28.3</v>
      </c>
      <c r="L3" s="55">
        <v>16.600000000000001</v>
      </c>
      <c r="M3" s="56">
        <v>72</v>
      </c>
      <c r="N3" s="57">
        <v>42</v>
      </c>
      <c r="O3" s="58">
        <v>3.7</v>
      </c>
      <c r="P3" s="58">
        <v>2.2000000000000002</v>
      </c>
      <c r="Q3" s="59">
        <v>24.6</v>
      </c>
      <c r="R3" s="59">
        <v>14.4</v>
      </c>
      <c r="S3" s="57">
        <v>75</v>
      </c>
      <c r="T3" s="57">
        <v>49</v>
      </c>
      <c r="U3" s="60">
        <v>0</v>
      </c>
      <c r="W3" s="53">
        <v>0</v>
      </c>
      <c r="X3" s="53">
        <v>0</v>
      </c>
      <c r="Y3" s="54">
        <v>0</v>
      </c>
      <c r="Z3" s="54">
        <v>0</v>
      </c>
      <c r="AA3" s="53">
        <v>0</v>
      </c>
      <c r="AB3" s="53">
        <v>0</v>
      </c>
      <c r="AC3" s="54"/>
      <c r="AD3" s="54"/>
      <c r="AE3" s="61"/>
    </row>
    <row r="4" spans="1:31" ht="14.5" thickBot="1">
      <c r="A4" s="41" t="s">
        <v>539</v>
      </c>
      <c r="B4" s="35">
        <v>2013</v>
      </c>
      <c r="C4" s="51">
        <v>68.900000000000006</v>
      </c>
      <c r="D4" s="51">
        <v>31.1</v>
      </c>
      <c r="E4" s="52">
        <v>50.9</v>
      </c>
      <c r="F4" s="53">
        <v>35</v>
      </c>
      <c r="G4" s="54">
        <v>49.1</v>
      </c>
      <c r="H4" s="54">
        <v>33.799999999999997</v>
      </c>
      <c r="I4" s="53">
        <v>12.8</v>
      </c>
      <c r="J4" s="53">
        <v>8.8000000000000007</v>
      </c>
      <c r="K4" s="55">
        <v>36.299999999999997</v>
      </c>
      <c r="L4" s="55">
        <v>25</v>
      </c>
      <c r="M4" s="56">
        <v>64</v>
      </c>
      <c r="N4" s="57">
        <v>26</v>
      </c>
      <c r="O4" s="58">
        <v>2.7</v>
      </c>
      <c r="P4" s="58">
        <v>1.8</v>
      </c>
      <c r="Q4" s="59">
        <v>33.6</v>
      </c>
      <c r="R4" s="59">
        <v>23.2</v>
      </c>
      <c r="S4" s="57">
        <v>66</v>
      </c>
      <c r="T4" s="57">
        <v>32</v>
      </c>
      <c r="U4" s="60">
        <v>0</v>
      </c>
      <c r="W4" s="53">
        <v>0</v>
      </c>
      <c r="X4" s="53">
        <v>0</v>
      </c>
      <c r="Y4" s="54">
        <v>0</v>
      </c>
      <c r="Z4" s="54">
        <v>0</v>
      </c>
      <c r="AA4" s="53">
        <v>0</v>
      </c>
      <c r="AB4" s="53">
        <v>0</v>
      </c>
      <c r="AC4" s="54"/>
      <c r="AD4" s="54"/>
      <c r="AE4" s="61"/>
    </row>
    <row r="5" spans="1:31" ht="14.5" thickBot="1">
      <c r="A5" s="40" t="s">
        <v>540</v>
      </c>
      <c r="B5" s="35">
        <v>2013</v>
      </c>
      <c r="C5" s="51">
        <v>66.599999999999994</v>
      </c>
      <c r="D5" s="51">
        <v>33.4</v>
      </c>
      <c r="E5" s="52">
        <v>42</v>
      </c>
      <c r="F5" s="53">
        <v>28</v>
      </c>
      <c r="G5" s="54">
        <v>58</v>
      </c>
      <c r="H5" s="54">
        <v>38.700000000000003</v>
      </c>
      <c r="I5" s="53">
        <v>17.399999999999999</v>
      </c>
      <c r="J5" s="53">
        <v>11.6</v>
      </c>
      <c r="K5" s="55">
        <v>40.6</v>
      </c>
      <c r="L5" s="55">
        <v>27.1</v>
      </c>
      <c r="M5" s="56">
        <v>59</v>
      </c>
      <c r="N5" s="57">
        <v>30</v>
      </c>
      <c r="O5" s="58">
        <v>12.9</v>
      </c>
      <c r="P5" s="58">
        <v>8.6</v>
      </c>
      <c r="Q5" s="59">
        <v>27.7</v>
      </c>
      <c r="R5" s="59">
        <v>18.399999999999999</v>
      </c>
      <c r="S5" s="57">
        <v>72</v>
      </c>
      <c r="T5" s="57">
        <v>52</v>
      </c>
      <c r="U5" s="60">
        <v>0</v>
      </c>
      <c r="W5" s="53">
        <v>0</v>
      </c>
      <c r="X5" s="53">
        <v>0</v>
      </c>
      <c r="Y5" s="54">
        <v>0</v>
      </c>
      <c r="Z5" s="54">
        <v>0</v>
      </c>
      <c r="AA5" s="53">
        <v>0</v>
      </c>
      <c r="AB5" s="53">
        <v>0</v>
      </c>
      <c r="AC5" s="54"/>
      <c r="AD5" s="54"/>
      <c r="AE5" s="61"/>
    </row>
    <row r="6" spans="1:31" ht="14.5" thickBot="1">
      <c r="A6" s="41" t="s">
        <v>541</v>
      </c>
      <c r="B6" s="35">
        <v>2013</v>
      </c>
      <c r="C6" s="62">
        <v>59.7</v>
      </c>
      <c r="D6" s="62">
        <v>40.299999999999997</v>
      </c>
      <c r="E6" s="63">
        <v>56.2</v>
      </c>
      <c r="F6" s="64">
        <v>33.5</v>
      </c>
      <c r="G6" s="65">
        <v>43.8</v>
      </c>
      <c r="H6" s="65">
        <v>26.2</v>
      </c>
      <c r="I6" s="64">
        <v>12.8</v>
      </c>
      <c r="J6" s="64">
        <v>7.6</v>
      </c>
      <c r="K6" s="66">
        <v>31</v>
      </c>
      <c r="L6" s="66">
        <v>18.5</v>
      </c>
      <c r="M6" s="67">
        <v>69</v>
      </c>
      <c r="N6" s="68">
        <v>29</v>
      </c>
      <c r="O6" s="69">
        <v>1.5</v>
      </c>
      <c r="P6" s="69">
        <v>0.9</v>
      </c>
      <c r="Q6" s="70">
        <v>29.6</v>
      </c>
      <c r="R6" s="70">
        <v>17.600000000000001</v>
      </c>
      <c r="S6" s="68">
        <v>70</v>
      </c>
      <c r="T6" s="68">
        <v>33</v>
      </c>
      <c r="U6" s="60">
        <v>0</v>
      </c>
      <c r="V6" s="71"/>
      <c r="W6" s="64">
        <v>0</v>
      </c>
      <c r="X6" s="64">
        <v>0</v>
      </c>
      <c r="Y6" s="65">
        <v>0</v>
      </c>
      <c r="Z6" s="65">
        <v>0</v>
      </c>
      <c r="AA6" s="64">
        <v>0</v>
      </c>
      <c r="AB6" s="64">
        <v>0</v>
      </c>
      <c r="AC6" s="65"/>
      <c r="AD6" s="65"/>
      <c r="AE6" s="72"/>
    </row>
    <row r="7" spans="1:31" ht="14.5" thickBot="1">
      <c r="A7" s="38" t="s">
        <v>542</v>
      </c>
      <c r="B7" s="35">
        <v>2003</v>
      </c>
      <c r="C7" s="62">
        <f>0.776*100</f>
        <v>77.600000000000009</v>
      </c>
      <c r="D7" s="62"/>
      <c r="E7" s="73">
        <v>35.200000000000003</v>
      </c>
      <c r="F7" s="74">
        <v>27</v>
      </c>
      <c r="G7" s="75" t="s">
        <v>472</v>
      </c>
      <c r="H7" s="75">
        <f>0.352*100</f>
        <v>35.199999999999996</v>
      </c>
      <c r="I7" s="74">
        <v>0</v>
      </c>
      <c r="J7" s="74">
        <v>0</v>
      </c>
      <c r="K7" s="76"/>
      <c r="L7" s="76"/>
      <c r="M7" s="77"/>
      <c r="N7" s="78">
        <v>0</v>
      </c>
      <c r="O7" s="79">
        <v>0</v>
      </c>
      <c r="P7" s="79">
        <v>0</v>
      </c>
      <c r="Q7" s="80"/>
      <c r="R7" s="80"/>
      <c r="S7" s="78"/>
      <c r="T7" s="78">
        <f>H7-AE7</f>
        <v>3.5999999999999943</v>
      </c>
      <c r="U7" s="60">
        <v>0</v>
      </c>
      <c r="V7" s="81"/>
      <c r="W7" s="73">
        <v>3.8</v>
      </c>
      <c r="X7" s="73">
        <v>2.9000000000000004</v>
      </c>
      <c r="Y7" s="75">
        <v>0.1</v>
      </c>
      <c r="Z7" s="75">
        <v>0.1</v>
      </c>
      <c r="AA7" s="74">
        <v>0.8</v>
      </c>
      <c r="AB7" s="74">
        <f>0.006*100</f>
        <v>0.6</v>
      </c>
      <c r="AC7" s="75"/>
      <c r="AD7" s="75"/>
      <c r="AE7" s="82">
        <f>0.316*100</f>
        <v>31.6</v>
      </c>
    </row>
    <row r="8" spans="1:31" ht="14.5" thickBot="1">
      <c r="A8" s="41" t="s">
        <v>543</v>
      </c>
      <c r="B8" s="35">
        <v>2003</v>
      </c>
      <c r="C8" s="62">
        <f>0.889*100</f>
        <v>88.9</v>
      </c>
      <c r="D8" s="62"/>
      <c r="E8" s="52">
        <v>53</v>
      </c>
      <c r="F8" s="53">
        <v>47.099999999999994</v>
      </c>
      <c r="G8" s="75" t="s">
        <v>472</v>
      </c>
      <c r="H8" s="54">
        <f>0.359*100</f>
        <v>35.9</v>
      </c>
      <c r="I8" s="53">
        <v>0</v>
      </c>
      <c r="J8" s="53">
        <v>0</v>
      </c>
      <c r="K8" s="55"/>
      <c r="L8" s="55"/>
      <c r="M8" s="56"/>
      <c r="N8" s="57">
        <v>0</v>
      </c>
      <c r="O8" s="58">
        <v>0</v>
      </c>
      <c r="P8" s="58">
        <v>0</v>
      </c>
      <c r="Q8" s="59"/>
      <c r="R8" s="59"/>
      <c r="S8" s="57"/>
      <c r="T8" s="78">
        <f>H8-AE8</f>
        <v>20.6</v>
      </c>
      <c r="U8" s="60">
        <v>0</v>
      </c>
      <c r="W8" s="52">
        <v>3.4</v>
      </c>
      <c r="X8" s="52">
        <v>3</v>
      </c>
      <c r="Y8" s="54">
        <v>6</v>
      </c>
      <c r="Z8" s="54">
        <v>5.3</v>
      </c>
      <c r="AA8" s="53">
        <v>13.8</v>
      </c>
      <c r="AB8" s="53">
        <f>0.123*100</f>
        <v>12.3</v>
      </c>
      <c r="AC8" s="54"/>
      <c r="AD8" s="54"/>
      <c r="AE8" s="61">
        <f>0.153*100</f>
        <v>15.299999999999999</v>
      </c>
    </row>
    <row r="9" spans="1:31" ht="14.5" thickBot="1">
      <c r="A9" s="41" t="s">
        <v>544</v>
      </c>
      <c r="B9" s="35">
        <v>2003</v>
      </c>
      <c r="C9" s="62">
        <f>0.785*100</f>
        <v>78.5</v>
      </c>
      <c r="D9" s="62"/>
      <c r="E9" s="52">
        <v>47.1</v>
      </c>
      <c r="F9" s="53">
        <v>37</v>
      </c>
      <c r="G9" s="75" t="s">
        <v>472</v>
      </c>
      <c r="H9" s="54">
        <f>0.415*100</f>
        <v>41.5</v>
      </c>
      <c r="I9" s="53">
        <v>0</v>
      </c>
      <c r="J9" s="53">
        <v>0</v>
      </c>
      <c r="K9" s="55"/>
      <c r="L9" s="55"/>
      <c r="M9" s="56"/>
      <c r="N9" s="57">
        <v>0</v>
      </c>
      <c r="O9" s="58">
        <v>0</v>
      </c>
      <c r="P9" s="58">
        <v>0</v>
      </c>
      <c r="Q9" s="59"/>
      <c r="R9" s="59"/>
      <c r="S9" s="57"/>
      <c r="T9" s="78">
        <v>0</v>
      </c>
      <c r="U9" s="60">
        <f>H9-AE9</f>
        <v>9.8000000000000007</v>
      </c>
      <c r="W9" s="52"/>
      <c r="X9" s="52"/>
      <c r="Y9" s="54">
        <v>0</v>
      </c>
      <c r="Z9" s="54">
        <v>0</v>
      </c>
      <c r="AA9" s="53">
        <v>12.5</v>
      </c>
      <c r="AB9" s="53">
        <f>0.098*100</f>
        <v>9.8000000000000007</v>
      </c>
      <c r="AC9" s="54"/>
      <c r="AD9" s="54"/>
      <c r="AE9" s="61">
        <f>0.317*100</f>
        <v>31.7</v>
      </c>
    </row>
    <row r="10" spans="1:31" ht="14.5" thickBot="1">
      <c r="A10" s="42" t="s">
        <v>545</v>
      </c>
      <c r="B10" s="35">
        <v>2003</v>
      </c>
      <c r="C10" s="43">
        <f>0.761*100</f>
        <v>76.099999999999994</v>
      </c>
      <c r="D10" s="43"/>
      <c r="E10" s="83">
        <v>42.7</v>
      </c>
      <c r="F10" s="44">
        <v>32.5</v>
      </c>
      <c r="G10" s="75" t="s">
        <v>472</v>
      </c>
      <c r="H10" s="45">
        <f>0.435*100</f>
        <v>43.5</v>
      </c>
      <c r="I10" s="44">
        <v>0</v>
      </c>
      <c r="J10" s="44">
        <v>0</v>
      </c>
      <c r="K10" s="46"/>
      <c r="L10" s="46"/>
      <c r="M10" s="47"/>
      <c r="N10" s="84">
        <v>0</v>
      </c>
      <c r="O10" s="85">
        <v>0</v>
      </c>
      <c r="P10" s="85">
        <v>0</v>
      </c>
      <c r="Q10" s="86"/>
      <c r="R10" s="86"/>
      <c r="S10" s="84"/>
      <c r="T10" s="87">
        <f>H10-AE10</f>
        <v>14.100000000000001</v>
      </c>
      <c r="U10" s="60">
        <v>0</v>
      </c>
      <c r="W10" s="83">
        <v>9.6</v>
      </c>
      <c r="X10" s="83">
        <v>7.3</v>
      </c>
      <c r="Y10" s="45">
        <v>6.8</v>
      </c>
      <c r="Z10" s="45">
        <v>5.2</v>
      </c>
      <c r="AA10" s="44">
        <v>2.1</v>
      </c>
      <c r="AB10" s="44">
        <f>0.016*100</f>
        <v>1.6</v>
      </c>
      <c r="AC10" s="45"/>
      <c r="AD10" s="45"/>
      <c r="AE10" s="61">
        <f>0.294*100</f>
        <v>29.4</v>
      </c>
    </row>
    <row r="11" spans="1:31" ht="14.5" thickBot="1">
      <c r="A11" s="41" t="s">
        <v>546</v>
      </c>
      <c r="B11" s="35">
        <v>2003</v>
      </c>
      <c r="C11" s="88">
        <v>72.099999999999994</v>
      </c>
      <c r="D11" s="88"/>
      <c r="E11" s="73">
        <v>30.1</v>
      </c>
      <c r="F11" s="74">
        <v>21.7</v>
      </c>
      <c r="G11" s="75" t="s">
        <v>472</v>
      </c>
      <c r="H11" s="75">
        <v>50.4</v>
      </c>
      <c r="I11" s="81">
        <v>0</v>
      </c>
      <c r="J11" s="81" t="s">
        <v>472</v>
      </c>
      <c r="K11" s="89"/>
      <c r="L11" s="89"/>
      <c r="M11" s="90"/>
      <c r="N11" s="87">
        <v>0.79365079365079083</v>
      </c>
      <c r="O11" s="91"/>
      <c r="P11" s="91"/>
      <c r="Q11" s="91"/>
      <c r="R11" s="91"/>
      <c r="S11" s="78"/>
      <c r="T11" s="78">
        <v>0</v>
      </c>
      <c r="U11" s="60">
        <v>0</v>
      </c>
      <c r="V11" s="89"/>
      <c r="W11" s="92" t="s">
        <v>472</v>
      </c>
      <c r="X11" s="92" t="s">
        <v>472</v>
      </c>
      <c r="Y11" s="93">
        <v>0.1</v>
      </c>
      <c r="Z11" s="93" t="s">
        <v>472</v>
      </c>
      <c r="AA11" s="94" t="s">
        <v>472</v>
      </c>
      <c r="AB11" s="94" t="s">
        <v>472</v>
      </c>
      <c r="AC11" s="75"/>
      <c r="AD11" s="75"/>
      <c r="AE11" s="95">
        <f t="shared" ref="AE11:AE20" si="0">AG11*100</f>
        <v>0</v>
      </c>
    </row>
    <row r="12" spans="1:31" ht="14.5" thickBot="1">
      <c r="A12" s="41" t="s">
        <v>547</v>
      </c>
      <c r="B12" s="35">
        <v>2003</v>
      </c>
      <c r="C12" s="96">
        <v>67.2</v>
      </c>
      <c r="D12" s="96"/>
      <c r="E12" s="52">
        <v>34.1</v>
      </c>
      <c r="F12" s="53">
        <v>22.9</v>
      </c>
      <c r="G12" s="75" t="s">
        <v>472</v>
      </c>
      <c r="H12" s="54">
        <v>44.3</v>
      </c>
      <c r="I12" s="83">
        <v>8.8000000000000007</v>
      </c>
      <c r="J12" s="81" t="s">
        <v>472</v>
      </c>
      <c r="K12" s="97"/>
      <c r="L12" s="97"/>
      <c r="M12" s="98"/>
      <c r="N12" s="84">
        <v>19.187358916478555</v>
      </c>
      <c r="O12" s="99"/>
      <c r="P12" s="99"/>
      <c r="Q12" s="99"/>
      <c r="R12" s="99"/>
      <c r="S12" s="57"/>
      <c r="T12" s="78">
        <v>0</v>
      </c>
      <c r="U12" s="60">
        <v>0</v>
      </c>
      <c r="V12" s="97"/>
      <c r="W12" s="83" t="s">
        <v>472</v>
      </c>
      <c r="X12" s="83" t="s">
        <v>472</v>
      </c>
      <c r="Y12" s="45" t="s">
        <v>472</v>
      </c>
      <c r="Z12" s="45" t="s">
        <v>472</v>
      </c>
      <c r="AA12" s="44" t="s">
        <v>472</v>
      </c>
      <c r="AB12" s="44" t="s">
        <v>472</v>
      </c>
      <c r="AC12" s="54"/>
      <c r="AD12" s="54"/>
      <c r="AE12" s="100">
        <f t="shared" si="0"/>
        <v>0</v>
      </c>
    </row>
    <row r="13" spans="1:31" ht="14.5" thickBot="1">
      <c r="A13" s="41" t="s">
        <v>548</v>
      </c>
      <c r="B13" s="35">
        <v>2003</v>
      </c>
      <c r="C13" s="96">
        <v>74.7</v>
      </c>
      <c r="D13" s="96"/>
      <c r="E13" s="52">
        <v>13.4</v>
      </c>
      <c r="F13" s="53">
        <v>10</v>
      </c>
      <c r="G13" s="75" t="s">
        <v>472</v>
      </c>
      <c r="H13" s="54">
        <v>64.599999999999994</v>
      </c>
      <c r="I13" s="34">
        <v>0</v>
      </c>
      <c r="J13" s="81" t="s">
        <v>472</v>
      </c>
      <c r="K13" s="97"/>
      <c r="L13" s="97"/>
      <c r="M13" s="98"/>
      <c r="N13" s="84">
        <v>0</v>
      </c>
      <c r="O13" s="99"/>
      <c r="P13" s="99"/>
      <c r="Q13" s="99"/>
      <c r="R13" s="99"/>
      <c r="S13" s="57"/>
      <c r="T13" s="78">
        <v>0</v>
      </c>
      <c r="U13" s="60">
        <v>5.7275541795665577</v>
      </c>
      <c r="V13" s="97"/>
      <c r="W13" s="83" t="s">
        <v>472</v>
      </c>
      <c r="X13" s="83" t="s">
        <v>472</v>
      </c>
      <c r="Y13" s="45" t="s">
        <v>472</v>
      </c>
      <c r="Z13" s="45" t="s">
        <v>472</v>
      </c>
      <c r="AA13" s="44">
        <v>4.8</v>
      </c>
      <c r="AB13" s="44" t="s">
        <v>472</v>
      </c>
      <c r="AC13" s="54"/>
      <c r="AD13" s="54"/>
      <c r="AE13" s="100">
        <f t="shared" si="0"/>
        <v>0</v>
      </c>
    </row>
    <row r="14" spans="1:31" ht="14.5" thickBot="1">
      <c r="A14" s="41" t="s">
        <v>549</v>
      </c>
      <c r="B14" s="35">
        <v>2003</v>
      </c>
      <c r="C14" s="96">
        <v>69.2</v>
      </c>
      <c r="D14" s="96"/>
      <c r="E14" s="52">
        <v>22.4</v>
      </c>
      <c r="F14" s="53">
        <v>15.5</v>
      </c>
      <c r="G14" s="75" t="s">
        <v>472</v>
      </c>
      <c r="H14" s="54">
        <v>53.7</v>
      </c>
      <c r="I14" s="34">
        <v>0</v>
      </c>
      <c r="J14" s="81" t="s">
        <v>472</v>
      </c>
      <c r="K14" s="97"/>
      <c r="L14" s="97"/>
      <c r="M14" s="98"/>
      <c r="N14" s="84">
        <v>0</v>
      </c>
      <c r="O14" s="99"/>
      <c r="P14" s="99"/>
      <c r="Q14" s="99"/>
      <c r="R14" s="99"/>
      <c r="S14" s="57"/>
      <c r="T14" s="78">
        <v>0</v>
      </c>
      <c r="U14" s="60">
        <v>25.884543761638728</v>
      </c>
      <c r="V14" s="97"/>
      <c r="W14" s="83" t="s">
        <v>472</v>
      </c>
      <c r="X14" s="83" t="s">
        <v>472</v>
      </c>
      <c r="Y14" s="45" t="s">
        <v>472</v>
      </c>
      <c r="Z14" s="45" t="s">
        <v>472</v>
      </c>
      <c r="AA14" s="44" t="s">
        <v>472</v>
      </c>
      <c r="AB14" s="44" t="s">
        <v>472</v>
      </c>
      <c r="AC14" s="54">
        <v>20.9</v>
      </c>
      <c r="AD14" s="54" t="s">
        <v>472</v>
      </c>
      <c r="AE14" s="100">
        <f t="shared" si="0"/>
        <v>0</v>
      </c>
    </row>
    <row r="15" spans="1:31" ht="14.5" thickBot="1">
      <c r="A15" s="41" t="s">
        <v>550</v>
      </c>
      <c r="B15" s="35">
        <v>2003</v>
      </c>
      <c r="C15" s="96">
        <v>69.099999999999994</v>
      </c>
      <c r="D15" s="96"/>
      <c r="E15" s="52">
        <v>37</v>
      </c>
      <c r="F15" s="53">
        <v>25.5</v>
      </c>
      <c r="G15" s="75" t="s">
        <v>472</v>
      </c>
      <c r="H15" s="54">
        <v>43.6</v>
      </c>
      <c r="I15" s="34">
        <v>0</v>
      </c>
      <c r="J15" s="81" t="s">
        <v>472</v>
      </c>
      <c r="K15" s="97"/>
      <c r="L15" s="97"/>
      <c r="M15" s="98"/>
      <c r="N15" s="84">
        <v>0</v>
      </c>
      <c r="O15" s="99"/>
      <c r="P15" s="99"/>
      <c r="Q15" s="99"/>
      <c r="R15" s="99"/>
      <c r="S15" s="57"/>
      <c r="T15" s="78">
        <v>52.293577981651374</v>
      </c>
      <c r="U15" s="60">
        <v>0</v>
      </c>
      <c r="V15" s="97"/>
      <c r="W15" s="83" t="s">
        <v>472</v>
      </c>
      <c r="X15" s="83" t="s">
        <v>472</v>
      </c>
      <c r="Y15" s="45" t="s">
        <v>472</v>
      </c>
      <c r="Z15" s="45" t="s">
        <v>472</v>
      </c>
      <c r="AA15" s="44" t="s">
        <v>472</v>
      </c>
      <c r="AB15" s="44" t="s">
        <v>472</v>
      </c>
      <c r="AC15" s="54">
        <v>32.5</v>
      </c>
      <c r="AD15" s="54" t="s">
        <v>472</v>
      </c>
      <c r="AE15" s="100">
        <f t="shared" si="0"/>
        <v>0</v>
      </c>
    </row>
    <row r="16" spans="1:31" ht="14.5" thickBot="1">
      <c r="A16" s="41" t="s">
        <v>551</v>
      </c>
      <c r="B16" s="35">
        <v>2003</v>
      </c>
      <c r="C16" s="96">
        <v>99</v>
      </c>
      <c r="D16" s="96"/>
      <c r="E16" s="52">
        <v>13.2</v>
      </c>
      <c r="F16" s="53">
        <v>13.1</v>
      </c>
      <c r="G16" s="75" t="s">
        <v>472</v>
      </c>
      <c r="H16" s="54">
        <v>85.9</v>
      </c>
      <c r="I16" s="101">
        <v>23.8</v>
      </c>
      <c r="J16" s="81" t="s">
        <v>472</v>
      </c>
      <c r="K16" s="97"/>
      <c r="L16" s="97"/>
      <c r="M16" s="98"/>
      <c r="N16" s="84">
        <v>33.527357392316659</v>
      </c>
      <c r="O16" s="99"/>
      <c r="P16" s="99"/>
      <c r="Q16" s="99"/>
      <c r="R16" s="99"/>
      <c r="S16" s="57"/>
      <c r="T16" s="78">
        <v>0</v>
      </c>
      <c r="U16" s="60">
        <v>0</v>
      </c>
      <c r="V16" s="97"/>
      <c r="W16" s="83" t="s">
        <v>472</v>
      </c>
      <c r="X16" s="83" t="s">
        <v>472</v>
      </c>
      <c r="Y16" s="45" t="s">
        <v>472</v>
      </c>
      <c r="Z16" s="45" t="s">
        <v>472</v>
      </c>
      <c r="AA16" s="44" t="s">
        <v>472</v>
      </c>
      <c r="AB16" s="44" t="s">
        <v>472</v>
      </c>
      <c r="AC16" s="54"/>
      <c r="AD16" s="54"/>
      <c r="AE16" s="100">
        <f t="shared" si="0"/>
        <v>0</v>
      </c>
    </row>
    <row r="17" spans="1:31" ht="14.5" thickBot="1">
      <c r="A17" s="41" t="s">
        <v>552</v>
      </c>
      <c r="B17" s="35">
        <v>2003</v>
      </c>
      <c r="C17" s="96">
        <v>63.9</v>
      </c>
      <c r="D17" s="96"/>
      <c r="E17" s="52">
        <v>23.3</v>
      </c>
      <c r="F17" s="53">
        <v>14.9</v>
      </c>
      <c r="G17" s="75" t="s">
        <v>472</v>
      </c>
      <c r="H17" s="54">
        <v>49</v>
      </c>
      <c r="I17" s="34">
        <v>0</v>
      </c>
      <c r="J17" s="81" t="s">
        <v>472</v>
      </c>
      <c r="K17" s="97"/>
      <c r="L17" s="97"/>
      <c r="N17" s="84">
        <v>0</v>
      </c>
      <c r="O17" s="99"/>
      <c r="P17" s="99"/>
      <c r="Q17" s="99"/>
      <c r="R17" s="99"/>
      <c r="S17" s="57"/>
      <c r="T17" s="78">
        <v>40.816326530612251</v>
      </c>
      <c r="U17" s="60">
        <v>0</v>
      </c>
      <c r="V17" s="97"/>
      <c r="W17" s="83" t="s">
        <v>472</v>
      </c>
      <c r="X17" s="83" t="s">
        <v>472</v>
      </c>
      <c r="Y17" s="45" t="s">
        <v>472</v>
      </c>
      <c r="Z17" s="45" t="s">
        <v>472</v>
      </c>
      <c r="AA17" s="44" t="s">
        <v>472</v>
      </c>
      <c r="AB17" s="44" t="s">
        <v>472</v>
      </c>
      <c r="AC17" s="54">
        <v>31</v>
      </c>
      <c r="AD17" s="54" t="s">
        <v>472</v>
      </c>
      <c r="AE17" s="100">
        <f t="shared" si="0"/>
        <v>0</v>
      </c>
    </row>
    <row r="18" spans="1:31" ht="14.5" thickBot="1">
      <c r="A18" s="41" t="s">
        <v>553</v>
      </c>
      <c r="B18" s="35">
        <v>2003</v>
      </c>
      <c r="C18" s="96">
        <v>56.9</v>
      </c>
      <c r="D18" s="96"/>
      <c r="E18" s="52">
        <v>33.1</v>
      </c>
      <c r="F18" s="53">
        <v>18.899999999999999</v>
      </c>
      <c r="G18" s="75" t="s">
        <v>472</v>
      </c>
      <c r="H18" s="54">
        <v>38.1</v>
      </c>
      <c r="I18" s="34">
        <v>0</v>
      </c>
      <c r="J18" s="81" t="s">
        <v>472</v>
      </c>
      <c r="K18" s="97"/>
      <c r="L18" s="97"/>
      <c r="M18" s="98"/>
      <c r="N18" s="84">
        <v>0</v>
      </c>
      <c r="O18" s="99"/>
      <c r="P18" s="99"/>
      <c r="Q18" s="99"/>
      <c r="R18" s="99"/>
      <c r="S18" s="57"/>
      <c r="T18" s="78">
        <v>8.6614173228346569</v>
      </c>
      <c r="U18" s="60">
        <v>0</v>
      </c>
      <c r="V18" s="97"/>
      <c r="W18" s="83" t="s">
        <v>472</v>
      </c>
      <c r="X18" s="83" t="s">
        <v>472</v>
      </c>
      <c r="Y18" s="45" t="s">
        <v>472</v>
      </c>
      <c r="Z18" s="45" t="s">
        <v>472</v>
      </c>
      <c r="AA18" s="44" t="s">
        <v>472</v>
      </c>
      <c r="AB18" s="44" t="s">
        <v>472</v>
      </c>
      <c r="AC18" s="54">
        <v>8.3000000000000007</v>
      </c>
      <c r="AD18" s="54" t="s">
        <v>472</v>
      </c>
      <c r="AE18" s="100">
        <f t="shared" si="0"/>
        <v>0</v>
      </c>
    </row>
    <row r="19" spans="1:31" ht="14.5" thickBot="1">
      <c r="A19" s="41" t="s">
        <v>554</v>
      </c>
      <c r="B19" s="35">
        <v>2003</v>
      </c>
      <c r="C19" s="96">
        <v>64.2</v>
      </c>
      <c r="D19" s="96"/>
      <c r="E19" s="52">
        <v>34.9</v>
      </c>
      <c r="F19" s="53">
        <v>22.4</v>
      </c>
      <c r="G19" s="75" t="s">
        <v>472</v>
      </c>
      <c r="H19" s="54">
        <v>41.8</v>
      </c>
      <c r="I19" s="34">
        <v>0</v>
      </c>
      <c r="J19" s="81" t="s">
        <v>472</v>
      </c>
      <c r="K19" s="97"/>
      <c r="L19" s="97"/>
      <c r="M19" s="98"/>
      <c r="N19" s="84">
        <v>0</v>
      </c>
      <c r="O19" s="99"/>
      <c r="P19" s="99"/>
      <c r="Q19" s="99"/>
      <c r="R19" s="99"/>
      <c r="S19" s="57"/>
      <c r="T19" s="78">
        <v>44.497607655502378</v>
      </c>
      <c r="U19" s="60">
        <v>0</v>
      </c>
      <c r="V19" s="97"/>
      <c r="W19" s="83" t="s">
        <v>472</v>
      </c>
      <c r="X19" s="83" t="s">
        <v>472</v>
      </c>
      <c r="Y19" s="45" t="s">
        <v>472</v>
      </c>
      <c r="Z19" s="45" t="s">
        <v>472</v>
      </c>
      <c r="AA19" s="44" t="s">
        <v>472</v>
      </c>
      <c r="AB19" s="44" t="s">
        <v>472</v>
      </c>
      <c r="AC19" s="54">
        <v>30</v>
      </c>
      <c r="AD19" s="54" t="s">
        <v>472</v>
      </c>
      <c r="AE19" s="100">
        <f t="shared" si="0"/>
        <v>0</v>
      </c>
    </row>
    <row r="20" spans="1:31" ht="14.5" thickBot="1">
      <c r="A20" s="42" t="s">
        <v>555</v>
      </c>
      <c r="B20" s="35">
        <v>2003</v>
      </c>
      <c r="C20" s="102">
        <v>64.2</v>
      </c>
      <c r="D20" s="102"/>
      <c r="E20" s="63">
        <v>29.7</v>
      </c>
      <c r="F20" s="64">
        <v>19</v>
      </c>
      <c r="G20" s="75" t="s">
        <v>472</v>
      </c>
      <c r="H20" s="65">
        <v>45.1</v>
      </c>
      <c r="I20" s="103">
        <v>17.5</v>
      </c>
      <c r="J20" s="81" t="s">
        <v>472</v>
      </c>
      <c r="K20" s="104"/>
      <c r="L20" s="104"/>
      <c r="M20" s="105"/>
      <c r="N20" s="68">
        <v>24.390243902439025</v>
      </c>
      <c r="O20" s="106"/>
      <c r="P20" s="106"/>
      <c r="Q20" s="106"/>
      <c r="R20" s="106"/>
      <c r="S20" s="68"/>
      <c r="T20" s="78">
        <v>0</v>
      </c>
      <c r="U20" s="60">
        <v>0</v>
      </c>
      <c r="V20" s="104"/>
      <c r="W20" s="63" t="s">
        <v>472</v>
      </c>
      <c r="X20" s="63" t="s">
        <v>472</v>
      </c>
      <c r="Y20" s="65" t="s">
        <v>472</v>
      </c>
      <c r="Z20" s="65" t="s">
        <v>472</v>
      </c>
      <c r="AA20" s="64" t="s">
        <v>472</v>
      </c>
      <c r="AB20" s="64" t="s">
        <v>472</v>
      </c>
      <c r="AC20" s="65"/>
      <c r="AD20" s="65"/>
      <c r="AE20" s="107">
        <f t="shared" si="0"/>
        <v>0</v>
      </c>
    </row>
  </sheetData>
  <pageMargins left="0.7" right="0.7" top="0.75" bottom="0.75" header="0.3" footer="0.3"/>
  <headerFooter>
    <oddHeader>&amp;C&amp;"Aptos"&amp;10&amp;K0078D7 [Open]&amp;1#_x000D_</oddHeader>
  </headerFooter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B34F4-CFD6-4FB9-9AF7-C19C90AB7DAF}">
  <dimension ref="A1:E20"/>
  <sheetViews>
    <sheetView workbookViewId="0">
      <selection activeCell="C9" sqref="C9"/>
    </sheetView>
  </sheetViews>
  <sheetFormatPr defaultRowHeight="14"/>
  <cols>
    <col min="1" max="2" width="14.4140625" style="34" customWidth="1"/>
    <col min="3" max="3" width="39.9140625" style="37" customWidth="1"/>
    <col min="4" max="4" width="41.75" style="37" customWidth="1"/>
    <col min="5" max="5" width="37.33203125" style="37" customWidth="1"/>
    <col min="6" max="16384" width="8.6640625" style="37"/>
  </cols>
  <sheetData>
    <row r="1" spans="1:5" ht="14.5" thickBot="1">
      <c r="A1" s="34" t="s">
        <v>533</v>
      </c>
      <c r="B1" s="35" t="s">
        <v>255</v>
      </c>
      <c r="C1" s="36" t="s">
        <v>534</v>
      </c>
      <c r="D1" s="36" t="s">
        <v>535</v>
      </c>
      <c r="E1" s="36" t="s">
        <v>536</v>
      </c>
    </row>
    <row r="2" spans="1:5" ht="14.5" thickBot="1">
      <c r="A2" s="38" t="s">
        <v>537</v>
      </c>
      <c r="B2" s="35">
        <v>2013</v>
      </c>
      <c r="C2" s="39">
        <v>20</v>
      </c>
      <c r="D2" s="39">
        <v>42</v>
      </c>
      <c r="E2" s="39">
        <v>0</v>
      </c>
    </row>
    <row r="3" spans="1:5" ht="14.5" thickBot="1">
      <c r="A3" s="40" t="s">
        <v>538</v>
      </c>
      <c r="B3" s="35">
        <v>2013</v>
      </c>
      <c r="C3" s="39">
        <v>42</v>
      </c>
      <c r="D3" s="39">
        <v>49</v>
      </c>
      <c r="E3" s="39">
        <v>0</v>
      </c>
    </row>
    <row r="4" spans="1:5" ht="14.5" thickBot="1">
      <c r="A4" s="41" t="s">
        <v>539</v>
      </c>
      <c r="B4" s="35">
        <v>2013</v>
      </c>
      <c r="C4" s="39">
        <v>26</v>
      </c>
      <c r="D4" s="39">
        <v>32</v>
      </c>
      <c r="E4" s="39">
        <v>0</v>
      </c>
    </row>
    <row r="5" spans="1:5" ht="14.5" thickBot="1">
      <c r="A5" s="40" t="s">
        <v>540</v>
      </c>
      <c r="B5" s="35">
        <v>2013</v>
      </c>
      <c r="C5" s="39">
        <v>30</v>
      </c>
      <c r="D5" s="39">
        <v>52</v>
      </c>
      <c r="E5" s="39">
        <v>0</v>
      </c>
    </row>
    <row r="6" spans="1:5" ht="14.5" thickBot="1">
      <c r="A6" s="41" t="s">
        <v>541</v>
      </c>
      <c r="B6" s="35">
        <v>2013</v>
      </c>
      <c r="C6" s="39">
        <v>29</v>
      </c>
      <c r="D6" s="39">
        <v>33</v>
      </c>
      <c r="E6" s="39">
        <v>0</v>
      </c>
    </row>
    <row r="7" spans="1:5" ht="14.5" thickBot="1">
      <c r="A7" s="38" t="s">
        <v>542</v>
      </c>
      <c r="B7" s="35">
        <v>2003</v>
      </c>
      <c r="C7" s="39">
        <v>0</v>
      </c>
      <c r="D7" s="39">
        <v>3.5999999999999943</v>
      </c>
      <c r="E7" s="39">
        <v>0</v>
      </c>
    </row>
    <row r="8" spans="1:5" ht="14.5" thickBot="1">
      <c r="A8" s="41" t="s">
        <v>543</v>
      </c>
      <c r="B8" s="35">
        <v>2003</v>
      </c>
      <c r="C8" s="39">
        <v>0</v>
      </c>
      <c r="D8" s="39">
        <v>20.6</v>
      </c>
      <c r="E8" s="39">
        <v>0</v>
      </c>
    </row>
    <row r="9" spans="1:5" ht="14.5" thickBot="1">
      <c r="A9" s="41" t="s">
        <v>544</v>
      </c>
      <c r="B9" s="35">
        <v>2003</v>
      </c>
      <c r="C9" s="39">
        <v>0</v>
      </c>
      <c r="D9" s="39">
        <v>0</v>
      </c>
      <c r="E9" s="39">
        <v>9.8000000000000007</v>
      </c>
    </row>
    <row r="10" spans="1:5" ht="14.5" thickBot="1">
      <c r="A10" s="42" t="s">
        <v>545</v>
      </c>
      <c r="B10" s="35">
        <v>2003</v>
      </c>
      <c r="C10" s="39">
        <v>0</v>
      </c>
      <c r="D10" s="39">
        <v>14.100000000000001</v>
      </c>
      <c r="E10" s="39">
        <v>0</v>
      </c>
    </row>
    <row r="11" spans="1:5" ht="14.5" thickBot="1">
      <c r="A11" s="41" t="s">
        <v>546</v>
      </c>
      <c r="B11" s="35">
        <v>2003</v>
      </c>
      <c r="C11" s="39">
        <v>0.79365079365079083</v>
      </c>
      <c r="D11" s="39">
        <v>0</v>
      </c>
      <c r="E11" s="39">
        <v>0</v>
      </c>
    </row>
    <row r="12" spans="1:5" ht="14.5" thickBot="1">
      <c r="A12" s="41" t="s">
        <v>547</v>
      </c>
      <c r="B12" s="35">
        <v>2003</v>
      </c>
      <c r="C12" s="39">
        <v>19.187358916478555</v>
      </c>
      <c r="D12" s="39">
        <v>0</v>
      </c>
      <c r="E12" s="39">
        <v>0</v>
      </c>
    </row>
    <row r="13" spans="1:5" ht="14.5" thickBot="1">
      <c r="A13" s="41" t="s">
        <v>548</v>
      </c>
      <c r="B13" s="35">
        <v>2003</v>
      </c>
      <c r="C13" s="39">
        <v>0</v>
      </c>
      <c r="D13" s="39">
        <v>0</v>
      </c>
      <c r="E13" s="39">
        <v>5.7275541795665577</v>
      </c>
    </row>
    <row r="14" spans="1:5" ht="14.5" thickBot="1">
      <c r="A14" s="41" t="s">
        <v>549</v>
      </c>
      <c r="B14" s="35">
        <v>2003</v>
      </c>
      <c r="C14" s="39">
        <v>0</v>
      </c>
      <c r="D14" s="39">
        <v>0</v>
      </c>
      <c r="E14" s="39">
        <v>25.884543761638728</v>
      </c>
    </row>
    <row r="15" spans="1:5" ht="14.5" thickBot="1">
      <c r="A15" s="41" t="s">
        <v>550</v>
      </c>
      <c r="B15" s="35">
        <v>2003</v>
      </c>
      <c r="C15" s="39">
        <v>0</v>
      </c>
      <c r="D15" s="39">
        <v>52.293577981651374</v>
      </c>
      <c r="E15" s="39">
        <v>0</v>
      </c>
    </row>
    <row r="16" spans="1:5" ht="14.5" thickBot="1">
      <c r="A16" s="41" t="s">
        <v>551</v>
      </c>
      <c r="B16" s="35">
        <v>2003</v>
      </c>
      <c r="C16" s="39">
        <v>33.527357392316659</v>
      </c>
      <c r="D16" s="39">
        <v>0</v>
      </c>
      <c r="E16" s="39">
        <v>0</v>
      </c>
    </row>
    <row r="17" spans="1:5" ht="14.5" thickBot="1">
      <c r="A17" s="41" t="s">
        <v>552</v>
      </c>
      <c r="B17" s="35">
        <v>2003</v>
      </c>
      <c r="C17" s="39">
        <v>0</v>
      </c>
      <c r="D17" s="39">
        <v>40.816326530612251</v>
      </c>
      <c r="E17" s="39">
        <v>0</v>
      </c>
    </row>
    <row r="18" spans="1:5" ht="14.5" thickBot="1">
      <c r="A18" s="41" t="s">
        <v>553</v>
      </c>
      <c r="B18" s="35">
        <v>2003</v>
      </c>
      <c r="C18" s="39">
        <v>0</v>
      </c>
      <c r="D18" s="39">
        <v>8.6614173228346569</v>
      </c>
      <c r="E18" s="39">
        <v>0</v>
      </c>
    </row>
    <row r="19" spans="1:5" ht="14.5" thickBot="1">
      <c r="A19" s="41" t="s">
        <v>554</v>
      </c>
      <c r="B19" s="35">
        <v>2003</v>
      </c>
      <c r="C19" s="39">
        <v>0</v>
      </c>
      <c r="D19" s="39">
        <v>44.497607655502378</v>
      </c>
      <c r="E19" s="39">
        <v>0</v>
      </c>
    </row>
    <row r="20" spans="1:5" ht="14.5" thickBot="1">
      <c r="A20" s="42" t="s">
        <v>555</v>
      </c>
      <c r="B20" s="35">
        <v>2003</v>
      </c>
      <c r="C20" s="39">
        <v>24.390243902439025</v>
      </c>
      <c r="D20" s="39">
        <v>0</v>
      </c>
      <c r="E20" s="39">
        <v>0</v>
      </c>
    </row>
  </sheetData>
  <pageMargins left="0.7" right="0.7" top="0.75" bottom="0.75" header="0.3" footer="0.3"/>
  <headerFooter>
    <oddHeader>&amp;C&amp;"Aptos"&amp;10&amp;K0078D7 [Open]&amp;1#_x000D_</oddHeader>
  </headerFooter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33B5B-72E5-4AD9-AE75-BE4642D37064}">
  <dimension ref="A1:E7"/>
  <sheetViews>
    <sheetView workbookViewId="0">
      <selection activeCell="D3" sqref="D3"/>
    </sheetView>
  </sheetViews>
  <sheetFormatPr defaultRowHeight="14"/>
  <cols>
    <col min="1" max="1" width="31.58203125" style="37" customWidth="1"/>
    <col min="2" max="2" width="117.9140625" style="37" customWidth="1"/>
    <col min="3" max="3" width="117.25" style="37" customWidth="1"/>
    <col min="4" max="4" width="101.83203125" style="37" customWidth="1"/>
    <col min="5" max="16384" width="8.6640625" style="37"/>
  </cols>
  <sheetData>
    <row r="1" spans="1:5" ht="19" thickBot="1">
      <c r="A1" s="108" t="s">
        <v>393</v>
      </c>
      <c r="B1" s="108" t="s">
        <v>577</v>
      </c>
      <c r="C1" s="108" t="s">
        <v>578</v>
      </c>
      <c r="D1" s="108" t="s">
        <v>579</v>
      </c>
      <c r="E1" s="108" t="s">
        <v>361</v>
      </c>
    </row>
    <row r="2" spans="1:5" s="111" customFormat="1" ht="38" thickTop="1" thickBot="1">
      <c r="A2" s="109" t="s">
        <v>580</v>
      </c>
      <c r="B2" s="110" t="s">
        <v>581</v>
      </c>
      <c r="C2" s="110" t="s">
        <v>582</v>
      </c>
      <c r="D2" s="110" t="s">
        <v>583</v>
      </c>
      <c r="E2" s="111" t="s">
        <v>584</v>
      </c>
    </row>
    <row r="3" spans="1:5" s="111" customFormat="1" ht="19" thickBot="1">
      <c r="A3" s="112" t="s">
        <v>585</v>
      </c>
      <c r="B3" s="113" t="s">
        <v>586</v>
      </c>
      <c r="C3" s="113" t="s">
        <v>587</v>
      </c>
      <c r="D3" s="113" t="s">
        <v>588</v>
      </c>
      <c r="E3" s="111" t="s">
        <v>584</v>
      </c>
    </row>
    <row r="4" spans="1:5" s="111" customFormat="1" ht="37.5" thickBot="1">
      <c r="A4" s="114" t="s">
        <v>589</v>
      </c>
      <c r="B4" s="115" t="s">
        <v>590</v>
      </c>
      <c r="C4" s="115" t="s">
        <v>591</v>
      </c>
      <c r="D4" s="115" t="s">
        <v>592</v>
      </c>
      <c r="E4" s="111" t="s">
        <v>584</v>
      </c>
    </row>
    <row r="5" spans="1:5" s="111" customFormat="1" ht="37.5" thickBot="1">
      <c r="A5" s="112" t="s">
        <v>593</v>
      </c>
      <c r="B5" s="113" t="s">
        <v>594</v>
      </c>
      <c r="C5" s="113" t="s">
        <v>595</v>
      </c>
      <c r="D5" s="113" t="s">
        <v>596</v>
      </c>
      <c r="E5" s="111" t="s">
        <v>584</v>
      </c>
    </row>
    <row r="6" spans="1:5" s="111" customFormat="1" ht="37.5" thickBot="1">
      <c r="A6" s="114" t="s">
        <v>597</v>
      </c>
      <c r="B6" s="115" t="s">
        <v>598</v>
      </c>
      <c r="C6" s="115" t="s">
        <v>599</v>
      </c>
      <c r="D6" s="115" t="s">
        <v>600</v>
      </c>
      <c r="E6" s="111" t="s">
        <v>584</v>
      </c>
    </row>
    <row r="7" spans="1:5" s="111" customFormat="1" ht="37.5" thickBot="1">
      <c r="A7" s="112" t="s">
        <v>601</v>
      </c>
      <c r="B7" s="113" t="s">
        <v>602</v>
      </c>
      <c r="C7" s="113" t="s">
        <v>603</v>
      </c>
      <c r="D7" s="113" t="s">
        <v>604</v>
      </c>
      <c r="E7" s="111" t="s">
        <v>584</v>
      </c>
    </row>
  </sheetData>
  <pageMargins left="0.7" right="0.7" top="0.75" bottom="0.75" header="0.3" footer="0.3"/>
  <headerFooter>
    <oddHeader>&amp;C&amp;"Aptos"&amp;10&amp;K0078D7 [Open]&amp;1#_x000D_</oddHead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5A041-D3E2-4D12-80AD-7BF56F63AA3D}">
  <dimension ref="B1:G65"/>
  <sheetViews>
    <sheetView workbookViewId="0">
      <selection sqref="A1:A1048576"/>
    </sheetView>
  </sheetViews>
  <sheetFormatPr defaultRowHeight="14"/>
  <cols>
    <col min="1" max="1" width="17.58203125" style="37" customWidth="1"/>
    <col min="2" max="2" width="19.6640625" style="118" customWidth="1"/>
    <col min="3" max="3" width="28.1640625" style="118" customWidth="1"/>
    <col min="4" max="4" width="20.9140625" style="118" customWidth="1"/>
    <col min="5" max="5" width="21.6640625" style="118" customWidth="1"/>
    <col min="6" max="6" width="25.1640625" style="118" customWidth="1"/>
    <col min="7" max="7" width="23.4140625" style="118" customWidth="1"/>
    <col min="8" max="16384" width="8.6640625" style="37"/>
  </cols>
  <sheetData>
    <row r="1" spans="2:7">
      <c r="B1" s="119" t="s">
        <v>606</v>
      </c>
      <c r="C1" s="119" t="s">
        <v>638</v>
      </c>
      <c r="D1" s="119" t="s">
        <v>637</v>
      </c>
      <c r="E1" s="119" t="s">
        <v>636</v>
      </c>
      <c r="F1" s="119" t="s">
        <v>635</v>
      </c>
      <c r="G1" s="119" t="s">
        <v>634</v>
      </c>
    </row>
    <row r="2" spans="2:7">
      <c r="B2" s="118">
        <v>2013</v>
      </c>
      <c r="C2" s="118" t="s">
        <v>633</v>
      </c>
      <c r="D2" s="118">
        <v>2000</v>
      </c>
      <c r="E2" s="118">
        <v>2000</v>
      </c>
      <c r="F2" s="118">
        <v>7.34</v>
      </c>
      <c r="G2" s="118">
        <v>53.44</v>
      </c>
    </row>
    <row r="3" spans="2:7">
      <c r="B3" s="118">
        <v>2013</v>
      </c>
      <c r="C3" s="118" t="s">
        <v>633</v>
      </c>
      <c r="D3" s="118">
        <v>2000</v>
      </c>
      <c r="E3" s="118">
        <v>2000</v>
      </c>
      <c r="F3" s="118">
        <v>10</v>
      </c>
      <c r="G3" s="118">
        <v>45.78</v>
      </c>
    </row>
    <row r="4" spans="2:7">
      <c r="B4" s="118">
        <v>2013</v>
      </c>
      <c r="C4" s="118" t="s">
        <v>633</v>
      </c>
      <c r="D4" s="118">
        <v>2000</v>
      </c>
      <c r="E4" s="118">
        <v>2000</v>
      </c>
      <c r="F4" s="118">
        <v>36.69</v>
      </c>
      <c r="G4" s="118">
        <v>22</v>
      </c>
    </row>
    <row r="5" spans="2:7">
      <c r="B5" s="118">
        <v>2013</v>
      </c>
      <c r="C5" s="118" t="s">
        <v>633</v>
      </c>
      <c r="D5" s="118">
        <v>2000</v>
      </c>
      <c r="E5" s="118">
        <v>2000</v>
      </c>
      <c r="F5" s="118">
        <v>50</v>
      </c>
      <c r="G5" s="118">
        <v>16.14</v>
      </c>
    </row>
    <row r="6" spans="2:7">
      <c r="B6" s="118">
        <v>2013</v>
      </c>
      <c r="C6" s="118" t="s">
        <v>632</v>
      </c>
      <c r="D6" s="118">
        <v>2000</v>
      </c>
      <c r="E6" s="118">
        <v>1500</v>
      </c>
      <c r="F6" s="118">
        <v>7.34</v>
      </c>
      <c r="G6" s="118">
        <v>27.69</v>
      </c>
    </row>
    <row r="7" spans="2:7">
      <c r="B7" s="118">
        <v>2013</v>
      </c>
      <c r="C7" s="118" t="s">
        <v>632</v>
      </c>
      <c r="D7" s="118">
        <v>2000</v>
      </c>
      <c r="E7" s="118">
        <v>1500</v>
      </c>
      <c r="F7" s="118">
        <v>10</v>
      </c>
      <c r="G7" s="118">
        <v>24.49</v>
      </c>
    </row>
    <row r="8" spans="2:7">
      <c r="B8" s="118">
        <v>2013</v>
      </c>
      <c r="C8" s="118" t="s">
        <v>632</v>
      </c>
      <c r="D8" s="118">
        <v>2000</v>
      </c>
      <c r="E8" s="118">
        <v>1500</v>
      </c>
      <c r="F8" s="118">
        <v>36.69</v>
      </c>
      <c r="G8" s="118">
        <v>14.6</v>
      </c>
    </row>
    <row r="9" spans="2:7">
      <c r="B9" s="118">
        <v>2013</v>
      </c>
      <c r="C9" s="118" t="s">
        <v>632</v>
      </c>
      <c r="D9" s="118">
        <v>2000</v>
      </c>
      <c r="E9" s="118">
        <v>1500</v>
      </c>
      <c r="F9" s="118">
        <v>50</v>
      </c>
      <c r="G9" s="118">
        <v>12.85</v>
      </c>
    </row>
    <row r="10" spans="2:7">
      <c r="B10" s="118">
        <v>2013</v>
      </c>
      <c r="C10" s="118" t="s">
        <v>631</v>
      </c>
      <c r="D10" s="118">
        <v>2000</v>
      </c>
      <c r="E10" s="118">
        <v>1000</v>
      </c>
      <c r="F10" s="118">
        <v>7.34</v>
      </c>
      <c r="G10" s="118">
        <v>13.3</v>
      </c>
    </row>
    <row r="11" spans="2:7">
      <c r="B11" s="118">
        <v>2013</v>
      </c>
      <c r="C11" s="118" t="s">
        <v>631</v>
      </c>
      <c r="D11" s="118">
        <v>2000</v>
      </c>
      <c r="E11" s="118">
        <v>1000</v>
      </c>
      <c r="F11" s="118">
        <v>10</v>
      </c>
      <c r="G11" s="118">
        <v>11.95</v>
      </c>
    </row>
    <row r="12" spans="2:7">
      <c r="B12" s="118">
        <v>2013</v>
      </c>
      <c r="C12" s="118" t="s">
        <v>631</v>
      </c>
      <c r="D12" s="118">
        <v>2000</v>
      </c>
      <c r="E12" s="118">
        <v>1000</v>
      </c>
      <c r="F12" s="118">
        <v>36.69</v>
      </c>
      <c r="G12" s="118">
        <v>8.0399999999999991</v>
      </c>
    </row>
    <row r="13" spans="2:7">
      <c r="B13" s="118">
        <v>2013</v>
      </c>
      <c r="C13" s="118" t="s">
        <v>631</v>
      </c>
      <c r="D13" s="118">
        <v>2000</v>
      </c>
      <c r="E13" s="118">
        <v>1000</v>
      </c>
      <c r="F13" s="118">
        <v>50</v>
      </c>
      <c r="G13" s="118">
        <v>7.19</v>
      </c>
    </row>
    <row r="14" spans="2:7">
      <c r="B14" s="118">
        <v>2013</v>
      </c>
      <c r="C14" s="118" t="s">
        <v>630</v>
      </c>
      <c r="D14" s="118">
        <v>2000</v>
      </c>
      <c r="E14" s="118">
        <v>500</v>
      </c>
      <c r="F14" s="118">
        <v>7.34</v>
      </c>
      <c r="G14" s="118">
        <v>4.5999999999999996</v>
      </c>
    </row>
    <row r="15" spans="2:7">
      <c r="B15" s="118">
        <v>2013</v>
      </c>
      <c r="C15" s="118" t="s">
        <v>630</v>
      </c>
      <c r="D15" s="118">
        <v>2000</v>
      </c>
      <c r="E15" s="118">
        <v>500</v>
      </c>
      <c r="F15" s="118">
        <v>10</v>
      </c>
      <c r="G15" s="118">
        <v>4.18</v>
      </c>
    </row>
    <row r="16" spans="2:7">
      <c r="B16" s="118">
        <v>2013</v>
      </c>
      <c r="C16" s="118" t="s">
        <v>630</v>
      </c>
      <c r="D16" s="118">
        <v>2000</v>
      </c>
      <c r="E16" s="118">
        <v>500</v>
      </c>
      <c r="F16" s="118">
        <v>36.69</v>
      </c>
      <c r="G16" s="118">
        <v>3.2</v>
      </c>
    </row>
    <row r="17" spans="2:7">
      <c r="B17" s="118">
        <v>2013</v>
      </c>
      <c r="C17" s="118" t="s">
        <v>630</v>
      </c>
      <c r="D17" s="118">
        <v>2000</v>
      </c>
      <c r="E17" s="118">
        <v>500</v>
      </c>
      <c r="F17" s="118">
        <v>50</v>
      </c>
      <c r="G17" s="118">
        <v>3.01</v>
      </c>
    </row>
    <row r="18" spans="2:7">
      <c r="B18" s="118">
        <v>2013</v>
      </c>
      <c r="C18" s="118" t="s">
        <v>627</v>
      </c>
      <c r="D18" s="118">
        <v>2000</v>
      </c>
      <c r="E18" s="118">
        <v>2000</v>
      </c>
      <c r="F18" s="118">
        <v>7.34</v>
      </c>
      <c r="G18" s="118">
        <v>19.14</v>
      </c>
    </row>
    <row r="19" spans="2:7">
      <c r="B19" s="118">
        <v>2013</v>
      </c>
      <c r="C19" s="118" t="s">
        <v>627</v>
      </c>
      <c r="D19" s="118">
        <v>2000</v>
      </c>
      <c r="E19" s="118">
        <v>2000</v>
      </c>
      <c r="F19" s="118">
        <v>10</v>
      </c>
      <c r="G19" s="118">
        <v>17.559999999999999</v>
      </c>
    </row>
    <row r="20" spans="2:7">
      <c r="B20" s="118">
        <v>2013</v>
      </c>
      <c r="C20" s="118" t="s">
        <v>627</v>
      </c>
      <c r="D20" s="118">
        <v>2000</v>
      </c>
      <c r="E20" s="118">
        <v>2000</v>
      </c>
      <c r="F20" s="118">
        <v>36.69</v>
      </c>
      <c r="G20" s="118">
        <v>13.03</v>
      </c>
    </row>
    <row r="21" spans="2:7">
      <c r="B21" s="118">
        <v>2013</v>
      </c>
      <c r="C21" s="118" t="s">
        <v>627</v>
      </c>
      <c r="D21" s="118">
        <v>2000</v>
      </c>
      <c r="E21" s="118">
        <v>2000</v>
      </c>
      <c r="F21" s="118">
        <v>50</v>
      </c>
      <c r="G21" s="118">
        <v>12.12</v>
      </c>
    </row>
    <row r="22" spans="2:7">
      <c r="B22" s="118">
        <v>2013</v>
      </c>
      <c r="C22" s="118" t="s">
        <v>629</v>
      </c>
      <c r="D22" s="118">
        <v>2000</v>
      </c>
      <c r="E22" s="118">
        <v>1500</v>
      </c>
      <c r="F22" s="118">
        <v>7.34</v>
      </c>
      <c r="G22" s="118">
        <v>11.2</v>
      </c>
    </row>
    <row r="23" spans="2:7">
      <c r="B23" s="118">
        <v>2013</v>
      </c>
      <c r="C23" s="118" t="s">
        <v>629</v>
      </c>
      <c r="D23" s="118">
        <v>2000</v>
      </c>
      <c r="E23" s="118">
        <v>1500</v>
      </c>
      <c r="F23" s="118">
        <v>10</v>
      </c>
      <c r="G23" s="118">
        <v>10.71</v>
      </c>
    </row>
    <row r="24" spans="2:7">
      <c r="B24" s="118">
        <v>2013</v>
      </c>
      <c r="C24" s="118" t="s">
        <v>629</v>
      </c>
      <c r="D24" s="118">
        <v>2000</v>
      </c>
      <c r="E24" s="118">
        <v>1500</v>
      </c>
      <c r="F24" s="118">
        <v>36.69</v>
      </c>
      <c r="G24" s="118">
        <v>8.5</v>
      </c>
    </row>
    <row r="25" spans="2:7">
      <c r="B25" s="118">
        <v>2013</v>
      </c>
      <c r="C25" s="118" t="s">
        <v>629</v>
      </c>
      <c r="D25" s="118">
        <v>2000</v>
      </c>
      <c r="E25" s="118">
        <v>1500</v>
      </c>
      <c r="F25" s="118">
        <v>50</v>
      </c>
      <c r="G25" s="118">
        <v>8.1300000000000008</v>
      </c>
    </row>
    <row r="26" spans="2:7">
      <c r="B26" s="118">
        <v>2013</v>
      </c>
      <c r="C26" s="118" t="s">
        <v>628</v>
      </c>
      <c r="D26" s="118">
        <v>2000</v>
      </c>
      <c r="E26" s="118">
        <v>1000</v>
      </c>
      <c r="F26" s="118">
        <v>7.34</v>
      </c>
      <c r="G26" s="118">
        <v>6</v>
      </c>
    </row>
    <row r="27" spans="2:7">
      <c r="B27" s="118">
        <v>2013</v>
      </c>
      <c r="C27" s="118" t="s">
        <v>628</v>
      </c>
      <c r="D27" s="118">
        <v>2000</v>
      </c>
      <c r="E27" s="118">
        <v>1000</v>
      </c>
      <c r="F27" s="118">
        <v>10</v>
      </c>
      <c r="G27" s="118">
        <v>5.72</v>
      </c>
    </row>
    <row r="28" spans="2:7">
      <c r="B28" s="118">
        <v>2013</v>
      </c>
      <c r="C28" s="118" t="s">
        <v>628</v>
      </c>
      <c r="D28" s="118">
        <v>2000</v>
      </c>
      <c r="E28" s="118">
        <v>1000</v>
      </c>
      <c r="F28" s="118">
        <v>36.69</v>
      </c>
      <c r="G28" s="118">
        <v>4.72</v>
      </c>
    </row>
    <row r="29" spans="2:7">
      <c r="B29" s="118">
        <v>2013</v>
      </c>
      <c r="C29" s="118" t="s">
        <v>627</v>
      </c>
      <c r="D29" s="118">
        <v>2000</v>
      </c>
      <c r="E29" s="118">
        <v>1000</v>
      </c>
      <c r="F29" s="118">
        <v>50</v>
      </c>
      <c r="G29" s="118">
        <v>4.55</v>
      </c>
    </row>
    <row r="30" spans="2:7">
      <c r="B30" s="118">
        <v>2013</v>
      </c>
      <c r="C30" s="118" t="s">
        <v>626</v>
      </c>
      <c r="D30" s="118">
        <v>2000</v>
      </c>
      <c r="E30" s="118">
        <v>500</v>
      </c>
      <c r="F30" s="118">
        <v>7.34</v>
      </c>
      <c r="G30" s="118">
        <v>2.6</v>
      </c>
    </row>
    <row r="31" spans="2:7">
      <c r="B31" s="118">
        <v>2013</v>
      </c>
      <c r="C31" s="118" t="s">
        <v>626</v>
      </c>
      <c r="D31" s="118">
        <v>2000</v>
      </c>
      <c r="E31" s="118">
        <v>500</v>
      </c>
      <c r="F31" s="118">
        <v>10</v>
      </c>
      <c r="G31" s="118">
        <v>2.42</v>
      </c>
    </row>
    <row r="32" spans="2:7">
      <c r="B32" s="118">
        <v>2013</v>
      </c>
      <c r="C32" s="118" t="s">
        <v>626</v>
      </c>
      <c r="D32" s="118">
        <v>2000</v>
      </c>
      <c r="E32" s="118">
        <v>500</v>
      </c>
      <c r="F32" s="118">
        <v>36.69</v>
      </c>
      <c r="G32" s="118">
        <v>2.08</v>
      </c>
    </row>
    <row r="33" spans="2:7">
      <c r="B33" s="118">
        <v>2013</v>
      </c>
      <c r="C33" s="118" t="s">
        <v>626</v>
      </c>
      <c r="D33" s="118">
        <v>2000</v>
      </c>
      <c r="E33" s="118">
        <v>500</v>
      </c>
      <c r="F33" s="118">
        <v>50</v>
      </c>
      <c r="G33" s="118">
        <v>2.0499999999999998</v>
      </c>
    </row>
    <row r="34" spans="2:7">
      <c r="B34" s="118">
        <v>2003</v>
      </c>
      <c r="C34" s="118" t="s">
        <v>625</v>
      </c>
      <c r="F34" s="118">
        <v>1</v>
      </c>
      <c r="G34" s="118">
        <v>11</v>
      </c>
    </row>
    <row r="35" spans="2:7">
      <c r="B35" s="118">
        <v>2003</v>
      </c>
      <c r="C35" s="118" t="s">
        <v>625</v>
      </c>
      <c r="F35" s="118">
        <v>7</v>
      </c>
      <c r="G35" s="118">
        <v>10</v>
      </c>
    </row>
    <row r="36" spans="2:7">
      <c r="B36" s="118">
        <v>2003</v>
      </c>
      <c r="C36" s="118" t="s">
        <v>625</v>
      </c>
      <c r="F36" s="118">
        <v>11</v>
      </c>
      <c r="G36" s="118">
        <v>8</v>
      </c>
    </row>
    <row r="37" spans="2:7">
      <c r="B37" s="118">
        <v>2003</v>
      </c>
      <c r="C37" s="118" t="s">
        <v>625</v>
      </c>
      <c r="F37" s="118">
        <v>13</v>
      </c>
      <c r="G37" s="118">
        <v>5</v>
      </c>
    </row>
    <row r="38" spans="2:7">
      <c r="B38" s="118">
        <v>2003</v>
      </c>
      <c r="C38" s="118" t="s">
        <v>623</v>
      </c>
      <c r="F38" s="118">
        <v>1</v>
      </c>
      <c r="G38" s="118">
        <v>7</v>
      </c>
    </row>
    <row r="39" spans="2:7">
      <c r="B39" s="118">
        <v>2003</v>
      </c>
      <c r="C39" s="118" t="s">
        <v>623</v>
      </c>
      <c r="F39" s="118">
        <v>7</v>
      </c>
      <c r="G39" s="118">
        <v>4</v>
      </c>
    </row>
    <row r="40" spans="2:7">
      <c r="B40" s="118">
        <v>2003</v>
      </c>
      <c r="C40" s="118" t="s">
        <v>624</v>
      </c>
      <c r="F40" s="118">
        <v>11</v>
      </c>
      <c r="G40" s="118">
        <v>3</v>
      </c>
    </row>
    <row r="41" spans="2:7">
      <c r="B41" s="118">
        <v>2003</v>
      </c>
      <c r="C41" s="118" t="s">
        <v>623</v>
      </c>
      <c r="F41" s="118">
        <v>13</v>
      </c>
      <c r="G41" s="118">
        <v>2</v>
      </c>
    </row>
    <row r="42" spans="2:7">
      <c r="B42" s="118">
        <v>2003</v>
      </c>
      <c r="C42" s="118" t="s">
        <v>622</v>
      </c>
      <c r="F42" s="118">
        <v>1</v>
      </c>
      <c r="G42" s="118">
        <v>4</v>
      </c>
    </row>
    <row r="43" spans="2:7">
      <c r="B43" s="118">
        <v>2003</v>
      </c>
      <c r="C43" s="118" t="s">
        <v>622</v>
      </c>
      <c r="F43" s="118">
        <v>7</v>
      </c>
      <c r="G43" s="118">
        <v>2.8</v>
      </c>
    </row>
    <row r="44" spans="2:7">
      <c r="B44" s="118">
        <v>2003</v>
      </c>
      <c r="C44" s="118" t="s">
        <v>622</v>
      </c>
      <c r="F44" s="118">
        <v>11</v>
      </c>
      <c r="G44" s="118">
        <v>2.7</v>
      </c>
    </row>
    <row r="45" spans="2:7">
      <c r="B45" s="118">
        <v>2003</v>
      </c>
      <c r="C45" s="118" t="s">
        <v>622</v>
      </c>
      <c r="F45" s="118">
        <v>13</v>
      </c>
      <c r="G45" s="118">
        <v>2.2999999999999998</v>
      </c>
    </row>
    <row r="46" spans="2:7">
      <c r="B46" s="118">
        <v>2003</v>
      </c>
      <c r="C46" s="118" t="s">
        <v>621</v>
      </c>
      <c r="F46" s="118">
        <v>1</v>
      </c>
      <c r="G46" s="118">
        <v>7</v>
      </c>
    </row>
    <row r="47" spans="2:7">
      <c r="B47" s="118">
        <v>2003</v>
      </c>
      <c r="C47" s="118" t="s">
        <v>621</v>
      </c>
      <c r="F47" s="118">
        <v>7</v>
      </c>
      <c r="G47" s="118">
        <v>5.5</v>
      </c>
    </row>
    <row r="48" spans="2:7">
      <c r="B48" s="118">
        <v>2003</v>
      </c>
      <c r="C48" s="118" t="s">
        <v>621</v>
      </c>
      <c r="F48" s="118">
        <v>11</v>
      </c>
      <c r="G48" s="118">
        <v>4.5</v>
      </c>
    </row>
    <row r="49" spans="2:7">
      <c r="B49" s="118">
        <v>2003</v>
      </c>
      <c r="C49" s="118" t="s">
        <v>621</v>
      </c>
      <c r="F49" s="118">
        <v>13</v>
      </c>
      <c r="G49" s="118">
        <v>4</v>
      </c>
    </row>
    <row r="50" spans="2:7">
      <c r="B50" s="118">
        <v>2003</v>
      </c>
      <c r="C50" s="118" t="s">
        <v>620</v>
      </c>
      <c r="F50" s="118">
        <v>1</v>
      </c>
      <c r="G50" s="118">
        <v>11</v>
      </c>
    </row>
    <row r="51" spans="2:7">
      <c r="B51" s="118">
        <v>2003</v>
      </c>
      <c r="C51" s="118" t="s">
        <v>620</v>
      </c>
      <c r="F51" s="118">
        <v>7</v>
      </c>
      <c r="G51" s="118">
        <v>10</v>
      </c>
    </row>
    <row r="52" spans="2:7">
      <c r="B52" s="118">
        <v>2003</v>
      </c>
      <c r="C52" s="118" t="s">
        <v>620</v>
      </c>
      <c r="F52" s="118">
        <v>11</v>
      </c>
      <c r="G52" s="118">
        <v>8</v>
      </c>
    </row>
    <row r="53" spans="2:7">
      <c r="B53" s="118">
        <v>2003</v>
      </c>
      <c r="C53" s="118" t="s">
        <v>620</v>
      </c>
      <c r="F53" s="118">
        <v>13</v>
      </c>
      <c r="G53" s="118">
        <v>5</v>
      </c>
    </row>
    <row r="54" spans="2:7">
      <c r="B54" s="118">
        <v>2003</v>
      </c>
      <c r="C54" s="118" t="s">
        <v>619</v>
      </c>
      <c r="F54" s="118">
        <v>1</v>
      </c>
      <c r="G54" s="118">
        <v>6</v>
      </c>
    </row>
    <row r="55" spans="2:7">
      <c r="B55" s="118">
        <v>2003</v>
      </c>
      <c r="C55" s="118" t="s">
        <v>619</v>
      </c>
      <c r="F55" s="118">
        <v>7</v>
      </c>
      <c r="G55" s="118">
        <v>5.5</v>
      </c>
    </row>
    <row r="56" spans="2:7">
      <c r="B56" s="118">
        <v>2003</v>
      </c>
      <c r="C56" s="118" t="s">
        <v>619</v>
      </c>
      <c r="F56" s="118">
        <v>11</v>
      </c>
      <c r="G56" s="118">
        <v>5</v>
      </c>
    </row>
    <row r="57" spans="2:7">
      <c r="B57" s="118">
        <v>2003</v>
      </c>
      <c r="C57" s="118" t="s">
        <v>619</v>
      </c>
      <c r="F57" s="118">
        <v>13</v>
      </c>
      <c r="G57" s="118">
        <v>4.5</v>
      </c>
    </row>
    <row r="58" spans="2:7">
      <c r="B58" s="118">
        <v>2003</v>
      </c>
      <c r="C58" s="118" t="s">
        <v>618</v>
      </c>
      <c r="F58" s="118">
        <v>1</v>
      </c>
      <c r="G58" s="118">
        <v>6.2</v>
      </c>
    </row>
    <row r="59" spans="2:7">
      <c r="B59" s="118">
        <v>2003</v>
      </c>
      <c r="C59" s="118" t="s">
        <v>618</v>
      </c>
      <c r="F59" s="118">
        <v>7</v>
      </c>
      <c r="G59" s="118">
        <v>5</v>
      </c>
    </row>
    <row r="60" spans="2:7">
      <c r="B60" s="118">
        <v>2003</v>
      </c>
      <c r="C60" s="118" t="s">
        <v>618</v>
      </c>
      <c r="F60" s="118">
        <v>11</v>
      </c>
      <c r="G60" s="118">
        <v>4.3</v>
      </c>
    </row>
    <row r="61" spans="2:7">
      <c r="B61" s="118">
        <v>2003</v>
      </c>
      <c r="C61" s="118" t="s">
        <v>618</v>
      </c>
      <c r="F61" s="118">
        <v>13</v>
      </c>
      <c r="G61" s="118">
        <v>3.2</v>
      </c>
    </row>
    <row r="62" spans="2:7">
      <c r="B62" s="118">
        <v>2003</v>
      </c>
      <c r="C62" s="118" t="s">
        <v>617</v>
      </c>
      <c r="F62" s="118">
        <v>1</v>
      </c>
      <c r="G62" s="118">
        <v>5</v>
      </c>
    </row>
    <row r="63" spans="2:7">
      <c r="B63" s="118">
        <v>2003</v>
      </c>
      <c r="C63" s="118" t="s">
        <v>617</v>
      </c>
      <c r="F63" s="118">
        <v>7</v>
      </c>
      <c r="G63" s="118">
        <v>4.2</v>
      </c>
    </row>
    <row r="64" spans="2:7">
      <c r="B64" s="118">
        <v>2003</v>
      </c>
      <c r="C64" s="118" t="s">
        <v>617</v>
      </c>
      <c r="F64" s="118">
        <v>11</v>
      </c>
      <c r="G64" s="118">
        <v>3.8</v>
      </c>
    </row>
    <row r="65" spans="2:7">
      <c r="B65" s="118">
        <v>2003</v>
      </c>
      <c r="C65" s="118" t="s">
        <v>617</v>
      </c>
      <c r="F65" s="118">
        <v>13</v>
      </c>
      <c r="G65" s="118">
        <v>3.1</v>
      </c>
    </row>
  </sheetData>
  <pageMargins left="0.7" right="0.7" top="0.75" bottom="0.75" header="0.3" footer="0.3"/>
  <headerFooter>
    <oddHeader>&amp;C&amp;"Aptos"&amp;10&amp;K0078D7 [Open]&amp;1#_x000D_</oddHead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4C9E4-2D2C-4390-9DED-2903F1F489EC}">
  <dimension ref="A1:J93"/>
  <sheetViews>
    <sheetView topLeftCell="D1" workbookViewId="0">
      <selection activeCell="G66" sqref="G66"/>
    </sheetView>
  </sheetViews>
  <sheetFormatPr defaultRowHeight="14"/>
  <cols>
    <col min="1" max="2" width="8.6640625" style="37"/>
    <col min="3" max="3" width="15.4140625" style="37" customWidth="1"/>
    <col min="4" max="4" width="77.08203125" style="37" customWidth="1"/>
    <col min="5" max="5" width="17.1640625" style="37" bestFit="1" customWidth="1"/>
    <col min="6" max="6" width="15.9140625" style="37" customWidth="1"/>
    <col min="7" max="7" width="23.9140625" style="122" customWidth="1"/>
    <col min="8" max="8" width="14" style="37" customWidth="1"/>
    <col min="9" max="9" width="26.58203125" style="37" customWidth="1"/>
    <col min="10" max="10" width="17" style="37" customWidth="1"/>
    <col min="11" max="16384" width="8.6640625" style="37"/>
  </cols>
  <sheetData>
    <row r="1" spans="1:10">
      <c r="A1" s="120" t="s">
        <v>498</v>
      </c>
      <c r="B1" s="120" t="s">
        <v>606</v>
      </c>
      <c r="C1" s="120" t="s">
        <v>370</v>
      </c>
      <c r="D1" s="120" t="s">
        <v>639</v>
      </c>
      <c r="E1" s="120" t="s">
        <v>640</v>
      </c>
      <c r="F1" s="120" t="s">
        <v>641</v>
      </c>
      <c r="G1" s="121" t="s">
        <v>642</v>
      </c>
      <c r="H1" s="120" t="s">
        <v>643</v>
      </c>
      <c r="I1" s="120" t="s">
        <v>644</v>
      </c>
      <c r="J1" s="120" t="s">
        <v>645</v>
      </c>
    </row>
    <row r="2" spans="1:10">
      <c r="A2" s="37">
        <v>1</v>
      </c>
      <c r="B2" s="37">
        <v>2025</v>
      </c>
      <c r="C2" s="37" t="s">
        <v>646</v>
      </c>
      <c r="D2" s="37" t="s">
        <v>647</v>
      </c>
      <c r="E2" s="37" t="s">
        <v>584</v>
      </c>
      <c r="G2" s="37">
        <v>100</v>
      </c>
      <c r="H2" s="37">
        <v>0</v>
      </c>
      <c r="I2" s="37">
        <v>2500</v>
      </c>
      <c r="J2" s="37">
        <v>120</v>
      </c>
    </row>
    <row r="3" spans="1:10">
      <c r="A3" s="37">
        <v>1</v>
      </c>
      <c r="B3" s="37">
        <v>2025</v>
      </c>
      <c r="C3" s="37" t="s">
        <v>646</v>
      </c>
      <c r="D3" s="37" t="s">
        <v>647</v>
      </c>
      <c r="E3" s="37" t="s">
        <v>584</v>
      </c>
      <c r="G3" s="37">
        <v>110</v>
      </c>
      <c r="H3" s="37">
        <v>25</v>
      </c>
      <c r="I3" s="37">
        <v>2500</v>
      </c>
      <c r="J3" s="37">
        <v>120</v>
      </c>
    </row>
    <row r="4" spans="1:10">
      <c r="A4" s="37">
        <v>1</v>
      </c>
      <c r="B4" s="37">
        <v>2025</v>
      </c>
      <c r="C4" s="37" t="s">
        <v>646</v>
      </c>
      <c r="D4" s="37" t="s">
        <v>647</v>
      </c>
      <c r="E4" s="37" t="s">
        <v>584</v>
      </c>
      <c r="G4" s="37">
        <v>110</v>
      </c>
      <c r="H4" s="37">
        <v>60</v>
      </c>
      <c r="I4" s="37">
        <v>2500</v>
      </c>
      <c r="J4" s="37">
        <v>120</v>
      </c>
    </row>
    <row r="5" spans="1:10">
      <c r="A5" s="37">
        <v>1</v>
      </c>
      <c r="B5" s="37">
        <v>2025</v>
      </c>
      <c r="C5" s="37" t="s">
        <v>646</v>
      </c>
      <c r="D5" s="37" t="s">
        <v>647</v>
      </c>
      <c r="E5" s="37" t="s">
        <v>584</v>
      </c>
      <c r="G5" s="37">
        <v>100</v>
      </c>
      <c r="H5" s="37">
        <v>90</v>
      </c>
      <c r="I5" s="37">
        <v>2500</v>
      </c>
      <c r="J5" s="37">
        <v>120</v>
      </c>
    </row>
    <row r="6" spans="1:10">
      <c r="A6" s="37">
        <v>1</v>
      </c>
      <c r="B6" s="37">
        <v>2025</v>
      </c>
      <c r="C6" s="37" t="s">
        <v>646</v>
      </c>
      <c r="D6" s="37" t="s">
        <v>647</v>
      </c>
      <c r="E6" s="37" t="s">
        <v>584</v>
      </c>
      <c r="G6" s="37">
        <v>100</v>
      </c>
      <c r="H6" s="37">
        <v>180</v>
      </c>
      <c r="I6" s="37">
        <v>2500</v>
      </c>
      <c r="J6" s="37">
        <v>120</v>
      </c>
    </row>
    <row r="7" spans="1:10">
      <c r="A7" s="37">
        <v>1</v>
      </c>
      <c r="B7" s="37">
        <v>2025</v>
      </c>
      <c r="C7" s="37" t="s">
        <v>646</v>
      </c>
      <c r="D7" s="37" t="s">
        <v>647</v>
      </c>
      <c r="E7" s="37" t="s">
        <v>584</v>
      </c>
      <c r="G7" s="37">
        <v>90</v>
      </c>
      <c r="H7" s="37">
        <v>360</v>
      </c>
      <c r="I7" s="37">
        <v>2500</v>
      </c>
      <c r="J7" s="37">
        <v>120</v>
      </c>
    </row>
    <row r="8" spans="1:10">
      <c r="A8" s="37">
        <v>2</v>
      </c>
      <c r="B8" s="37">
        <v>2025</v>
      </c>
      <c r="C8" s="37" t="s">
        <v>648</v>
      </c>
      <c r="D8" s="37" t="s">
        <v>649</v>
      </c>
      <c r="E8" s="37" t="s">
        <v>648</v>
      </c>
      <c r="G8" s="37">
        <v>100</v>
      </c>
      <c r="H8" s="37">
        <v>0</v>
      </c>
      <c r="I8" s="37">
        <v>1800</v>
      </c>
      <c r="J8" s="37">
        <v>90</v>
      </c>
    </row>
    <row r="9" spans="1:10">
      <c r="A9" s="37">
        <v>2</v>
      </c>
      <c r="B9" s="37">
        <v>2025</v>
      </c>
      <c r="C9" s="37" t="s">
        <v>648</v>
      </c>
      <c r="D9" s="37" t="s">
        <v>649</v>
      </c>
      <c r="E9" s="37" t="s">
        <v>650</v>
      </c>
      <c r="G9" s="37">
        <v>104</v>
      </c>
      <c r="H9" s="37">
        <v>30</v>
      </c>
      <c r="I9" s="37">
        <v>1800</v>
      </c>
      <c r="J9" s="37">
        <v>90</v>
      </c>
    </row>
    <row r="10" spans="1:10">
      <c r="A10" s="37">
        <v>2</v>
      </c>
      <c r="B10" s="37">
        <v>2025</v>
      </c>
      <c r="C10" s="37" t="s">
        <v>648</v>
      </c>
      <c r="D10" s="37" t="s">
        <v>649</v>
      </c>
      <c r="E10" s="37" t="s">
        <v>651</v>
      </c>
      <c r="G10" s="37">
        <v>96</v>
      </c>
      <c r="H10" s="37">
        <v>60</v>
      </c>
      <c r="I10" s="37">
        <v>1800</v>
      </c>
      <c r="J10" s="37">
        <v>90</v>
      </c>
    </row>
    <row r="11" spans="1:10">
      <c r="A11" s="37">
        <v>2</v>
      </c>
      <c r="B11" s="37">
        <v>2025</v>
      </c>
      <c r="C11" s="37" t="s">
        <v>648</v>
      </c>
      <c r="D11" s="37" t="s">
        <v>649</v>
      </c>
      <c r="E11" s="37" t="s">
        <v>652</v>
      </c>
      <c r="G11" s="37">
        <v>97</v>
      </c>
      <c r="H11" s="37">
        <v>90</v>
      </c>
      <c r="I11" s="37">
        <v>1800</v>
      </c>
      <c r="J11" s="37">
        <v>90</v>
      </c>
    </row>
    <row r="12" spans="1:10">
      <c r="A12" s="37">
        <v>2</v>
      </c>
      <c r="B12" s="37">
        <v>2025</v>
      </c>
      <c r="C12" s="37" t="s">
        <v>648</v>
      </c>
      <c r="D12" s="37" t="s">
        <v>649</v>
      </c>
      <c r="E12" s="37" t="s">
        <v>653</v>
      </c>
      <c r="G12" s="37">
        <v>100</v>
      </c>
      <c r="H12" s="37">
        <v>120</v>
      </c>
      <c r="I12" s="37">
        <v>1800</v>
      </c>
      <c r="J12" s="37">
        <v>90</v>
      </c>
    </row>
    <row r="13" spans="1:10">
      <c r="A13" s="37">
        <v>2</v>
      </c>
      <c r="B13" s="37">
        <v>2025</v>
      </c>
      <c r="C13" s="37" t="s">
        <v>648</v>
      </c>
      <c r="D13" s="37" t="s">
        <v>649</v>
      </c>
      <c r="E13" s="37" t="s">
        <v>654</v>
      </c>
      <c r="G13" s="37">
        <v>98</v>
      </c>
      <c r="H13" s="37">
        <v>150</v>
      </c>
      <c r="I13" s="37">
        <v>1800</v>
      </c>
      <c r="J13" s="37">
        <v>90</v>
      </c>
    </row>
    <row r="14" spans="1:10">
      <c r="A14" s="37">
        <v>2</v>
      </c>
      <c r="B14" s="37">
        <v>2025</v>
      </c>
      <c r="C14" s="37" t="s">
        <v>648</v>
      </c>
      <c r="D14" s="37" t="s">
        <v>649</v>
      </c>
      <c r="E14" s="37" t="s">
        <v>655</v>
      </c>
      <c r="G14" s="37">
        <v>100</v>
      </c>
      <c r="H14" s="37">
        <v>180</v>
      </c>
      <c r="I14" s="37">
        <v>1800</v>
      </c>
      <c r="J14" s="37">
        <v>90</v>
      </c>
    </row>
    <row r="15" spans="1:10">
      <c r="A15" s="37">
        <v>3</v>
      </c>
      <c r="B15" s="37">
        <v>2025</v>
      </c>
      <c r="C15" s="37" t="s">
        <v>648</v>
      </c>
      <c r="D15" s="37" t="s">
        <v>656</v>
      </c>
      <c r="E15" s="37" t="s">
        <v>657</v>
      </c>
      <c r="G15" s="37">
        <v>100</v>
      </c>
      <c r="H15" s="37">
        <v>0</v>
      </c>
      <c r="I15" s="37">
        <v>1500</v>
      </c>
      <c r="J15" s="37">
        <v>90</v>
      </c>
    </row>
    <row r="16" spans="1:10">
      <c r="A16" s="37">
        <v>3</v>
      </c>
      <c r="B16" s="37">
        <v>2025</v>
      </c>
      <c r="C16" s="37" t="s">
        <v>648</v>
      </c>
      <c r="D16" s="37" t="s">
        <v>656</v>
      </c>
      <c r="E16" s="37" t="s">
        <v>658</v>
      </c>
      <c r="G16" s="37">
        <v>110</v>
      </c>
      <c r="H16" s="37">
        <v>30</v>
      </c>
      <c r="I16" s="37">
        <v>1500</v>
      </c>
      <c r="J16" s="37">
        <v>90</v>
      </c>
    </row>
    <row r="17" spans="1:10">
      <c r="A17" s="37">
        <v>3</v>
      </c>
      <c r="B17" s="37">
        <v>2025</v>
      </c>
      <c r="C17" s="37" t="s">
        <v>648</v>
      </c>
      <c r="D17" s="37" t="s">
        <v>656</v>
      </c>
      <c r="E17" s="37" t="s">
        <v>659</v>
      </c>
      <c r="G17" s="37">
        <v>109</v>
      </c>
      <c r="H17" s="37">
        <v>60</v>
      </c>
      <c r="I17" s="37">
        <v>1500</v>
      </c>
      <c r="J17" s="37">
        <v>90</v>
      </c>
    </row>
    <row r="18" spans="1:10">
      <c r="A18" s="37">
        <v>3</v>
      </c>
      <c r="B18" s="37">
        <v>2025</v>
      </c>
      <c r="C18" s="37" t="s">
        <v>648</v>
      </c>
      <c r="D18" s="37" t="s">
        <v>656</v>
      </c>
      <c r="E18" s="37" t="s">
        <v>660</v>
      </c>
      <c r="G18" s="37">
        <v>107</v>
      </c>
      <c r="H18" s="37">
        <v>90</v>
      </c>
      <c r="I18" s="37">
        <v>1500</v>
      </c>
      <c r="J18" s="37">
        <v>90</v>
      </c>
    </row>
    <row r="19" spans="1:10">
      <c r="A19" s="37">
        <v>3</v>
      </c>
      <c r="B19" s="37">
        <v>2025</v>
      </c>
      <c r="C19" s="37" t="s">
        <v>648</v>
      </c>
      <c r="D19" s="37" t="s">
        <v>656</v>
      </c>
      <c r="E19" s="37" t="s">
        <v>661</v>
      </c>
      <c r="G19" s="37">
        <v>106</v>
      </c>
      <c r="H19" s="37">
        <v>120</v>
      </c>
      <c r="I19" s="37">
        <v>1500</v>
      </c>
      <c r="J19" s="37">
        <v>90</v>
      </c>
    </row>
    <row r="20" spans="1:10">
      <c r="A20" s="37">
        <v>3</v>
      </c>
      <c r="B20" s="37">
        <v>2025</v>
      </c>
      <c r="C20" s="37" t="s">
        <v>648</v>
      </c>
      <c r="D20" s="37" t="s">
        <v>656</v>
      </c>
      <c r="E20" s="37" t="s">
        <v>662</v>
      </c>
      <c r="G20" s="37">
        <v>104</v>
      </c>
      <c r="H20" s="37">
        <v>180</v>
      </c>
      <c r="I20" s="37">
        <v>1500</v>
      </c>
      <c r="J20" s="37">
        <v>90</v>
      </c>
    </row>
    <row r="21" spans="1:10">
      <c r="A21" s="37">
        <v>4</v>
      </c>
      <c r="B21" s="37">
        <v>2025</v>
      </c>
      <c r="C21" s="37" t="s">
        <v>663</v>
      </c>
      <c r="D21" s="37" t="s">
        <v>664</v>
      </c>
      <c r="E21" s="37" t="s">
        <v>665</v>
      </c>
      <c r="G21" s="37">
        <v>100</v>
      </c>
      <c r="H21" s="37">
        <v>0</v>
      </c>
      <c r="I21" s="37">
        <v>1800</v>
      </c>
      <c r="J21" s="37">
        <v>80</v>
      </c>
    </row>
    <row r="22" spans="1:10">
      <c r="A22" s="37">
        <v>4</v>
      </c>
      <c r="B22" s="37">
        <v>2025</v>
      </c>
      <c r="C22" s="37" t="s">
        <v>663</v>
      </c>
      <c r="D22" s="37" t="s">
        <v>664</v>
      </c>
      <c r="E22" s="37" t="s">
        <v>665</v>
      </c>
      <c r="G22" s="37">
        <v>115</v>
      </c>
      <c r="H22" s="37">
        <v>30</v>
      </c>
      <c r="I22" s="37">
        <v>1800</v>
      </c>
      <c r="J22" s="37">
        <v>80</v>
      </c>
    </row>
    <row r="23" spans="1:10">
      <c r="A23" s="37">
        <v>4</v>
      </c>
      <c r="B23" s="37">
        <v>2025</v>
      </c>
      <c r="C23" s="37" t="s">
        <v>663</v>
      </c>
      <c r="D23" s="37" t="s">
        <v>664</v>
      </c>
      <c r="E23" s="37" t="s">
        <v>665</v>
      </c>
      <c r="G23" s="37">
        <v>115</v>
      </c>
      <c r="H23" s="37">
        <v>60</v>
      </c>
      <c r="I23" s="37">
        <v>1800</v>
      </c>
      <c r="J23" s="37">
        <v>80</v>
      </c>
    </row>
    <row r="24" spans="1:10">
      <c r="A24" s="37">
        <v>4</v>
      </c>
      <c r="B24" s="37">
        <v>2025</v>
      </c>
      <c r="C24" s="37" t="s">
        <v>663</v>
      </c>
      <c r="D24" s="37" t="s">
        <v>664</v>
      </c>
      <c r="E24" s="37" t="s">
        <v>665</v>
      </c>
      <c r="G24" s="37">
        <v>113</v>
      </c>
      <c r="H24" s="37">
        <v>90</v>
      </c>
      <c r="I24" s="37">
        <v>1800</v>
      </c>
      <c r="J24" s="37">
        <v>80</v>
      </c>
    </row>
    <row r="25" spans="1:10">
      <c r="A25" s="37">
        <v>4</v>
      </c>
      <c r="B25" s="37">
        <v>2025</v>
      </c>
      <c r="C25" s="37" t="s">
        <v>663</v>
      </c>
      <c r="D25" s="37" t="s">
        <v>664</v>
      </c>
      <c r="E25" s="37" t="s">
        <v>665</v>
      </c>
      <c r="G25" s="37">
        <v>115</v>
      </c>
      <c r="H25" s="37">
        <v>120</v>
      </c>
      <c r="I25" s="37">
        <v>1800</v>
      </c>
      <c r="J25" s="37">
        <v>80</v>
      </c>
    </row>
    <row r="26" spans="1:10">
      <c r="A26" s="37">
        <v>4</v>
      </c>
      <c r="B26" s="37">
        <v>2025</v>
      </c>
      <c r="C26" s="37" t="s">
        <v>663</v>
      </c>
      <c r="D26" s="37" t="s">
        <v>664</v>
      </c>
      <c r="E26" s="37" t="s">
        <v>665</v>
      </c>
      <c r="G26" s="37">
        <v>112</v>
      </c>
      <c r="H26" s="37">
        <v>150</v>
      </c>
      <c r="I26" s="37">
        <v>1800</v>
      </c>
      <c r="J26" s="37">
        <v>80</v>
      </c>
    </row>
    <row r="27" spans="1:10">
      <c r="A27" s="37">
        <v>4</v>
      </c>
      <c r="B27" s="37">
        <v>2025</v>
      </c>
      <c r="C27" s="37" t="s">
        <v>663</v>
      </c>
      <c r="D27" s="37" t="s">
        <v>664</v>
      </c>
      <c r="E27" s="37" t="s">
        <v>665</v>
      </c>
      <c r="G27" s="37">
        <v>111</v>
      </c>
      <c r="H27" s="37">
        <v>180</v>
      </c>
      <c r="I27" s="37">
        <v>1800</v>
      </c>
      <c r="J27" s="37">
        <v>80</v>
      </c>
    </row>
    <row r="28" spans="1:10">
      <c r="A28" s="37">
        <v>5</v>
      </c>
      <c r="B28" s="37">
        <v>2013</v>
      </c>
      <c r="C28" s="37" t="s">
        <v>646</v>
      </c>
      <c r="D28" s="37" t="s">
        <v>666</v>
      </c>
      <c r="E28" s="37" t="s">
        <v>646</v>
      </c>
      <c r="G28" s="37">
        <v>100</v>
      </c>
      <c r="H28" s="37">
        <v>0</v>
      </c>
      <c r="J28" s="37">
        <v>25</v>
      </c>
    </row>
    <row r="29" spans="1:10">
      <c r="A29" s="37">
        <v>5</v>
      </c>
      <c r="B29" s="37">
        <v>2013</v>
      </c>
      <c r="C29" s="37" t="s">
        <v>646</v>
      </c>
      <c r="D29" s="37" t="s">
        <v>666</v>
      </c>
      <c r="E29" s="37" t="s">
        <v>646</v>
      </c>
      <c r="G29" s="37">
        <v>84.3</v>
      </c>
      <c r="H29" s="37">
        <v>7</v>
      </c>
      <c r="J29" s="37">
        <v>25</v>
      </c>
    </row>
    <row r="30" spans="1:10">
      <c r="A30" s="37">
        <v>5</v>
      </c>
      <c r="B30" s="37">
        <v>2013</v>
      </c>
      <c r="C30" s="37" t="s">
        <v>646</v>
      </c>
      <c r="D30" s="37" t="s">
        <v>666</v>
      </c>
      <c r="E30" s="37" t="s">
        <v>646</v>
      </c>
      <c r="G30" s="37">
        <v>76.7</v>
      </c>
      <c r="H30" s="37">
        <v>14</v>
      </c>
      <c r="J30" s="37">
        <v>25</v>
      </c>
    </row>
    <row r="31" spans="1:10">
      <c r="A31" s="37">
        <v>5</v>
      </c>
      <c r="B31" s="37">
        <v>2013</v>
      </c>
      <c r="C31" s="37" t="s">
        <v>646</v>
      </c>
      <c r="D31" s="37" t="s">
        <v>666</v>
      </c>
      <c r="E31" s="37" t="s">
        <v>646</v>
      </c>
      <c r="G31" s="37">
        <v>75.900000000000006</v>
      </c>
      <c r="H31" s="37">
        <v>21</v>
      </c>
      <c r="J31" s="37">
        <v>25</v>
      </c>
    </row>
    <row r="32" spans="1:10">
      <c r="A32" s="37">
        <v>5</v>
      </c>
      <c r="B32" s="37">
        <v>2013</v>
      </c>
      <c r="C32" s="37" t="s">
        <v>646</v>
      </c>
      <c r="D32" s="37" t="s">
        <v>666</v>
      </c>
      <c r="E32" s="37" t="s">
        <v>646</v>
      </c>
      <c r="G32" s="37">
        <v>67.099999999999994</v>
      </c>
      <c r="H32" s="37">
        <v>29</v>
      </c>
      <c r="J32" s="37">
        <v>25</v>
      </c>
    </row>
    <row r="33" spans="1:10">
      <c r="A33" s="37">
        <v>5</v>
      </c>
      <c r="B33" s="37">
        <v>2013</v>
      </c>
      <c r="C33" s="37" t="s">
        <v>646</v>
      </c>
      <c r="D33" s="37" t="s">
        <v>666</v>
      </c>
      <c r="E33" s="37" t="s">
        <v>646</v>
      </c>
      <c r="G33" s="37">
        <v>60.9</v>
      </c>
      <c r="H33" s="37">
        <v>42</v>
      </c>
      <c r="J33" s="37">
        <v>25</v>
      </c>
    </row>
    <row r="34" spans="1:10">
      <c r="A34" s="37">
        <v>5</v>
      </c>
      <c r="B34" s="37">
        <v>2013</v>
      </c>
      <c r="C34" s="37" t="s">
        <v>646</v>
      </c>
      <c r="D34" s="37" t="s">
        <v>666</v>
      </c>
      <c r="E34" s="37" t="s">
        <v>646</v>
      </c>
      <c r="G34" s="37">
        <v>58.9</v>
      </c>
      <c r="H34" s="37">
        <v>56</v>
      </c>
      <c r="J34" s="37">
        <v>25</v>
      </c>
    </row>
    <row r="35" spans="1:10">
      <c r="A35" s="37">
        <v>5</v>
      </c>
      <c r="B35" s="37">
        <v>2013</v>
      </c>
      <c r="C35" s="37" t="s">
        <v>646</v>
      </c>
      <c r="D35" s="37" t="s">
        <v>666</v>
      </c>
      <c r="E35" s="37" t="s">
        <v>646</v>
      </c>
      <c r="G35" s="37">
        <v>51.3</v>
      </c>
      <c r="H35" s="37">
        <v>70</v>
      </c>
      <c r="J35" s="37">
        <v>25</v>
      </c>
    </row>
    <row r="36" spans="1:10">
      <c r="A36" s="37">
        <v>5</v>
      </c>
      <c r="B36" s="37">
        <v>2013</v>
      </c>
      <c r="C36" s="37" t="s">
        <v>646</v>
      </c>
      <c r="D36" s="37" t="s">
        <v>666</v>
      </c>
      <c r="E36" s="37" t="s">
        <v>646</v>
      </c>
      <c r="G36" s="37">
        <v>49.5</v>
      </c>
      <c r="H36" s="37">
        <v>84</v>
      </c>
      <c r="J36" s="37">
        <v>25</v>
      </c>
    </row>
    <row r="37" spans="1:10">
      <c r="A37" s="37">
        <v>5</v>
      </c>
      <c r="B37" s="37">
        <v>2013</v>
      </c>
      <c r="C37" s="37" t="s">
        <v>646</v>
      </c>
      <c r="D37" s="37" t="s">
        <v>666</v>
      </c>
      <c r="E37" s="37" t="s">
        <v>646</v>
      </c>
      <c r="G37" s="37">
        <v>43.4</v>
      </c>
      <c r="H37" s="37">
        <v>98</v>
      </c>
      <c r="J37" s="37">
        <v>25</v>
      </c>
    </row>
    <row r="38" spans="1:10">
      <c r="A38" s="37">
        <v>5</v>
      </c>
      <c r="B38" s="37">
        <v>2013</v>
      </c>
      <c r="C38" s="37" t="s">
        <v>646</v>
      </c>
      <c r="D38" s="37" t="s">
        <v>666</v>
      </c>
      <c r="E38" s="37" t="s">
        <v>646</v>
      </c>
      <c r="G38" s="37">
        <v>41.7</v>
      </c>
      <c r="H38" s="37">
        <v>112</v>
      </c>
      <c r="J38" s="37">
        <v>25</v>
      </c>
    </row>
    <row r="39" spans="1:10">
      <c r="A39" s="37">
        <v>5</v>
      </c>
      <c r="B39" s="37">
        <v>2013</v>
      </c>
      <c r="C39" s="37" t="s">
        <v>646</v>
      </c>
      <c r="D39" s="37" t="s">
        <v>666</v>
      </c>
      <c r="E39" s="37" t="s">
        <v>646</v>
      </c>
      <c r="G39" s="37">
        <v>40.9</v>
      </c>
      <c r="H39" s="37">
        <v>180</v>
      </c>
      <c r="J39" s="37">
        <v>25</v>
      </c>
    </row>
    <row r="40" spans="1:10">
      <c r="A40" s="37">
        <v>6</v>
      </c>
      <c r="B40" s="37">
        <v>2013</v>
      </c>
      <c r="C40" s="37" t="s">
        <v>646</v>
      </c>
      <c r="D40" s="37" t="s">
        <v>667</v>
      </c>
      <c r="E40" s="37" t="s">
        <v>646</v>
      </c>
      <c r="G40" s="37">
        <v>100</v>
      </c>
      <c r="H40" s="37">
        <v>0</v>
      </c>
      <c r="J40" s="37">
        <v>25</v>
      </c>
    </row>
    <row r="41" spans="1:10">
      <c r="A41" s="37">
        <v>6</v>
      </c>
      <c r="B41" s="37">
        <v>2013</v>
      </c>
      <c r="C41" s="37" t="s">
        <v>646</v>
      </c>
      <c r="D41" s="37" t="s">
        <v>667</v>
      </c>
      <c r="E41" s="37" t="s">
        <v>646</v>
      </c>
      <c r="G41" s="37">
        <v>78.8</v>
      </c>
      <c r="H41" s="37">
        <v>7</v>
      </c>
      <c r="J41" s="37">
        <v>25</v>
      </c>
    </row>
    <row r="42" spans="1:10">
      <c r="A42" s="37">
        <v>6</v>
      </c>
      <c r="B42" s="37">
        <v>2013</v>
      </c>
      <c r="C42" s="37" t="s">
        <v>646</v>
      </c>
      <c r="D42" s="37" t="s">
        <v>667</v>
      </c>
      <c r="E42" s="37" t="s">
        <v>646</v>
      </c>
      <c r="G42" s="37">
        <v>67.2</v>
      </c>
      <c r="H42" s="37">
        <v>14</v>
      </c>
      <c r="J42" s="37">
        <v>25</v>
      </c>
    </row>
    <row r="43" spans="1:10">
      <c r="A43" s="37">
        <v>6</v>
      </c>
      <c r="B43" s="37">
        <v>2013</v>
      </c>
      <c r="C43" s="37" t="s">
        <v>646</v>
      </c>
      <c r="D43" s="37" t="s">
        <v>667</v>
      </c>
      <c r="E43" s="37" t="s">
        <v>646</v>
      </c>
      <c r="G43" s="37">
        <v>61.9</v>
      </c>
      <c r="H43" s="37">
        <v>21</v>
      </c>
      <c r="J43" s="37">
        <v>25</v>
      </c>
    </row>
    <row r="44" spans="1:10">
      <c r="A44" s="37">
        <v>6</v>
      </c>
      <c r="B44" s="37">
        <v>2013</v>
      </c>
      <c r="C44" s="37" t="s">
        <v>646</v>
      </c>
      <c r="D44" s="37" t="s">
        <v>667</v>
      </c>
      <c r="E44" s="37" t="s">
        <v>646</v>
      </c>
      <c r="G44" s="37">
        <v>44.3</v>
      </c>
      <c r="H44" s="37">
        <v>29</v>
      </c>
      <c r="J44" s="37">
        <v>25</v>
      </c>
    </row>
    <row r="45" spans="1:10">
      <c r="A45" s="37">
        <v>6</v>
      </c>
      <c r="B45" s="37">
        <v>2013</v>
      </c>
      <c r="C45" s="37" t="s">
        <v>646</v>
      </c>
      <c r="D45" s="37" t="s">
        <v>667</v>
      </c>
      <c r="E45" s="37" t="s">
        <v>646</v>
      </c>
      <c r="G45" s="37">
        <v>44.9</v>
      </c>
      <c r="H45" s="37">
        <v>42</v>
      </c>
      <c r="J45" s="37">
        <v>25</v>
      </c>
    </row>
    <row r="46" spans="1:10">
      <c r="A46" s="37">
        <v>6</v>
      </c>
      <c r="B46" s="37">
        <v>2013</v>
      </c>
      <c r="C46" s="37" t="s">
        <v>646</v>
      </c>
      <c r="D46" s="37" t="s">
        <v>667</v>
      </c>
      <c r="E46" s="37" t="s">
        <v>646</v>
      </c>
      <c r="G46" s="37">
        <v>39.1</v>
      </c>
      <c r="H46" s="37">
        <v>56</v>
      </c>
      <c r="J46" s="37">
        <v>25</v>
      </c>
    </row>
    <row r="47" spans="1:10">
      <c r="A47" s="37">
        <v>6</v>
      </c>
      <c r="B47" s="37">
        <v>2013</v>
      </c>
      <c r="C47" s="37" t="s">
        <v>646</v>
      </c>
      <c r="D47" s="37" t="s">
        <v>667</v>
      </c>
      <c r="E47" s="37" t="s">
        <v>646</v>
      </c>
      <c r="G47" s="37">
        <v>37.4</v>
      </c>
      <c r="H47" s="37">
        <v>70</v>
      </c>
      <c r="J47" s="37">
        <v>25</v>
      </c>
    </row>
    <row r="48" spans="1:10">
      <c r="A48" s="37">
        <v>6</v>
      </c>
      <c r="B48" s="37">
        <v>2013</v>
      </c>
      <c r="C48" s="37" t="s">
        <v>646</v>
      </c>
      <c r="D48" s="37" t="s">
        <v>667</v>
      </c>
      <c r="E48" s="37" t="s">
        <v>646</v>
      </c>
      <c r="G48" s="37">
        <v>35.799999999999997</v>
      </c>
      <c r="H48" s="37">
        <v>84</v>
      </c>
      <c r="J48" s="37">
        <v>25</v>
      </c>
    </row>
    <row r="49" spans="1:10">
      <c r="A49" s="37">
        <v>6</v>
      </c>
      <c r="B49" s="37">
        <v>2013</v>
      </c>
      <c r="C49" s="37" t="s">
        <v>646</v>
      </c>
      <c r="D49" s="37" t="s">
        <v>667</v>
      </c>
      <c r="E49" s="37" t="s">
        <v>646</v>
      </c>
      <c r="G49" s="37">
        <v>32.900000000000006</v>
      </c>
      <c r="H49" s="37">
        <v>98</v>
      </c>
      <c r="J49" s="37">
        <v>25</v>
      </c>
    </row>
    <row r="50" spans="1:10">
      <c r="A50" s="37">
        <v>6</v>
      </c>
      <c r="B50" s="37">
        <v>2013</v>
      </c>
      <c r="C50" s="37" t="s">
        <v>646</v>
      </c>
      <c r="D50" s="37" t="s">
        <v>667</v>
      </c>
      <c r="E50" s="37" t="s">
        <v>646</v>
      </c>
      <c r="G50" s="37">
        <v>31.5</v>
      </c>
      <c r="H50" s="37">
        <v>112</v>
      </c>
      <c r="J50" s="37">
        <v>25</v>
      </c>
    </row>
    <row r="51" spans="1:10">
      <c r="A51" s="37">
        <v>6</v>
      </c>
      <c r="B51" s="37">
        <v>2013</v>
      </c>
      <c r="C51" s="37" t="s">
        <v>646</v>
      </c>
      <c r="D51" s="37" t="s">
        <v>667</v>
      </c>
      <c r="E51" s="37" t="s">
        <v>646</v>
      </c>
      <c r="G51" s="37">
        <v>31.5</v>
      </c>
      <c r="H51" s="37">
        <v>180</v>
      </c>
      <c r="J51" s="37">
        <v>25</v>
      </c>
    </row>
    <row r="52" spans="1:10">
      <c r="A52" s="37">
        <v>5</v>
      </c>
      <c r="B52" s="37">
        <v>2013</v>
      </c>
      <c r="C52" s="37" t="s">
        <v>646</v>
      </c>
      <c r="D52" s="37" t="s">
        <v>668</v>
      </c>
      <c r="E52" s="37" t="s">
        <v>646</v>
      </c>
      <c r="G52" s="37">
        <v>100</v>
      </c>
      <c r="H52" s="37">
        <v>0</v>
      </c>
      <c r="J52" s="37">
        <v>25</v>
      </c>
    </row>
    <row r="53" spans="1:10">
      <c r="A53" s="37">
        <v>5</v>
      </c>
      <c r="B53" s="37">
        <v>2013</v>
      </c>
      <c r="C53" s="37" t="s">
        <v>646</v>
      </c>
      <c r="D53" s="37" t="s">
        <v>668</v>
      </c>
      <c r="E53" s="37" t="s">
        <v>646</v>
      </c>
      <c r="G53" s="37">
        <v>73.3</v>
      </c>
      <c r="H53" s="37">
        <v>7</v>
      </c>
      <c r="J53" s="37">
        <v>25</v>
      </c>
    </row>
    <row r="54" spans="1:10">
      <c r="A54" s="37">
        <v>5</v>
      </c>
      <c r="B54" s="37">
        <v>2013</v>
      </c>
      <c r="C54" s="37" t="s">
        <v>646</v>
      </c>
      <c r="D54" s="37" t="s">
        <v>668</v>
      </c>
      <c r="E54" s="37" t="s">
        <v>646</v>
      </c>
      <c r="G54" s="37">
        <v>59.8</v>
      </c>
      <c r="H54" s="37">
        <v>14</v>
      </c>
      <c r="J54" s="37">
        <v>25</v>
      </c>
    </row>
    <row r="55" spans="1:10">
      <c r="A55" s="37">
        <v>5</v>
      </c>
      <c r="B55" s="37">
        <v>2013</v>
      </c>
      <c r="C55" s="37" t="s">
        <v>646</v>
      </c>
      <c r="D55" s="37" t="s">
        <v>668</v>
      </c>
      <c r="E55" s="37" t="s">
        <v>646</v>
      </c>
      <c r="G55" s="37">
        <v>39.700000000000003</v>
      </c>
      <c r="H55" s="37">
        <v>21</v>
      </c>
      <c r="J55" s="37">
        <v>25</v>
      </c>
    </row>
    <row r="56" spans="1:10">
      <c r="A56" s="37">
        <v>5</v>
      </c>
      <c r="B56" s="37">
        <v>2013</v>
      </c>
      <c r="C56" s="37" t="s">
        <v>646</v>
      </c>
      <c r="D56" s="37" t="s">
        <v>668</v>
      </c>
      <c r="E56" s="37" t="s">
        <v>646</v>
      </c>
      <c r="G56" s="37">
        <v>33.700000000000003</v>
      </c>
      <c r="H56" s="37">
        <v>29</v>
      </c>
      <c r="J56" s="37">
        <v>25</v>
      </c>
    </row>
    <row r="57" spans="1:10">
      <c r="A57" s="37">
        <v>5</v>
      </c>
      <c r="B57" s="37">
        <v>2013</v>
      </c>
      <c r="C57" s="37" t="s">
        <v>646</v>
      </c>
      <c r="D57" s="37" t="s">
        <v>668</v>
      </c>
      <c r="E57" s="37" t="s">
        <v>646</v>
      </c>
      <c r="G57" s="37">
        <v>30.900000000000006</v>
      </c>
      <c r="H57" s="37">
        <v>42</v>
      </c>
      <c r="J57" s="37">
        <v>25</v>
      </c>
    </row>
    <row r="58" spans="1:10">
      <c r="A58" s="37">
        <v>5</v>
      </c>
      <c r="B58" s="37">
        <v>2013</v>
      </c>
      <c r="C58" s="37" t="s">
        <v>646</v>
      </c>
      <c r="D58" s="37" t="s">
        <v>668</v>
      </c>
      <c r="E58" s="37" t="s">
        <v>646</v>
      </c>
      <c r="G58" s="37">
        <v>26.400000000000006</v>
      </c>
      <c r="H58" s="37">
        <v>56</v>
      </c>
      <c r="J58" s="37">
        <v>25</v>
      </c>
    </row>
    <row r="59" spans="1:10">
      <c r="A59" s="37">
        <v>5</v>
      </c>
      <c r="B59" s="37">
        <v>2013</v>
      </c>
      <c r="C59" s="37" t="s">
        <v>646</v>
      </c>
      <c r="D59" s="37" t="s">
        <v>668</v>
      </c>
      <c r="E59" s="37" t="s">
        <v>646</v>
      </c>
      <c r="G59" s="37">
        <v>24.5</v>
      </c>
      <c r="H59" s="37">
        <v>70</v>
      </c>
      <c r="J59" s="37">
        <v>25</v>
      </c>
    </row>
    <row r="60" spans="1:10">
      <c r="A60" s="37">
        <v>5</v>
      </c>
      <c r="B60" s="37">
        <v>2013</v>
      </c>
      <c r="C60" s="37" t="s">
        <v>646</v>
      </c>
      <c r="D60" s="37" t="s">
        <v>668</v>
      </c>
      <c r="E60" s="37" t="s">
        <v>646</v>
      </c>
      <c r="G60" s="37">
        <v>20</v>
      </c>
      <c r="H60" s="37">
        <v>84</v>
      </c>
      <c r="J60" s="37">
        <v>25</v>
      </c>
    </row>
    <row r="61" spans="1:10">
      <c r="A61" s="37">
        <v>5</v>
      </c>
      <c r="B61" s="37">
        <v>2013</v>
      </c>
      <c r="C61" s="37" t="s">
        <v>646</v>
      </c>
      <c r="D61" s="37" t="s">
        <v>668</v>
      </c>
      <c r="E61" s="37" t="s">
        <v>646</v>
      </c>
      <c r="G61" s="37">
        <v>11.299999999999997</v>
      </c>
      <c r="H61" s="37">
        <v>98</v>
      </c>
      <c r="J61" s="37">
        <v>25</v>
      </c>
    </row>
    <row r="62" spans="1:10">
      <c r="A62" s="37">
        <v>5</v>
      </c>
      <c r="B62" s="37">
        <v>2013</v>
      </c>
      <c r="C62" s="37" t="s">
        <v>646</v>
      </c>
      <c r="D62" s="37" t="s">
        <v>668</v>
      </c>
      <c r="E62" s="37" t="s">
        <v>646</v>
      </c>
      <c r="G62" s="37">
        <v>18.5</v>
      </c>
      <c r="H62" s="37">
        <v>112</v>
      </c>
      <c r="J62" s="37">
        <v>25</v>
      </c>
    </row>
    <row r="63" spans="1:10">
      <c r="A63" s="37">
        <v>5</v>
      </c>
      <c r="B63" s="37">
        <v>2013</v>
      </c>
      <c r="C63" s="37" t="s">
        <v>646</v>
      </c>
      <c r="D63" s="37" t="s">
        <v>668</v>
      </c>
      <c r="E63" s="37" t="s">
        <v>646</v>
      </c>
      <c r="G63" s="37">
        <v>0</v>
      </c>
      <c r="H63" s="37">
        <v>180</v>
      </c>
      <c r="J63" s="37">
        <v>25</v>
      </c>
    </row>
    <row r="64" spans="1:10">
      <c r="A64" s="37">
        <v>6</v>
      </c>
      <c r="B64" s="37">
        <v>2013</v>
      </c>
      <c r="C64" s="37" t="s">
        <v>646</v>
      </c>
      <c r="D64" s="37" t="s">
        <v>669</v>
      </c>
      <c r="E64" s="37" t="s">
        <v>646</v>
      </c>
      <c r="G64" s="37">
        <v>100</v>
      </c>
      <c r="H64" s="37">
        <v>0</v>
      </c>
      <c r="J64" s="37">
        <v>25</v>
      </c>
    </row>
    <row r="65" spans="1:10">
      <c r="A65" s="37">
        <v>6</v>
      </c>
      <c r="B65" s="37">
        <v>2013</v>
      </c>
      <c r="C65" s="37" t="s">
        <v>646</v>
      </c>
      <c r="D65" s="37" t="s">
        <v>669</v>
      </c>
      <c r="E65" s="37" t="s">
        <v>646</v>
      </c>
      <c r="G65" s="37">
        <v>41.1</v>
      </c>
      <c r="H65" s="37">
        <v>7</v>
      </c>
      <c r="J65" s="37">
        <v>25</v>
      </c>
    </row>
    <row r="66" spans="1:10">
      <c r="A66" s="37">
        <v>6</v>
      </c>
      <c r="B66" s="37">
        <v>2013</v>
      </c>
      <c r="C66" s="37" t="s">
        <v>646</v>
      </c>
      <c r="D66" s="37" t="s">
        <v>669</v>
      </c>
      <c r="E66" s="37" t="s">
        <v>646</v>
      </c>
      <c r="G66" s="37">
        <v>28.099999999999994</v>
      </c>
      <c r="H66" s="37">
        <v>14</v>
      </c>
      <c r="J66" s="37">
        <v>25</v>
      </c>
    </row>
    <row r="67" spans="1:10">
      <c r="A67" s="37">
        <v>6</v>
      </c>
      <c r="B67" s="37">
        <v>2013</v>
      </c>
      <c r="C67" s="37" t="s">
        <v>646</v>
      </c>
      <c r="D67" s="37" t="s">
        <v>669</v>
      </c>
      <c r="E67" s="37" t="s">
        <v>646</v>
      </c>
      <c r="G67" s="37">
        <v>16.700000000000003</v>
      </c>
      <c r="H67" s="37">
        <v>21</v>
      </c>
      <c r="J67" s="37">
        <v>25</v>
      </c>
    </row>
    <row r="68" spans="1:10">
      <c r="A68" s="37">
        <v>6</v>
      </c>
      <c r="B68" s="37">
        <v>2013</v>
      </c>
      <c r="C68" s="37" t="s">
        <v>646</v>
      </c>
      <c r="D68" s="37" t="s">
        <v>669</v>
      </c>
      <c r="E68" s="37" t="s">
        <v>646</v>
      </c>
      <c r="G68" s="37">
        <v>10.599999999999994</v>
      </c>
      <c r="H68" s="37">
        <v>29</v>
      </c>
      <c r="J68" s="37">
        <v>25</v>
      </c>
    </row>
    <row r="69" spans="1:10">
      <c r="A69" s="37">
        <v>6</v>
      </c>
      <c r="B69" s="37">
        <v>2013</v>
      </c>
      <c r="C69" s="37" t="s">
        <v>646</v>
      </c>
      <c r="D69" s="37" t="s">
        <v>669</v>
      </c>
      <c r="E69" s="37" t="s">
        <v>646</v>
      </c>
      <c r="G69" s="37">
        <v>9.2999999999999972</v>
      </c>
      <c r="H69" s="37">
        <v>42</v>
      </c>
      <c r="J69" s="37">
        <v>25</v>
      </c>
    </row>
    <row r="70" spans="1:10">
      <c r="A70" s="37">
        <v>6</v>
      </c>
      <c r="B70" s="37">
        <v>2013</v>
      </c>
      <c r="C70" s="37" t="s">
        <v>646</v>
      </c>
      <c r="D70" s="37" t="s">
        <v>669</v>
      </c>
      <c r="E70" s="37" t="s">
        <v>646</v>
      </c>
      <c r="G70" s="37">
        <v>7</v>
      </c>
      <c r="H70" s="37">
        <v>56</v>
      </c>
      <c r="J70" s="37">
        <v>25</v>
      </c>
    </row>
    <row r="71" spans="1:10">
      <c r="A71" s="37">
        <v>6</v>
      </c>
      <c r="B71" s="37">
        <v>2013</v>
      </c>
      <c r="C71" s="37" t="s">
        <v>646</v>
      </c>
      <c r="D71" s="37" t="s">
        <v>669</v>
      </c>
      <c r="E71" s="37" t="s">
        <v>646</v>
      </c>
      <c r="G71" s="37">
        <v>12.700000000000003</v>
      </c>
      <c r="H71" s="37">
        <v>70</v>
      </c>
      <c r="J71" s="37">
        <v>25</v>
      </c>
    </row>
    <row r="72" spans="1:10">
      <c r="A72" s="37">
        <v>6</v>
      </c>
      <c r="B72" s="37">
        <v>2013</v>
      </c>
      <c r="C72" s="37" t="s">
        <v>646</v>
      </c>
      <c r="D72" s="37" t="s">
        <v>669</v>
      </c>
      <c r="E72" s="37" t="s">
        <v>646</v>
      </c>
      <c r="G72" s="37">
        <v>9.2999999999999972</v>
      </c>
      <c r="H72" s="37">
        <v>84</v>
      </c>
      <c r="J72" s="37">
        <v>25</v>
      </c>
    </row>
    <row r="73" spans="1:10">
      <c r="A73" s="37">
        <v>6</v>
      </c>
      <c r="B73" s="37">
        <v>2013</v>
      </c>
      <c r="C73" s="37" t="s">
        <v>646</v>
      </c>
      <c r="D73" s="37" t="s">
        <v>669</v>
      </c>
      <c r="E73" s="37" t="s">
        <v>646</v>
      </c>
      <c r="G73" s="37">
        <v>7.7000000000000028</v>
      </c>
      <c r="H73" s="37">
        <v>98</v>
      </c>
      <c r="J73" s="37">
        <v>25</v>
      </c>
    </row>
    <row r="74" spans="1:10">
      <c r="A74" s="37">
        <v>6</v>
      </c>
      <c r="B74" s="37">
        <v>2013</v>
      </c>
      <c r="C74" s="37" t="s">
        <v>646</v>
      </c>
      <c r="D74" s="37" t="s">
        <v>669</v>
      </c>
      <c r="E74" s="37" t="s">
        <v>646</v>
      </c>
      <c r="G74" s="37">
        <v>7</v>
      </c>
      <c r="H74" s="37">
        <v>112</v>
      </c>
      <c r="J74" s="37">
        <v>25</v>
      </c>
    </row>
    <row r="75" spans="1:10">
      <c r="A75" s="37">
        <v>6</v>
      </c>
      <c r="B75" s="37">
        <v>2013</v>
      </c>
      <c r="C75" s="37" t="s">
        <v>646</v>
      </c>
      <c r="D75" s="37" t="s">
        <v>669</v>
      </c>
      <c r="E75" s="37" t="s">
        <v>646</v>
      </c>
      <c r="G75" s="37">
        <v>0</v>
      </c>
      <c r="H75" s="37">
        <v>180</v>
      </c>
      <c r="J75" s="37">
        <v>25</v>
      </c>
    </row>
    <row r="76" spans="1:10">
      <c r="A76" s="37">
        <v>7</v>
      </c>
      <c r="B76" s="37">
        <v>2013</v>
      </c>
      <c r="C76" s="37" t="s">
        <v>646</v>
      </c>
      <c r="D76" s="37" t="s">
        <v>670</v>
      </c>
      <c r="E76" s="37" t="s">
        <v>646</v>
      </c>
      <c r="G76" s="37">
        <v>100</v>
      </c>
      <c r="H76" s="37">
        <v>0</v>
      </c>
      <c r="J76" s="37">
        <v>25</v>
      </c>
    </row>
    <row r="77" spans="1:10">
      <c r="A77" s="37">
        <v>7</v>
      </c>
      <c r="B77" s="37">
        <v>2013</v>
      </c>
      <c r="C77" s="37" t="s">
        <v>646</v>
      </c>
      <c r="D77" s="37" t="s">
        <v>670</v>
      </c>
      <c r="E77" s="37" t="s">
        <v>646</v>
      </c>
      <c r="G77" s="37">
        <v>146.30000000000001</v>
      </c>
      <c r="H77" s="37">
        <v>7</v>
      </c>
      <c r="J77" s="37">
        <v>25</v>
      </c>
    </row>
    <row r="78" spans="1:10">
      <c r="A78" s="37">
        <v>7</v>
      </c>
      <c r="B78" s="37">
        <v>2013</v>
      </c>
      <c r="C78" s="37" t="s">
        <v>646</v>
      </c>
      <c r="D78" s="37" t="s">
        <v>670</v>
      </c>
      <c r="E78" s="37" t="s">
        <v>646</v>
      </c>
      <c r="G78" s="37">
        <v>140.1</v>
      </c>
      <c r="H78" s="37">
        <v>14</v>
      </c>
      <c r="J78" s="37">
        <v>25</v>
      </c>
    </row>
    <row r="79" spans="1:10">
      <c r="A79" s="37">
        <v>7</v>
      </c>
      <c r="B79" s="37">
        <v>2013</v>
      </c>
      <c r="C79" s="37" t="s">
        <v>646</v>
      </c>
      <c r="D79" s="37" t="s">
        <v>670</v>
      </c>
      <c r="E79" s="37" t="s">
        <v>646</v>
      </c>
      <c r="G79" s="37">
        <v>122.9</v>
      </c>
      <c r="H79" s="37">
        <v>21</v>
      </c>
      <c r="J79" s="37">
        <v>25</v>
      </c>
    </row>
    <row r="80" spans="1:10">
      <c r="A80" s="37">
        <v>7</v>
      </c>
      <c r="B80" s="37">
        <v>2013</v>
      </c>
      <c r="C80" s="37" t="s">
        <v>646</v>
      </c>
      <c r="D80" s="37" t="s">
        <v>670</v>
      </c>
      <c r="E80" s="37" t="s">
        <v>646</v>
      </c>
      <c r="G80" s="37">
        <v>145</v>
      </c>
      <c r="H80" s="37">
        <v>29</v>
      </c>
      <c r="J80" s="37">
        <v>25</v>
      </c>
    </row>
    <row r="81" spans="1:10">
      <c r="A81" s="37">
        <v>7</v>
      </c>
      <c r="B81" s="37">
        <v>2013</v>
      </c>
      <c r="C81" s="37" t="s">
        <v>646</v>
      </c>
      <c r="D81" s="37" t="s">
        <v>670</v>
      </c>
      <c r="E81" s="37" t="s">
        <v>646</v>
      </c>
      <c r="G81" s="37">
        <v>168.9</v>
      </c>
      <c r="H81" s="37">
        <v>42</v>
      </c>
      <c r="J81" s="37">
        <v>25</v>
      </c>
    </row>
    <row r="82" spans="1:10">
      <c r="A82" s="37">
        <v>7</v>
      </c>
      <c r="B82" s="37">
        <v>2013</v>
      </c>
      <c r="C82" s="37" t="s">
        <v>646</v>
      </c>
      <c r="D82" s="37" t="s">
        <v>670</v>
      </c>
      <c r="E82" s="37" t="s">
        <v>646</v>
      </c>
      <c r="G82" s="37">
        <v>177.4</v>
      </c>
      <c r="H82" s="37">
        <v>56</v>
      </c>
      <c r="J82" s="37">
        <v>25</v>
      </c>
    </row>
    <row r="83" spans="1:10">
      <c r="A83" s="37">
        <v>7</v>
      </c>
      <c r="B83" s="37">
        <v>2013</v>
      </c>
      <c r="C83" s="37" t="s">
        <v>646</v>
      </c>
      <c r="D83" s="37" t="s">
        <v>670</v>
      </c>
      <c r="E83" s="37" t="s">
        <v>646</v>
      </c>
      <c r="G83" s="37">
        <v>200.3</v>
      </c>
      <c r="H83" s="37">
        <v>70</v>
      </c>
      <c r="J83" s="37">
        <v>25</v>
      </c>
    </row>
    <row r="84" spans="1:10">
      <c r="A84" s="37">
        <v>7</v>
      </c>
      <c r="B84" s="37">
        <v>2013</v>
      </c>
      <c r="C84" s="37" t="s">
        <v>646</v>
      </c>
      <c r="D84" s="37" t="s">
        <v>670</v>
      </c>
      <c r="E84" s="37" t="s">
        <v>646</v>
      </c>
      <c r="G84" s="37">
        <v>203.3</v>
      </c>
      <c r="H84" s="37">
        <v>84</v>
      </c>
      <c r="J84" s="37">
        <v>25</v>
      </c>
    </row>
    <row r="85" spans="1:10">
      <c r="A85" s="37">
        <v>7</v>
      </c>
      <c r="B85" s="37">
        <v>2013</v>
      </c>
      <c r="C85" s="37" t="s">
        <v>646</v>
      </c>
      <c r="D85" s="37" t="s">
        <v>670</v>
      </c>
      <c r="E85" s="37" t="s">
        <v>646</v>
      </c>
      <c r="G85" s="37">
        <v>191.5</v>
      </c>
      <c r="H85" s="37">
        <v>98</v>
      </c>
      <c r="J85" s="37">
        <v>25</v>
      </c>
    </row>
    <row r="86" spans="1:10">
      <c r="A86" s="37">
        <v>7</v>
      </c>
      <c r="B86" s="37">
        <v>2013</v>
      </c>
      <c r="C86" s="37" t="s">
        <v>646</v>
      </c>
      <c r="D86" s="37" t="s">
        <v>670</v>
      </c>
      <c r="E86" s="37" t="s">
        <v>646</v>
      </c>
      <c r="G86" s="37">
        <v>183</v>
      </c>
      <c r="H86" s="37">
        <v>112</v>
      </c>
      <c r="J86" s="37">
        <v>25</v>
      </c>
    </row>
    <row r="87" spans="1:10">
      <c r="A87" s="37">
        <v>7</v>
      </c>
      <c r="B87" s="37">
        <v>2013</v>
      </c>
      <c r="C87" s="37" t="s">
        <v>646</v>
      </c>
      <c r="D87" s="37" t="s">
        <v>670</v>
      </c>
      <c r="E87" s="37" t="s">
        <v>646</v>
      </c>
      <c r="G87" s="37">
        <v>0</v>
      </c>
      <c r="H87" s="37">
        <v>180</v>
      </c>
      <c r="J87" s="37">
        <v>25</v>
      </c>
    </row>
    <row r="88" spans="1:10">
      <c r="A88" s="37">
        <v>8</v>
      </c>
      <c r="B88" s="37">
        <v>2003</v>
      </c>
      <c r="C88" s="37" t="s">
        <v>646</v>
      </c>
      <c r="D88" s="37" t="s">
        <v>671</v>
      </c>
      <c r="E88" s="37" t="s">
        <v>646</v>
      </c>
      <c r="F88" s="37">
        <v>3.2</v>
      </c>
      <c r="G88" s="37">
        <v>100</v>
      </c>
      <c r="H88" s="37">
        <v>1</v>
      </c>
      <c r="J88" s="37">
        <v>30</v>
      </c>
    </row>
    <row r="89" spans="1:10">
      <c r="A89" s="37">
        <v>8</v>
      </c>
      <c r="B89" s="37">
        <v>2003</v>
      </c>
      <c r="C89" s="37" t="s">
        <v>646</v>
      </c>
      <c r="D89" s="37" t="s">
        <v>671</v>
      </c>
      <c r="E89" s="37" t="s">
        <v>646</v>
      </c>
      <c r="F89" s="37">
        <v>1.1000000000000001</v>
      </c>
      <c r="G89" s="37">
        <v>65.625</v>
      </c>
      <c r="H89" s="37">
        <v>4</v>
      </c>
      <c r="J89" s="37">
        <v>30</v>
      </c>
    </row>
    <row r="90" spans="1:10">
      <c r="A90" s="37">
        <v>8</v>
      </c>
      <c r="B90" s="37">
        <v>2003</v>
      </c>
      <c r="C90" s="37" t="s">
        <v>646</v>
      </c>
      <c r="D90" s="37" t="s">
        <v>671</v>
      </c>
      <c r="E90" s="37" t="s">
        <v>646</v>
      </c>
      <c r="F90" s="37">
        <v>0.9</v>
      </c>
      <c r="G90" s="37">
        <v>18.181818181818183</v>
      </c>
      <c r="H90" s="37">
        <v>7</v>
      </c>
      <c r="J90" s="37">
        <v>30</v>
      </c>
    </row>
    <row r="91" spans="1:10">
      <c r="A91" s="37">
        <v>9</v>
      </c>
      <c r="B91" s="37">
        <v>2003</v>
      </c>
      <c r="C91" s="37" t="s">
        <v>646</v>
      </c>
      <c r="D91" s="37" t="s">
        <v>672</v>
      </c>
      <c r="E91" s="37" t="s">
        <v>646</v>
      </c>
      <c r="F91" s="37">
        <v>7</v>
      </c>
      <c r="G91" s="37">
        <v>100</v>
      </c>
      <c r="H91" s="37">
        <v>1</v>
      </c>
      <c r="I91" s="37">
        <v>750</v>
      </c>
      <c r="J91" s="37">
        <v>30</v>
      </c>
    </row>
    <row r="92" spans="1:10">
      <c r="A92" s="37">
        <v>9</v>
      </c>
      <c r="B92" s="37">
        <v>2003</v>
      </c>
      <c r="C92" s="37" t="s">
        <v>646</v>
      </c>
      <c r="D92" s="37" t="s">
        <v>672</v>
      </c>
      <c r="E92" s="37" t="s">
        <v>646</v>
      </c>
      <c r="F92" s="37">
        <v>3.9</v>
      </c>
      <c r="G92" s="37">
        <v>44.285714285714292</v>
      </c>
      <c r="H92" s="37">
        <v>4</v>
      </c>
      <c r="I92" s="37">
        <v>750</v>
      </c>
      <c r="J92" s="37">
        <v>30</v>
      </c>
    </row>
    <row r="93" spans="1:10">
      <c r="A93" s="37">
        <v>9</v>
      </c>
      <c r="B93" s="37">
        <v>2003</v>
      </c>
      <c r="C93" s="37" t="s">
        <v>646</v>
      </c>
      <c r="D93" s="37" t="s">
        <v>672</v>
      </c>
      <c r="E93" s="37" t="s">
        <v>646</v>
      </c>
      <c r="F93" s="37">
        <v>4.5</v>
      </c>
      <c r="G93" s="37">
        <v>13.333333333333336</v>
      </c>
      <c r="H93" s="37">
        <v>7</v>
      </c>
      <c r="I93" s="37">
        <v>750</v>
      </c>
      <c r="J93" s="37">
        <v>30</v>
      </c>
    </row>
  </sheetData>
  <pageMargins left="0.7" right="0.7" top="0.75" bottom="0.75" header="0.3" footer="0.3"/>
  <headerFooter>
    <oddHeader>&amp;C&amp;"Aptos"&amp;10&amp;K0078D7 [Open]&amp;1#_x000D_</oddHead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17839-274F-48C2-936A-104F17B4983E}">
  <dimension ref="A1:P38"/>
  <sheetViews>
    <sheetView workbookViewId="0">
      <pane xSplit="2" ySplit="1" topLeftCell="C2" activePane="bottomRight" state="frozen"/>
      <selection pane="topRight" activeCell="C1" sqref="C1"/>
      <selection pane="bottomLeft" activeCell="A3" sqref="A3"/>
      <selection pane="bottomRight" activeCell="C2" sqref="C2"/>
    </sheetView>
  </sheetViews>
  <sheetFormatPr defaultRowHeight="14.5"/>
  <cols>
    <col min="1" max="1" width="8.5" style="19" bestFit="1" customWidth="1"/>
    <col min="2" max="2" width="12.08203125" style="19" bestFit="1" customWidth="1"/>
    <col min="3" max="3" width="17.5" style="19" bestFit="1" customWidth="1"/>
    <col min="4" max="4" width="21.08203125" style="19" bestFit="1" customWidth="1"/>
    <col min="5" max="5" width="21.83203125" style="19" bestFit="1" customWidth="1"/>
    <col min="6" max="6" width="18.33203125" style="19" bestFit="1" customWidth="1"/>
    <col min="7" max="7" width="19" style="19" bestFit="1" customWidth="1"/>
    <col min="8" max="8" width="20.6640625" style="19" bestFit="1" customWidth="1"/>
    <col min="9" max="9" width="29" style="19" bestFit="1" customWidth="1"/>
    <col min="10" max="10" width="30.58203125" style="19" bestFit="1" customWidth="1"/>
    <col min="11" max="11" width="22.83203125" style="19" bestFit="1" customWidth="1"/>
    <col min="12" max="12" width="25.25" style="19" bestFit="1" customWidth="1"/>
    <col min="13" max="13" width="24.58203125" style="19" bestFit="1" customWidth="1"/>
    <col min="14" max="14" width="22.75" style="19" bestFit="1" customWidth="1"/>
    <col min="15" max="15" width="26.58203125" style="19" bestFit="1" customWidth="1"/>
    <col min="16" max="16" width="27.25" style="19" bestFit="1" customWidth="1"/>
    <col min="17" max="16384" width="8.6640625" style="19"/>
  </cols>
  <sheetData>
    <row r="1" spans="1:16">
      <c r="A1" s="123" t="s">
        <v>361</v>
      </c>
      <c r="B1" s="123" t="s">
        <v>673</v>
      </c>
      <c r="C1" s="124" t="s">
        <v>674</v>
      </c>
      <c r="D1" s="125" t="s">
        <v>675</v>
      </c>
      <c r="E1" s="125" t="s">
        <v>676</v>
      </c>
      <c r="F1" s="125" t="s">
        <v>677</v>
      </c>
      <c r="G1" s="125" t="s">
        <v>678</v>
      </c>
      <c r="H1" s="125" t="s">
        <v>679</v>
      </c>
      <c r="I1" s="125" t="s">
        <v>680</v>
      </c>
      <c r="J1" s="125" t="s">
        <v>681</v>
      </c>
      <c r="K1" s="125" t="s">
        <v>682</v>
      </c>
      <c r="L1" s="125" t="s">
        <v>683</v>
      </c>
      <c r="M1" s="124" t="s">
        <v>684</v>
      </c>
      <c r="N1" s="124" t="s">
        <v>685</v>
      </c>
      <c r="O1" s="124" t="s">
        <v>686</v>
      </c>
      <c r="P1" s="124" t="s">
        <v>687</v>
      </c>
    </row>
    <row r="2" spans="1:16">
      <c r="A2" s="19" t="s">
        <v>688</v>
      </c>
      <c r="B2" s="19" t="s">
        <v>689</v>
      </c>
      <c r="C2" s="126">
        <v>137.61000000000001</v>
      </c>
      <c r="D2" s="19">
        <v>33.700000000000003</v>
      </c>
      <c r="E2" s="19">
        <v>46.4</v>
      </c>
      <c r="F2" s="19">
        <v>25</v>
      </c>
      <c r="G2" s="19">
        <v>59.1</v>
      </c>
      <c r="H2" s="19">
        <v>47.7</v>
      </c>
      <c r="I2" s="19">
        <v>12411</v>
      </c>
      <c r="J2" s="19">
        <v>8274</v>
      </c>
      <c r="K2" s="19">
        <v>17505</v>
      </c>
      <c r="L2" s="19">
        <v>102</v>
      </c>
      <c r="M2" s="19" t="s">
        <v>690</v>
      </c>
      <c r="N2" s="19" t="s">
        <v>691</v>
      </c>
      <c r="O2" s="19">
        <v>19</v>
      </c>
      <c r="P2" s="19">
        <v>26</v>
      </c>
    </row>
    <row r="3" spans="1:16">
      <c r="A3" s="19" t="s">
        <v>688</v>
      </c>
      <c r="B3" s="19" t="s">
        <v>692</v>
      </c>
      <c r="C3" s="126">
        <v>235.12</v>
      </c>
      <c r="D3" s="19">
        <v>39.200000000000003</v>
      </c>
      <c r="E3" s="19">
        <v>92.2</v>
      </c>
      <c r="F3" s="19">
        <v>25</v>
      </c>
      <c r="G3" s="19">
        <v>61.9</v>
      </c>
      <c r="H3" s="19">
        <v>51.9</v>
      </c>
      <c r="I3" s="19">
        <v>12411</v>
      </c>
      <c r="J3" s="19">
        <v>8274</v>
      </c>
      <c r="K3" s="19">
        <v>17505</v>
      </c>
      <c r="L3" s="19">
        <v>102</v>
      </c>
      <c r="M3" s="19" t="s">
        <v>690</v>
      </c>
      <c r="N3" s="19" t="s">
        <v>693</v>
      </c>
      <c r="O3" s="19">
        <v>17</v>
      </c>
      <c r="P3" s="19">
        <v>40</v>
      </c>
    </row>
    <row r="4" spans="1:16">
      <c r="A4" s="19" t="s">
        <v>688</v>
      </c>
      <c r="B4" s="19" t="s">
        <v>694</v>
      </c>
      <c r="C4" s="126">
        <v>86.93</v>
      </c>
      <c r="D4" s="19">
        <v>39.6</v>
      </c>
      <c r="E4" s="19">
        <v>34.4</v>
      </c>
      <c r="F4" s="19">
        <v>25</v>
      </c>
      <c r="G4" s="19">
        <v>66.599999999999994</v>
      </c>
      <c r="H4" s="19">
        <v>52.2</v>
      </c>
      <c r="I4" s="19">
        <v>12411</v>
      </c>
      <c r="J4" s="19">
        <v>9653</v>
      </c>
      <c r="K4" s="19">
        <v>17505</v>
      </c>
      <c r="L4" s="19">
        <v>102</v>
      </c>
      <c r="M4" s="19" t="s">
        <v>690</v>
      </c>
      <c r="N4" s="19" t="s">
        <v>695</v>
      </c>
      <c r="O4" s="19">
        <v>9</v>
      </c>
      <c r="P4" s="19">
        <v>8</v>
      </c>
    </row>
    <row r="5" spans="1:16">
      <c r="A5" s="19" t="s">
        <v>696</v>
      </c>
      <c r="B5" s="19" t="s">
        <v>697</v>
      </c>
      <c r="C5" s="126">
        <v>124.1</v>
      </c>
      <c r="D5" s="19">
        <v>31.1</v>
      </c>
      <c r="E5" s="19">
        <v>38.6</v>
      </c>
      <c r="F5" s="19">
        <v>28</v>
      </c>
      <c r="G5" s="19">
        <v>66</v>
      </c>
      <c r="H5" s="19">
        <v>52.8</v>
      </c>
      <c r="I5" s="19">
        <v>12169</v>
      </c>
      <c r="J5" s="19">
        <v>8274</v>
      </c>
      <c r="K5" s="19">
        <v>16826</v>
      </c>
      <c r="L5" s="19">
        <v>99</v>
      </c>
      <c r="M5" s="19" t="s">
        <v>698</v>
      </c>
      <c r="N5" s="19" t="s">
        <v>699</v>
      </c>
      <c r="O5" s="19">
        <v>7</v>
      </c>
      <c r="P5" s="127">
        <v>17</v>
      </c>
    </row>
    <row r="6" spans="1:16">
      <c r="A6" s="19" t="s">
        <v>696</v>
      </c>
      <c r="B6" s="19" t="s">
        <v>700</v>
      </c>
      <c r="C6" s="126">
        <v>90.18</v>
      </c>
      <c r="D6" s="19">
        <v>30.6</v>
      </c>
      <c r="E6" s="19">
        <v>27.6</v>
      </c>
      <c r="F6" s="19">
        <v>28</v>
      </c>
      <c r="G6" s="19">
        <v>65.3</v>
      </c>
      <c r="H6" s="19">
        <v>52.4</v>
      </c>
      <c r="I6" s="19">
        <v>12066</v>
      </c>
      <c r="J6" s="19">
        <v>9653</v>
      </c>
      <c r="K6" s="19">
        <v>16827</v>
      </c>
      <c r="L6" s="19">
        <v>99</v>
      </c>
      <c r="M6" s="19" t="s">
        <v>701</v>
      </c>
      <c r="N6" s="19" t="s">
        <v>702</v>
      </c>
      <c r="O6" s="19">
        <v>22</v>
      </c>
      <c r="P6" s="128">
        <f t="shared" ref="P6:P38" si="0">O6*C6/100</f>
        <v>19.839600000000001</v>
      </c>
    </row>
    <row r="7" spans="1:16">
      <c r="A7" s="19" t="s">
        <v>703</v>
      </c>
      <c r="B7" s="19" t="s">
        <v>704</v>
      </c>
      <c r="C7" s="126">
        <v>53.8</v>
      </c>
      <c r="D7" s="19">
        <v>36</v>
      </c>
      <c r="E7" s="19">
        <v>9.4</v>
      </c>
      <c r="F7" s="19">
        <v>23</v>
      </c>
      <c r="G7" s="19">
        <v>60</v>
      </c>
      <c r="H7" s="19">
        <v>59.3</v>
      </c>
      <c r="I7" s="19">
        <v>20616</v>
      </c>
      <c r="J7" s="19">
        <v>20340</v>
      </c>
      <c r="K7" s="19">
        <v>28660</v>
      </c>
      <c r="L7" s="19">
        <v>116</v>
      </c>
      <c r="M7" s="19" t="s">
        <v>690</v>
      </c>
      <c r="N7" s="19" t="s">
        <v>705</v>
      </c>
      <c r="O7" s="19">
        <v>50</v>
      </c>
      <c r="P7" s="128">
        <f t="shared" si="0"/>
        <v>26.9</v>
      </c>
    </row>
    <row r="8" spans="1:16">
      <c r="A8" s="19" t="s">
        <v>703</v>
      </c>
      <c r="B8" s="19" t="s">
        <v>706</v>
      </c>
      <c r="C8" s="126">
        <v>9.6</v>
      </c>
      <c r="D8" s="19">
        <v>32</v>
      </c>
      <c r="E8" s="19">
        <v>3</v>
      </c>
      <c r="F8" s="19">
        <v>15</v>
      </c>
      <c r="G8" s="19">
        <v>50</v>
      </c>
      <c r="H8" s="19">
        <v>48.4</v>
      </c>
      <c r="I8" s="19">
        <v>22133</v>
      </c>
      <c r="J8" s="19">
        <v>20244</v>
      </c>
      <c r="K8" s="19">
        <v>32012</v>
      </c>
      <c r="L8" s="19">
        <v>127</v>
      </c>
      <c r="M8" s="19" t="s">
        <v>707</v>
      </c>
      <c r="N8" s="19" t="s">
        <v>690</v>
      </c>
      <c r="O8" s="19">
        <v>14</v>
      </c>
      <c r="P8" s="128">
        <f t="shared" si="0"/>
        <v>1.3440000000000001</v>
      </c>
    </row>
    <row r="9" spans="1:16">
      <c r="A9" s="19" t="s">
        <v>708</v>
      </c>
      <c r="B9" s="19" t="s">
        <v>709</v>
      </c>
      <c r="C9" s="126">
        <v>8.5</v>
      </c>
      <c r="D9" s="19">
        <v>18.8</v>
      </c>
      <c r="E9" s="19">
        <v>1.6</v>
      </c>
      <c r="F9" s="19">
        <v>16</v>
      </c>
      <c r="G9" s="19">
        <v>44</v>
      </c>
      <c r="H9" s="19">
        <v>43</v>
      </c>
      <c r="I9" s="19">
        <v>27125</v>
      </c>
      <c r="J9" s="19">
        <v>27125</v>
      </c>
      <c r="K9" s="19">
        <v>37290.36</v>
      </c>
      <c r="L9" s="19">
        <v>144</v>
      </c>
      <c r="M9" s="19" t="s">
        <v>707</v>
      </c>
      <c r="N9" s="19" t="s">
        <v>710</v>
      </c>
      <c r="O9" s="19">
        <v>41</v>
      </c>
      <c r="P9" s="128">
        <f t="shared" si="0"/>
        <v>3.4849999999999999</v>
      </c>
    </row>
    <row r="10" spans="1:16">
      <c r="A10" s="19" t="s">
        <v>711</v>
      </c>
      <c r="B10" s="19" t="s">
        <v>706</v>
      </c>
      <c r="C10" s="126">
        <v>30.34</v>
      </c>
      <c r="D10" s="19">
        <v>56.6</v>
      </c>
      <c r="E10" s="19">
        <v>17.2</v>
      </c>
      <c r="F10" s="19">
        <v>18.399999999999999</v>
      </c>
      <c r="G10" s="19">
        <v>64</v>
      </c>
      <c r="H10" s="19">
        <v>63.4</v>
      </c>
      <c r="I10" s="19">
        <v>22533</v>
      </c>
      <c r="J10" s="19">
        <v>22533</v>
      </c>
      <c r="K10" s="19">
        <v>31373</v>
      </c>
      <c r="L10" s="19">
        <v>132</v>
      </c>
      <c r="M10" s="19" t="s">
        <v>712</v>
      </c>
      <c r="N10" s="19" t="s">
        <v>695</v>
      </c>
      <c r="O10" s="19">
        <v>25</v>
      </c>
      <c r="P10" s="128">
        <f t="shared" si="0"/>
        <v>7.585</v>
      </c>
    </row>
    <row r="11" spans="1:16">
      <c r="A11" s="19" t="s">
        <v>713</v>
      </c>
      <c r="B11" s="19" t="s">
        <v>714</v>
      </c>
      <c r="C11" s="126">
        <v>61.36</v>
      </c>
      <c r="D11" s="19">
        <v>45.8</v>
      </c>
      <c r="E11" s="19">
        <v>28.1</v>
      </c>
      <c r="F11" s="19">
        <v>21.2</v>
      </c>
      <c r="G11" s="19">
        <v>73.3</v>
      </c>
      <c r="H11" s="19">
        <v>63.6</v>
      </c>
      <c r="I11" s="19">
        <v>19761</v>
      </c>
      <c r="J11" s="19">
        <v>17237</v>
      </c>
      <c r="K11" s="19">
        <v>27791</v>
      </c>
      <c r="L11" s="19">
        <v>118</v>
      </c>
      <c r="M11" s="19" t="s">
        <v>707</v>
      </c>
      <c r="N11" s="127" t="s">
        <v>715</v>
      </c>
      <c r="O11" s="127">
        <v>26</v>
      </c>
      <c r="P11" s="128">
        <f t="shared" si="0"/>
        <v>15.9536</v>
      </c>
    </row>
    <row r="12" spans="1:16">
      <c r="A12" s="19" t="s">
        <v>713</v>
      </c>
      <c r="B12" s="19" t="s">
        <v>716</v>
      </c>
      <c r="C12" s="126">
        <v>17.13</v>
      </c>
      <c r="D12" s="19">
        <v>24.2</v>
      </c>
      <c r="E12" s="19">
        <v>4.0999999999999996</v>
      </c>
      <c r="F12" s="19">
        <v>0.182</v>
      </c>
      <c r="G12" s="19">
        <v>56.3</v>
      </c>
      <c r="H12" s="19">
        <v>49.3</v>
      </c>
      <c r="I12" s="19">
        <v>21870</v>
      </c>
      <c r="J12" s="19">
        <v>18272</v>
      </c>
      <c r="K12" s="19">
        <v>30329</v>
      </c>
      <c r="L12" s="19">
        <v>128</v>
      </c>
      <c r="M12" s="19" t="s">
        <v>707</v>
      </c>
      <c r="N12" s="19" t="s">
        <v>690</v>
      </c>
      <c r="O12" s="19">
        <v>35</v>
      </c>
      <c r="P12" s="128">
        <f t="shared" si="0"/>
        <v>5.9954999999999998</v>
      </c>
    </row>
    <row r="13" spans="1:16">
      <c r="A13" s="19" t="s">
        <v>717</v>
      </c>
      <c r="B13" s="19" t="s">
        <v>718</v>
      </c>
      <c r="C13" s="126">
        <v>44.05</v>
      </c>
      <c r="D13" s="19">
        <v>55</v>
      </c>
      <c r="E13" s="19">
        <v>24</v>
      </c>
      <c r="F13" s="19">
        <v>25</v>
      </c>
      <c r="G13" s="19">
        <v>73.7</v>
      </c>
      <c r="H13" s="19">
        <v>40</v>
      </c>
      <c r="I13" s="19">
        <v>17602</v>
      </c>
      <c r="J13" s="19">
        <v>15079</v>
      </c>
      <c r="K13" s="19">
        <v>24507</v>
      </c>
      <c r="L13" s="19">
        <v>87</v>
      </c>
      <c r="M13" s="19" t="s">
        <v>719</v>
      </c>
      <c r="N13" s="19" t="s">
        <v>720</v>
      </c>
      <c r="O13" s="19">
        <v>5</v>
      </c>
      <c r="P13" s="128">
        <f t="shared" si="0"/>
        <v>2.2025000000000001</v>
      </c>
    </row>
    <row r="14" spans="1:16">
      <c r="A14" s="19" t="s">
        <v>721</v>
      </c>
      <c r="B14" s="19" t="s">
        <v>722</v>
      </c>
      <c r="C14" s="126">
        <v>105.6</v>
      </c>
      <c r="D14" s="19">
        <v>34</v>
      </c>
      <c r="E14" s="19">
        <v>36</v>
      </c>
      <c r="F14" s="19">
        <v>24</v>
      </c>
      <c r="G14" s="19">
        <v>67</v>
      </c>
      <c r="H14" s="19">
        <v>51.4</v>
      </c>
      <c r="I14" s="19">
        <v>15580</v>
      </c>
      <c r="J14" s="19">
        <v>14610</v>
      </c>
      <c r="K14" s="19">
        <v>20002</v>
      </c>
      <c r="L14" s="19">
        <v>103</v>
      </c>
      <c r="M14" s="19" t="s">
        <v>723</v>
      </c>
      <c r="N14" s="19" t="s">
        <v>514</v>
      </c>
      <c r="O14" s="19">
        <v>5</v>
      </c>
      <c r="P14" s="128">
        <f t="shared" si="0"/>
        <v>5.28</v>
      </c>
    </row>
    <row r="15" spans="1:16">
      <c r="A15" s="19" t="s">
        <v>724</v>
      </c>
      <c r="B15" s="19" t="s">
        <v>725</v>
      </c>
      <c r="C15" s="126">
        <v>96.1</v>
      </c>
      <c r="D15" s="19">
        <v>43.1</v>
      </c>
      <c r="E15" s="19">
        <v>41.4</v>
      </c>
      <c r="F15" s="19">
        <v>31.4</v>
      </c>
      <c r="G15" s="19">
        <v>79</v>
      </c>
      <c r="H15" s="19">
        <v>65.7</v>
      </c>
      <c r="I15" s="19">
        <v>9749</v>
      </c>
      <c r="J15" s="19">
        <v>8549</v>
      </c>
      <c r="K15" s="19">
        <v>13624</v>
      </c>
      <c r="L15" s="19">
        <v>85</v>
      </c>
      <c r="M15" s="19" t="s">
        <v>723</v>
      </c>
      <c r="N15" s="19" t="s">
        <v>514</v>
      </c>
      <c r="O15" s="19">
        <v>3</v>
      </c>
      <c r="P15" s="128">
        <f t="shared" si="0"/>
        <v>2.8829999999999996</v>
      </c>
    </row>
    <row r="16" spans="1:16">
      <c r="A16" s="19" t="s">
        <v>726</v>
      </c>
      <c r="B16" s="19" t="s">
        <v>727</v>
      </c>
      <c r="C16" s="126">
        <v>146.47999999999999</v>
      </c>
      <c r="D16" s="19">
        <v>28.6</v>
      </c>
      <c r="E16" s="19">
        <v>18</v>
      </c>
      <c r="G16" s="19">
        <v>45</v>
      </c>
      <c r="H16" s="19">
        <v>34.4</v>
      </c>
      <c r="I16" s="19">
        <v>19060</v>
      </c>
      <c r="J16" s="19">
        <v>15620</v>
      </c>
      <c r="K16" s="19">
        <v>25471</v>
      </c>
      <c r="L16" s="19">
        <v>118</v>
      </c>
      <c r="M16" s="19" t="s">
        <v>690</v>
      </c>
      <c r="N16" s="19" t="s">
        <v>514</v>
      </c>
      <c r="O16" s="19">
        <v>14</v>
      </c>
      <c r="P16" s="128">
        <f t="shared" si="0"/>
        <v>20.507199999999997</v>
      </c>
    </row>
    <row r="17" spans="1:16">
      <c r="A17" s="19" t="s">
        <v>728</v>
      </c>
      <c r="B17" s="19" t="s">
        <v>729</v>
      </c>
      <c r="C17" s="126">
        <v>208.2</v>
      </c>
      <c r="D17" s="19">
        <v>32</v>
      </c>
      <c r="E17" s="19">
        <v>67.5</v>
      </c>
      <c r="F17" s="19">
        <v>20</v>
      </c>
      <c r="G17" s="19">
        <v>43.7</v>
      </c>
      <c r="H17" s="19">
        <v>31.3</v>
      </c>
      <c r="I17" s="19">
        <v>15620</v>
      </c>
      <c r="J17" s="19">
        <v>11550</v>
      </c>
      <c r="K17" s="19">
        <v>21997</v>
      </c>
      <c r="L17" s="19">
        <v>118</v>
      </c>
      <c r="M17" s="19" t="s">
        <v>707</v>
      </c>
      <c r="N17" s="19" t="s">
        <v>690</v>
      </c>
      <c r="O17" s="19">
        <v>7</v>
      </c>
      <c r="P17" s="128">
        <f t="shared" si="0"/>
        <v>14.573999999999998</v>
      </c>
    </row>
    <row r="18" spans="1:16">
      <c r="A18" s="19" t="s">
        <v>730</v>
      </c>
      <c r="B18" s="19" t="s">
        <v>731</v>
      </c>
      <c r="C18" s="126">
        <v>145.19999999999999</v>
      </c>
      <c r="D18" s="19">
        <v>42.2</v>
      </c>
      <c r="E18" s="19">
        <v>61.3</v>
      </c>
      <c r="F18" s="19">
        <v>20</v>
      </c>
      <c r="G18" s="19">
        <v>50</v>
      </c>
      <c r="H18" s="19">
        <v>32</v>
      </c>
      <c r="I18" s="19">
        <v>17000</v>
      </c>
      <c r="J18" s="19">
        <v>13000</v>
      </c>
      <c r="K18" s="19">
        <v>21916</v>
      </c>
      <c r="L18" s="19">
        <v>110</v>
      </c>
      <c r="M18" s="19" t="s">
        <v>707</v>
      </c>
      <c r="N18" s="19" t="s">
        <v>690</v>
      </c>
      <c r="O18" s="19">
        <v>18</v>
      </c>
      <c r="P18" s="128">
        <f t="shared" si="0"/>
        <v>26.135999999999999</v>
      </c>
    </row>
    <row r="19" spans="1:16">
      <c r="A19" s="19" t="s">
        <v>732</v>
      </c>
      <c r="B19" s="19" t="s">
        <v>733</v>
      </c>
      <c r="C19" s="126">
        <v>208.2</v>
      </c>
      <c r="D19" s="19">
        <v>45.6</v>
      </c>
      <c r="E19" s="19">
        <v>375.1</v>
      </c>
      <c r="F19" s="19">
        <v>20.5</v>
      </c>
      <c r="G19" s="19">
        <v>50</v>
      </c>
      <c r="H19" s="19">
        <v>31.4</v>
      </c>
      <c r="I19" s="19">
        <v>18500</v>
      </c>
      <c r="J19" s="19">
        <v>15500</v>
      </c>
      <c r="K19" s="19">
        <v>24399</v>
      </c>
      <c r="L19" s="19">
        <v>120</v>
      </c>
      <c r="M19" s="19" t="s">
        <v>707</v>
      </c>
      <c r="N19" s="19" t="s">
        <v>690</v>
      </c>
      <c r="O19" s="19">
        <v>22</v>
      </c>
      <c r="P19" s="128">
        <f t="shared" si="0"/>
        <v>45.803999999999995</v>
      </c>
    </row>
    <row r="20" spans="1:16">
      <c r="A20" s="19" t="s">
        <v>734</v>
      </c>
      <c r="B20" s="19" t="s">
        <v>729</v>
      </c>
      <c r="C20" s="126">
        <v>527.29999999999995</v>
      </c>
      <c r="M20" s="19" t="s">
        <v>707</v>
      </c>
      <c r="O20" s="19">
        <v>26</v>
      </c>
      <c r="P20" s="128">
        <f t="shared" si="0"/>
        <v>137.09799999999998</v>
      </c>
    </row>
    <row r="21" spans="1:16">
      <c r="A21" s="19" t="s">
        <v>734</v>
      </c>
      <c r="B21" s="19" t="s">
        <v>727</v>
      </c>
      <c r="C21" s="126">
        <v>260.60000000000002</v>
      </c>
      <c r="M21" s="19" t="s">
        <v>707</v>
      </c>
      <c r="O21" s="19">
        <v>22</v>
      </c>
      <c r="P21" s="128">
        <f t="shared" si="0"/>
        <v>57.332000000000008</v>
      </c>
    </row>
    <row r="22" spans="1:16">
      <c r="A22" s="19" t="s">
        <v>735</v>
      </c>
      <c r="B22" s="19" t="s">
        <v>736</v>
      </c>
      <c r="C22" s="126">
        <v>248</v>
      </c>
      <c r="M22" s="19" t="s">
        <v>93</v>
      </c>
      <c r="O22" s="19">
        <v>23</v>
      </c>
      <c r="P22" s="128">
        <f t="shared" si="0"/>
        <v>57.04</v>
      </c>
    </row>
    <row r="23" spans="1:16">
      <c r="A23" s="19" t="s">
        <v>737</v>
      </c>
      <c r="B23" s="19" t="s">
        <v>738</v>
      </c>
      <c r="C23" s="126">
        <v>98.45</v>
      </c>
      <c r="D23" s="19">
        <v>59</v>
      </c>
      <c r="E23" s="19">
        <v>58</v>
      </c>
      <c r="F23" s="19">
        <v>27</v>
      </c>
      <c r="G23" s="19">
        <v>59.4</v>
      </c>
      <c r="H23" s="19">
        <v>25.4</v>
      </c>
      <c r="I23" s="19">
        <v>13135</v>
      </c>
      <c r="J23" s="19">
        <v>11239</v>
      </c>
      <c r="K23" s="19">
        <v>18156</v>
      </c>
      <c r="L23" s="19">
        <v>91</v>
      </c>
      <c r="M23" s="19" t="s">
        <v>707</v>
      </c>
      <c r="N23" s="19" t="s">
        <v>739</v>
      </c>
      <c r="O23" s="19">
        <v>5</v>
      </c>
      <c r="P23" s="128">
        <f t="shared" si="0"/>
        <v>4.9225000000000003</v>
      </c>
    </row>
    <row r="24" spans="1:16">
      <c r="A24" s="19" t="s">
        <v>740</v>
      </c>
      <c r="B24" s="19" t="s">
        <v>741</v>
      </c>
      <c r="C24" s="126">
        <v>92.8</v>
      </c>
      <c r="D24" s="19">
        <v>66.7</v>
      </c>
      <c r="E24" s="19">
        <v>61.9</v>
      </c>
      <c r="F24" s="19">
        <v>17.5</v>
      </c>
      <c r="G24" s="19">
        <v>60</v>
      </c>
      <c r="H24" s="19">
        <v>46.5</v>
      </c>
      <c r="I24" s="19">
        <v>23580</v>
      </c>
      <c r="J24" s="19">
        <v>22918</v>
      </c>
      <c r="K24" s="19">
        <v>32392</v>
      </c>
      <c r="L24" s="19">
        <v>80</v>
      </c>
      <c r="M24" s="19" t="s">
        <v>690</v>
      </c>
      <c r="N24" s="19" t="s">
        <v>514</v>
      </c>
      <c r="O24" s="19">
        <v>34</v>
      </c>
      <c r="P24" s="128">
        <f t="shared" si="0"/>
        <v>31.552</v>
      </c>
    </row>
    <row r="25" spans="1:16">
      <c r="A25" s="19" t="s">
        <v>742</v>
      </c>
      <c r="B25" s="19" t="s">
        <v>743</v>
      </c>
      <c r="C25" s="126">
        <v>111.3</v>
      </c>
      <c r="D25" s="19">
        <v>54.7</v>
      </c>
      <c r="E25" s="19">
        <v>60.9</v>
      </c>
      <c r="F25" s="19">
        <v>23</v>
      </c>
      <c r="G25" s="19">
        <v>77</v>
      </c>
      <c r="H25" s="19">
        <v>49.8</v>
      </c>
      <c r="I25" s="19">
        <v>7191</v>
      </c>
      <c r="J25" s="19">
        <v>4033</v>
      </c>
      <c r="K25" s="19">
        <v>8278</v>
      </c>
      <c r="L25" s="19">
        <v>52.8</v>
      </c>
      <c r="M25" s="19" t="s">
        <v>744</v>
      </c>
      <c r="N25" s="19" t="s">
        <v>514</v>
      </c>
      <c r="O25" s="19">
        <v>2</v>
      </c>
      <c r="P25" s="128">
        <f t="shared" si="0"/>
        <v>2.226</v>
      </c>
    </row>
    <row r="26" spans="1:16">
      <c r="A26" s="19" t="s">
        <v>745</v>
      </c>
      <c r="B26" s="19" t="s">
        <v>746</v>
      </c>
      <c r="C26" s="126">
        <v>70.8</v>
      </c>
      <c r="M26" s="19" t="s">
        <v>690</v>
      </c>
      <c r="O26" s="19">
        <v>18</v>
      </c>
      <c r="P26" s="128">
        <f t="shared" si="0"/>
        <v>12.743999999999998</v>
      </c>
    </row>
    <row r="27" spans="1:16">
      <c r="A27" s="19" t="s">
        <v>747</v>
      </c>
      <c r="B27" s="19" t="s">
        <v>748</v>
      </c>
      <c r="C27" s="126">
        <v>51.2</v>
      </c>
      <c r="D27" s="19">
        <v>57.7</v>
      </c>
      <c r="E27" s="19">
        <v>29.6</v>
      </c>
      <c r="F27" s="19">
        <v>26.4</v>
      </c>
      <c r="G27" s="19">
        <v>73</v>
      </c>
      <c r="H27" s="19">
        <v>31.9</v>
      </c>
      <c r="I27" s="19">
        <v>23546</v>
      </c>
      <c r="J27" s="19">
        <v>17065</v>
      </c>
      <c r="K27" s="19">
        <v>32256</v>
      </c>
      <c r="L27" s="19">
        <v>89</v>
      </c>
      <c r="M27" s="19" t="s">
        <v>690</v>
      </c>
      <c r="N27" s="19" t="s">
        <v>749</v>
      </c>
      <c r="O27" s="19">
        <v>9</v>
      </c>
      <c r="P27" s="128">
        <f t="shared" si="0"/>
        <v>4.6080000000000005</v>
      </c>
    </row>
    <row r="28" spans="1:16">
      <c r="A28" s="19" t="s">
        <v>750</v>
      </c>
      <c r="B28" s="19" t="s">
        <v>751</v>
      </c>
      <c r="C28" s="126">
        <v>123</v>
      </c>
      <c r="D28" s="19">
        <v>19.5</v>
      </c>
      <c r="E28" s="19">
        <v>24</v>
      </c>
      <c r="F28" s="19">
        <v>25</v>
      </c>
      <c r="G28" s="19">
        <v>50</v>
      </c>
      <c r="H28" s="19">
        <v>39.1</v>
      </c>
      <c r="I28" s="19">
        <v>12273</v>
      </c>
      <c r="J28" s="19">
        <v>9653</v>
      </c>
      <c r="K28" s="19">
        <v>16541</v>
      </c>
      <c r="L28" s="19">
        <v>94</v>
      </c>
      <c r="M28" s="19" t="s">
        <v>690</v>
      </c>
      <c r="N28" s="19" t="s">
        <v>749</v>
      </c>
      <c r="O28" s="19">
        <v>23</v>
      </c>
      <c r="P28" s="128">
        <f t="shared" si="0"/>
        <v>28.29</v>
      </c>
    </row>
    <row r="29" spans="1:16">
      <c r="A29" s="19" t="s">
        <v>752</v>
      </c>
      <c r="B29" s="19" t="s">
        <v>753</v>
      </c>
      <c r="C29" s="126">
        <v>86.84</v>
      </c>
      <c r="M29" s="19" t="s">
        <v>690</v>
      </c>
      <c r="O29" s="19">
        <v>16</v>
      </c>
      <c r="P29" s="128">
        <f t="shared" si="0"/>
        <v>13.894400000000001</v>
      </c>
    </row>
    <row r="30" spans="1:16">
      <c r="A30" s="19" t="s">
        <v>754</v>
      </c>
      <c r="B30" s="19" t="s">
        <v>755</v>
      </c>
      <c r="C30" s="126">
        <v>69.2</v>
      </c>
      <c r="D30" s="19">
        <v>13</v>
      </c>
      <c r="E30" s="19">
        <v>9</v>
      </c>
      <c r="F30" s="19">
        <v>22</v>
      </c>
      <c r="G30" s="19">
        <v>59</v>
      </c>
      <c r="H30" s="19">
        <v>48.4</v>
      </c>
      <c r="I30" s="19">
        <v>11549</v>
      </c>
      <c r="J30" s="19">
        <v>5516</v>
      </c>
      <c r="K30" s="19">
        <v>14479</v>
      </c>
      <c r="L30" s="19">
        <v>64</v>
      </c>
      <c r="M30" s="19" t="s">
        <v>756</v>
      </c>
      <c r="N30" s="19" t="s">
        <v>744</v>
      </c>
      <c r="O30" s="19">
        <v>8</v>
      </c>
      <c r="P30" s="128">
        <f t="shared" si="0"/>
        <v>5.5360000000000005</v>
      </c>
    </row>
    <row r="31" spans="1:16">
      <c r="A31" s="19" t="s">
        <v>754</v>
      </c>
      <c r="B31" s="19" t="s">
        <v>757</v>
      </c>
      <c r="C31" s="126">
        <v>47.1</v>
      </c>
      <c r="D31" s="19">
        <v>19.100000000000001</v>
      </c>
      <c r="E31" s="19">
        <v>9</v>
      </c>
      <c r="F31" s="19">
        <v>22</v>
      </c>
      <c r="G31" s="19">
        <v>59</v>
      </c>
      <c r="H31" s="19">
        <v>46</v>
      </c>
      <c r="I31" s="19">
        <v>8274</v>
      </c>
      <c r="J31" s="19">
        <v>4137</v>
      </c>
      <c r="K31" s="19">
        <v>10340</v>
      </c>
      <c r="L31" s="19">
        <v>56</v>
      </c>
      <c r="M31" s="19" t="s">
        <v>756</v>
      </c>
      <c r="O31" s="19">
        <v>3</v>
      </c>
      <c r="P31" s="128">
        <f t="shared" si="0"/>
        <v>1.413</v>
      </c>
    </row>
    <row r="32" spans="1:16">
      <c r="A32" s="19" t="s">
        <v>758</v>
      </c>
      <c r="B32" s="19" t="s">
        <v>759</v>
      </c>
      <c r="C32" s="126">
        <v>41.7</v>
      </c>
      <c r="D32" s="19">
        <v>21.6</v>
      </c>
      <c r="E32" s="19">
        <v>9</v>
      </c>
      <c r="F32" s="19">
        <v>22</v>
      </c>
      <c r="G32" s="19">
        <v>65</v>
      </c>
      <c r="H32" s="19">
        <v>49.7</v>
      </c>
      <c r="I32" s="19">
        <v>7998</v>
      </c>
      <c r="J32" s="19">
        <v>4137</v>
      </c>
      <c r="K32" s="19">
        <v>10340</v>
      </c>
      <c r="L32" s="19">
        <v>56</v>
      </c>
      <c r="M32" s="19" t="s">
        <v>756</v>
      </c>
      <c r="N32" s="19" t="s">
        <v>744</v>
      </c>
      <c r="O32" s="19">
        <v>1</v>
      </c>
      <c r="P32" s="128">
        <f t="shared" si="0"/>
        <v>0.41700000000000004</v>
      </c>
    </row>
    <row r="33" spans="1:16">
      <c r="A33" s="19" t="s">
        <v>760</v>
      </c>
      <c r="B33" s="19" t="s">
        <v>761</v>
      </c>
      <c r="C33" s="126">
        <v>552</v>
      </c>
      <c r="D33" s="19">
        <v>37.9</v>
      </c>
      <c r="E33" s="19">
        <v>208.9</v>
      </c>
      <c r="F33" s="19">
        <v>20</v>
      </c>
      <c r="G33" s="19">
        <v>73</v>
      </c>
      <c r="H33" s="19">
        <v>53</v>
      </c>
      <c r="I33" s="19">
        <v>7205</v>
      </c>
      <c r="J33" s="19">
        <v>3344</v>
      </c>
      <c r="K33" s="19">
        <v>9309</v>
      </c>
      <c r="L33" s="19">
        <v>52</v>
      </c>
      <c r="M33" s="19" t="s">
        <v>701</v>
      </c>
      <c r="N33" s="19" t="s">
        <v>762</v>
      </c>
      <c r="O33" s="19">
        <v>18</v>
      </c>
      <c r="P33" s="128">
        <f t="shared" si="0"/>
        <v>99.36</v>
      </c>
    </row>
    <row r="34" spans="1:16">
      <c r="A34" s="19" t="s">
        <v>763</v>
      </c>
      <c r="B34" s="19" t="s">
        <v>764</v>
      </c>
      <c r="C34" s="126">
        <v>51.1</v>
      </c>
      <c r="D34" s="19">
        <v>32.5</v>
      </c>
      <c r="E34" s="19">
        <v>16.600000000000001</v>
      </c>
      <c r="F34" s="19">
        <v>15</v>
      </c>
      <c r="G34" s="19">
        <v>47</v>
      </c>
      <c r="H34" s="19">
        <v>42.9</v>
      </c>
      <c r="I34" s="19">
        <v>28814</v>
      </c>
      <c r="J34" s="19">
        <v>24132</v>
      </c>
      <c r="K34" s="19">
        <v>33911</v>
      </c>
      <c r="L34" s="19">
        <v>93</v>
      </c>
      <c r="M34" s="19" t="s">
        <v>690</v>
      </c>
      <c r="N34" s="19" t="s">
        <v>765</v>
      </c>
      <c r="O34" s="19">
        <v>37</v>
      </c>
      <c r="P34" s="128">
        <f t="shared" si="0"/>
        <v>18.907</v>
      </c>
    </row>
    <row r="35" spans="1:16">
      <c r="A35" s="19" t="s">
        <v>766</v>
      </c>
      <c r="B35" s="19" t="s">
        <v>767</v>
      </c>
      <c r="C35" s="126">
        <v>32.700000000000003</v>
      </c>
      <c r="D35" s="19">
        <v>22.7</v>
      </c>
      <c r="E35" s="19">
        <v>7.4</v>
      </c>
      <c r="F35" s="19">
        <v>16</v>
      </c>
      <c r="G35" s="19">
        <v>60</v>
      </c>
      <c r="H35" s="19">
        <v>47.9</v>
      </c>
      <c r="I35" s="19">
        <v>11880</v>
      </c>
      <c r="J35" s="19">
        <v>10866</v>
      </c>
      <c r="K35" s="19">
        <v>16378</v>
      </c>
      <c r="L35" s="19">
        <v>93</v>
      </c>
      <c r="M35" s="19" t="s">
        <v>690</v>
      </c>
      <c r="N35" s="19" t="s">
        <v>749</v>
      </c>
      <c r="O35" s="19">
        <v>32</v>
      </c>
      <c r="P35" s="128">
        <f t="shared" si="0"/>
        <v>10.464</v>
      </c>
    </row>
    <row r="36" spans="1:16">
      <c r="A36" s="19" t="s">
        <v>768</v>
      </c>
      <c r="B36" s="19" t="s">
        <v>769</v>
      </c>
      <c r="C36" s="126">
        <v>56.3</v>
      </c>
      <c r="D36" s="19">
        <v>21.5</v>
      </c>
      <c r="E36" s="19">
        <v>12.1</v>
      </c>
      <c r="F36" s="19">
        <v>20</v>
      </c>
      <c r="G36" s="19">
        <v>65</v>
      </c>
      <c r="H36" s="19">
        <v>58.5</v>
      </c>
      <c r="I36" s="19">
        <v>18202</v>
      </c>
      <c r="J36" s="19">
        <v>13790</v>
      </c>
      <c r="K36" s="19">
        <v>23992</v>
      </c>
      <c r="L36" s="19">
        <v>113</v>
      </c>
      <c r="M36" s="19" t="s">
        <v>701</v>
      </c>
      <c r="N36" s="19" t="s">
        <v>770</v>
      </c>
      <c r="O36" s="19">
        <v>35</v>
      </c>
      <c r="P36" s="128">
        <f t="shared" si="0"/>
        <v>19.704999999999998</v>
      </c>
    </row>
    <row r="37" spans="1:16">
      <c r="A37" s="19" t="s">
        <v>768</v>
      </c>
      <c r="B37" s="19" t="s">
        <v>771</v>
      </c>
      <c r="C37" s="126">
        <v>145.80000000000001</v>
      </c>
      <c r="D37" s="19">
        <v>29.7</v>
      </c>
      <c r="E37" s="19">
        <v>43.3</v>
      </c>
      <c r="F37" s="19">
        <v>20</v>
      </c>
      <c r="G37" s="19">
        <v>65</v>
      </c>
      <c r="H37" s="19">
        <v>48.5</v>
      </c>
      <c r="I37" s="19">
        <v>18202</v>
      </c>
      <c r="J37" s="19">
        <v>11721</v>
      </c>
      <c r="K37" s="19">
        <v>23992</v>
      </c>
      <c r="L37" s="19">
        <v>113</v>
      </c>
      <c r="M37" s="19" t="s">
        <v>690</v>
      </c>
      <c r="N37" s="19" t="s">
        <v>749</v>
      </c>
      <c r="O37" s="19">
        <v>17</v>
      </c>
      <c r="P37" s="128">
        <f t="shared" si="0"/>
        <v>24.786000000000005</v>
      </c>
    </row>
    <row r="38" spans="1:16">
      <c r="A38" s="19" t="s">
        <v>772</v>
      </c>
      <c r="B38" s="19" t="s">
        <v>773</v>
      </c>
      <c r="C38" s="126">
        <v>22</v>
      </c>
      <c r="D38" s="19">
        <v>27.3</v>
      </c>
      <c r="E38" s="19">
        <v>6</v>
      </c>
      <c r="F38" s="19">
        <v>18.5</v>
      </c>
      <c r="G38" s="19">
        <v>57</v>
      </c>
      <c r="H38" s="19">
        <v>43.5</v>
      </c>
      <c r="I38" s="19">
        <v>13886</v>
      </c>
      <c r="J38" s="19">
        <v>13865</v>
      </c>
      <c r="K38" s="19">
        <v>19147</v>
      </c>
      <c r="L38" s="19">
        <v>68</v>
      </c>
      <c r="M38" s="19" t="s">
        <v>690</v>
      </c>
      <c r="N38" s="19" t="s">
        <v>749</v>
      </c>
      <c r="O38" s="19">
        <v>25</v>
      </c>
      <c r="P38" s="128">
        <f t="shared" si="0"/>
        <v>5.5</v>
      </c>
    </row>
  </sheetData>
  <pageMargins left="0.7" right="0.7" top="0.75" bottom="0.75" header="0.3" footer="0.3"/>
  <headerFooter>
    <oddHeader>&amp;C&amp;"Aptos"&amp;10&amp;K0078D7 [Open]&amp;1#_x000D_</oddHeader>
  </headerFooter>
  <drawing r:id="rId1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18858-E016-4003-A07A-57FD05842538}">
  <dimension ref="A1:F23"/>
  <sheetViews>
    <sheetView workbookViewId="0">
      <selection activeCell="D6" sqref="D6"/>
    </sheetView>
  </sheetViews>
  <sheetFormatPr defaultRowHeight="14.5"/>
  <cols>
    <col min="1" max="1" width="15.25" style="19" bestFit="1" customWidth="1"/>
    <col min="2" max="2" width="9.75" style="19" customWidth="1"/>
    <col min="3" max="3" width="14.4140625" style="19" customWidth="1"/>
    <col min="4" max="4" width="20.4140625" style="19" customWidth="1"/>
    <col min="5" max="5" width="24.08203125" style="19" customWidth="1"/>
    <col min="6" max="6" width="22.6640625" style="19" customWidth="1"/>
    <col min="7" max="16384" width="8.6640625" style="19"/>
  </cols>
  <sheetData>
    <row r="1" spans="1:6">
      <c r="A1" s="125" t="s">
        <v>361</v>
      </c>
      <c r="B1" s="125" t="s">
        <v>673</v>
      </c>
      <c r="C1" s="125" t="s">
        <v>791</v>
      </c>
      <c r="D1" s="125" t="s">
        <v>790</v>
      </c>
      <c r="E1" s="125" t="s">
        <v>789</v>
      </c>
      <c r="F1" s="125" t="s">
        <v>788</v>
      </c>
    </row>
    <row r="2" spans="1:6">
      <c r="A2" s="19" t="s">
        <v>696</v>
      </c>
      <c r="B2" s="19" t="s">
        <v>787</v>
      </c>
      <c r="C2" s="19">
        <v>137.61000000000001</v>
      </c>
      <c r="D2" s="19" t="s">
        <v>690</v>
      </c>
      <c r="E2" s="19">
        <v>19</v>
      </c>
      <c r="F2" s="19">
        <v>26</v>
      </c>
    </row>
    <row r="3" spans="1:6">
      <c r="A3" s="19" t="s">
        <v>696</v>
      </c>
      <c r="B3" s="19" t="s">
        <v>786</v>
      </c>
      <c r="C3" s="19">
        <v>235.12</v>
      </c>
      <c r="D3" s="19" t="s">
        <v>690</v>
      </c>
      <c r="E3" s="19">
        <v>17</v>
      </c>
      <c r="F3" s="19">
        <v>40</v>
      </c>
    </row>
    <row r="4" spans="1:6">
      <c r="A4" s="19" t="s">
        <v>696</v>
      </c>
      <c r="B4" s="19" t="s">
        <v>785</v>
      </c>
      <c r="C4" s="19">
        <v>86.93</v>
      </c>
      <c r="D4" s="19" t="s">
        <v>690</v>
      </c>
      <c r="E4" s="19">
        <v>9</v>
      </c>
      <c r="F4" s="19">
        <v>8</v>
      </c>
    </row>
    <row r="5" spans="1:6">
      <c r="A5" s="19" t="s">
        <v>696</v>
      </c>
      <c r="B5" s="19" t="s">
        <v>784</v>
      </c>
      <c r="C5" s="19">
        <v>124.1</v>
      </c>
      <c r="D5" s="19" t="s">
        <v>690</v>
      </c>
      <c r="E5" s="19">
        <v>14</v>
      </c>
      <c r="F5" s="19">
        <v>17</v>
      </c>
    </row>
    <row r="6" spans="1:6">
      <c r="A6" s="19" t="s">
        <v>783</v>
      </c>
      <c r="B6" s="19" t="s">
        <v>782</v>
      </c>
      <c r="C6" s="19">
        <v>96.1</v>
      </c>
      <c r="D6" s="19" t="s">
        <v>723</v>
      </c>
      <c r="E6" s="19">
        <v>3</v>
      </c>
      <c r="F6" s="19">
        <v>3</v>
      </c>
    </row>
    <row r="7" spans="1:6">
      <c r="A7" s="19" t="s">
        <v>778</v>
      </c>
      <c r="B7" s="19" t="s">
        <v>704</v>
      </c>
      <c r="C7" s="19">
        <v>53.8</v>
      </c>
      <c r="D7" s="19" t="s">
        <v>690</v>
      </c>
      <c r="E7" s="19">
        <v>50</v>
      </c>
      <c r="F7" s="19">
        <v>27</v>
      </c>
    </row>
    <row r="8" spans="1:6">
      <c r="A8" s="19" t="s">
        <v>713</v>
      </c>
      <c r="B8" s="19" t="s">
        <v>714</v>
      </c>
      <c r="C8" s="19">
        <v>61.36</v>
      </c>
      <c r="D8" s="19" t="s">
        <v>781</v>
      </c>
      <c r="E8" s="19">
        <v>33</v>
      </c>
      <c r="F8" s="19">
        <v>20</v>
      </c>
    </row>
    <row r="9" spans="1:6">
      <c r="A9" s="19" t="s">
        <v>717</v>
      </c>
      <c r="B9" s="19" t="s">
        <v>738</v>
      </c>
      <c r="C9" s="19">
        <v>44.05</v>
      </c>
      <c r="D9" s="19" t="s">
        <v>707</v>
      </c>
      <c r="E9" s="19">
        <v>27</v>
      </c>
      <c r="F9" s="19">
        <v>12</v>
      </c>
    </row>
    <row r="10" spans="1:6">
      <c r="A10" s="19" t="s">
        <v>737</v>
      </c>
      <c r="B10" s="19" t="s">
        <v>738</v>
      </c>
      <c r="C10" s="19">
        <v>98.45</v>
      </c>
      <c r="D10" s="19" t="s">
        <v>707</v>
      </c>
      <c r="E10" s="19">
        <v>5</v>
      </c>
      <c r="F10" s="19">
        <v>5</v>
      </c>
    </row>
    <row r="11" spans="1:6">
      <c r="A11" s="19" t="s">
        <v>780</v>
      </c>
      <c r="B11" s="19" t="s">
        <v>779</v>
      </c>
      <c r="C11" s="19">
        <v>248</v>
      </c>
      <c r="D11" s="19" t="s">
        <v>707</v>
      </c>
      <c r="E11" s="19">
        <v>23</v>
      </c>
      <c r="F11" s="19">
        <v>58</v>
      </c>
    </row>
    <row r="12" spans="1:6">
      <c r="A12" s="19" t="s">
        <v>713</v>
      </c>
      <c r="B12" s="19" t="s">
        <v>716</v>
      </c>
      <c r="C12" s="19">
        <v>17.13</v>
      </c>
      <c r="D12" s="19" t="s">
        <v>707</v>
      </c>
      <c r="E12" s="19">
        <v>35</v>
      </c>
      <c r="F12" s="19">
        <v>6</v>
      </c>
    </row>
    <row r="13" spans="1:6">
      <c r="A13" s="19" t="s">
        <v>778</v>
      </c>
      <c r="B13" s="19" t="s">
        <v>706</v>
      </c>
      <c r="C13" s="19">
        <v>9.6</v>
      </c>
      <c r="D13" s="19" t="s">
        <v>690</v>
      </c>
      <c r="E13" s="19">
        <v>31</v>
      </c>
      <c r="F13" s="19">
        <v>3</v>
      </c>
    </row>
    <row r="14" spans="1:6">
      <c r="A14" s="19" t="s">
        <v>711</v>
      </c>
      <c r="B14" s="19" t="s">
        <v>706</v>
      </c>
      <c r="C14" s="19">
        <v>30.34</v>
      </c>
      <c r="D14" s="19" t="s">
        <v>707</v>
      </c>
      <c r="E14" s="19">
        <v>25</v>
      </c>
      <c r="F14" s="19">
        <v>8</v>
      </c>
    </row>
    <row r="15" spans="1:6">
      <c r="A15" s="19" t="s">
        <v>721</v>
      </c>
      <c r="B15" s="19" t="s">
        <v>722</v>
      </c>
      <c r="C15" s="19">
        <v>105.6</v>
      </c>
      <c r="D15" s="19" t="s">
        <v>777</v>
      </c>
      <c r="E15" s="19">
        <v>4</v>
      </c>
      <c r="F15" s="19">
        <v>5</v>
      </c>
    </row>
    <row r="16" spans="1:6">
      <c r="A16" s="19" t="s">
        <v>776</v>
      </c>
      <c r="B16" s="19" t="s">
        <v>709</v>
      </c>
      <c r="C16" s="19">
        <v>8.5</v>
      </c>
      <c r="D16" s="19" t="s">
        <v>707</v>
      </c>
      <c r="E16" s="19">
        <v>41</v>
      </c>
      <c r="F16" s="19">
        <v>3</v>
      </c>
    </row>
    <row r="17" spans="1:6">
      <c r="A17" s="19" t="s">
        <v>696</v>
      </c>
      <c r="B17" s="19" t="s">
        <v>775</v>
      </c>
      <c r="C17" s="19">
        <v>90.18</v>
      </c>
      <c r="D17" s="19" t="s">
        <v>701</v>
      </c>
      <c r="E17" s="19">
        <v>22</v>
      </c>
      <c r="F17" s="19">
        <v>20</v>
      </c>
    </row>
    <row r="18" spans="1:6">
      <c r="A18" s="19" t="s">
        <v>774</v>
      </c>
      <c r="B18" s="19" t="s">
        <v>727</v>
      </c>
      <c r="C18" s="19">
        <v>260.60000000000002</v>
      </c>
      <c r="D18" s="19" t="s">
        <v>707</v>
      </c>
      <c r="E18" s="19">
        <v>22</v>
      </c>
      <c r="F18" s="19">
        <v>58</v>
      </c>
    </row>
    <row r="19" spans="1:6">
      <c r="A19" s="19" t="s">
        <v>726</v>
      </c>
      <c r="B19" s="19" t="s">
        <v>727</v>
      </c>
      <c r="C19" s="19">
        <v>146.47999999999999</v>
      </c>
      <c r="D19" s="19" t="s">
        <v>690</v>
      </c>
      <c r="E19" s="19">
        <v>14</v>
      </c>
      <c r="F19" s="19">
        <v>21</v>
      </c>
    </row>
    <row r="20" spans="1:6">
      <c r="A20" s="19" t="s">
        <v>730</v>
      </c>
      <c r="B20" s="19" t="s">
        <v>733</v>
      </c>
      <c r="C20" s="19">
        <v>821.78</v>
      </c>
      <c r="D20" s="19" t="s">
        <v>707</v>
      </c>
      <c r="E20" s="19">
        <v>22</v>
      </c>
      <c r="F20" s="19">
        <v>184</v>
      </c>
    </row>
    <row r="21" spans="1:6">
      <c r="A21" s="19" t="s">
        <v>774</v>
      </c>
      <c r="B21" s="19" t="s">
        <v>729</v>
      </c>
      <c r="C21" s="19">
        <v>527.29999999999995</v>
      </c>
      <c r="D21" s="19" t="s">
        <v>707</v>
      </c>
      <c r="E21" s="19">
        <v>26</v>
      </c>
      <c r="F21" s="19">
        <v>135</v>
      </c>
    </row>
    <row r="22" spans="1:6">
      <c r="A22" s="19" t="s">
        <v>726</v>
      </c>
      <c r="B22" s="19" t="s">
        <v>729</v>
      </c>
      <c r="C22" s="19">
        <v>208.2</v>
      </c>
      <c r="D22" s="19" t="s">
        <v>707</v>
      </c>
      <c r="E22" s="19">
        <v>7</v>
      </c>
      <c r="F22" s="19">
        <v>15</v>
      </c>
    </row>
    <row r="23" spans="1:6">
      <c r="A23" s="19" t="s">
        <v>730</v>
      </c>
      <c r="B23" s="19" t="s">
        <v>731</v>
      </c>
      <c r="C23" s="19">
        <v>145.19999999999999</v>
      </c>
      <c r="D23" s="19" t="s">
        <v>707</v>
      </c>
      <c r="E23" s="19">
        <v>18</v>
      </c>
      <c r="F23" s="19">
        <v>27</v>
      </c>
    </row>
  </sheetData>
  <pageMargins left="0.7" right="0.7" top="0.75" bottom="0.75" header="0.3" footer="0.3"/>
  <headerFooter>
    <oddHeader>&amp;C&amp;"Aptos"&amp;10&amp;K0078D7 [Open]&amp;1#_x000D_</oddHeader>
  </headerFooter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49F7D-44D3-4D69-9EA6-3555C0F9899D}">
  <dimension ref="A1:Q328"/>
  <sheetViews>
    <sheetView zoomScale="159" workbookViewId="0">
      <selection activeCell="C2" sqref="C2:H13"/>
    </sheetView>
  </sheetViews>
  <sheetFormatPr defaultRowHeight="14.5"/>
  <cols>
    <col min="1" max="4" width="8" style="19" customWidth="1"/>
    <col min="5" max="16384" width="8.6640625" style="19"/>
  </cols>
  <sheetData>
    <row r="1" spans="1:17">
      <c r="A1" s="129" t="s">
        <v>792</v>
      </c>
      <c r="B1" s="129" t="s">
        <v>793</v>
      </c>
      <c r="C1" s="129" t="s">
        <v>794</v>
      </c>
      <c r="D1" s="129" t="s">
        <v>795</v>
      </c>
      <c r="E1" s="129" t="s">
        <v>796</v>
      </c>
      <c r="F1" s="129" t="s">
        <v>797</v>
      </c>
      <c r="G1" s="129" t="s">
        <v>798</v>
      </c>
      <c r="H1" s="129" t="s">
        <v>799</v>
      </c>
      <c r="I1" s="129" t="s">
        <v>800</v>
      </c>
      <c r="J1" s="129" t="s">
        <v>801</v>
      </c>
      <c r="K1" s="129" t="s">
        <v>802</v>
      </c>
      <c r="L1" s="129" t="s">
        <v>803</v>
      </c>
      <c r="M1" s="129" t="s">
        <v>804</v>
      </c>
      <c r="N1" s="129" t="s">
        <v>805</v>
      </c>
      <c r="O1" s="129" t="s">
        <v>806</v>
      </c>
      <c r="P1" s="129" t="s">
        <v>807</v>
      </c>
      <c r="Q1" s="129" t="s">
        <v>808</v>
      </c>
    </row>
    <row r="2" spans="1:17">
      <c r="A2" s="19" t="s">
        <v>809</v>
      </c>
      <c r="B2" s="19" t="s">
        <v>810</v>
      </c>
      <c r="C2" s="19" t="s">
        <v>811</v>
      </c>
      <c r="D2" s="19">
        <v>18</v>
      </c>
      <c r="E2" s="19" t="s">
        <v>812</v>
      </c>
      <c r="F2" s="19" t="s">
        <v>813</v>
      </c>
      <c r="G2" s="19">
        <v>18</v>
      </c>
      <c r="H2" s="19">
        <v>1.61130899376669</v>
      </c>
    </row>
    <row r="3" spans="1:17">
      <c r="A3" s="19" t="s">
        <v>809</v>
      </c>
      <c r="B3" s="19" t="s">
        <v>810</v>
      </c>
      <c r="C3" s="19" t="s">
        <v>811</v>
      </c>
      <c r="D3" s="19">
        <v>18</v>
      </c>
      <c r="E3" s="19" t="s">
        <v>812</v>
      </c>
      <c r="F3" s="19" t="s">
        <v>813</v>
      </c>
      <c r="G3" s="19">
        <v>12.55</v>
      </c>
      <c r="H3" s="19">
        <v>2.1366874443455002</v>
      </c>
    </row>
    <row r="4" spans="1:17">
      <c r="A4" s="19" t="s">
        <v>809</v>
      </c>
      <c r="B4" s="19" t="s">
        <v>810</v>
      </c>
      <c r="C4" s="19" t="s">
        <v>811</v>
      </c>
      <c r="D4" s="19">
        <v>18</v>
      </c>
      <c r="E4" s="19" t="s">
        <v>812</v>
      </c>
      <c r="F4" s="19" t="s">
        <v>813</v>
      </c>
      <c r="G4" s="19">
        <v>8.3282674772036405</v>
      </c>
      <c r="H4" s="19">
        <v>2.6576135351736401</v>
      </c>
    </row>
    <row r="5" spans="1:17">
      <c r="A5" s="19" t="s">
        <v>809</v>
      </c>
      <c r="B5" s="19" t="s">
        <v>810</v>
      </c>
      <c r="C5" s="19" t="s">
        <v>811</v>
      </c>
      <c r="D5" s="19">
        <v>18</v>
      </c>
      <c r="E5" s="19" t="s">
        <v>812</v>
      </c>
      <c r="F5" s="19" t="s">
        <v>813</v>
      </c>
      <c r="G5" s="19">
        <v>4</v>
      </c>
      <c r="H5" s="19">
        <v>3.1651825467497701</v>
      </c>
    </row>
    <row r="6" spans="1:17">
      <c r="A6" s="19" t="s">
        <v>809</v>
      </c>
      <c r="B6" s="19" t="s">
        <v>810</v>
      </c>
      <c r="C6" s="19" t="s">
        <v>811</v>
      </c>
      <c r="D6" s="19">
        <v>18</v>
      </c>
      <c r="E6" s="19" t="s">
        <v>812</v>
      </c>
      <c r="F6" s="19" t="s">
        <v>813</v>
      </c>
      <c r="G6" s="19">
        <v>2.95</v>
      </c>
      <c r="H6" s="19">
        <v>3.68</v>
      </c>
    </row>
    <row r="7" spans="1:17">
      <c r="A7" s="19" t="s">
        <v>809</v>
      </c>
      <c r="B7" s="19" t="s">
        <v>810</v>
      </c>
      <c r="C7" s="19" t="s">
        <v>811</v>
      </c>
      <c r="D7" s="19">
        <v>18</v>
      </c>
      <c r="E7" s="19" t="s">
        <v>812</v>
      </c>
      <c r="F7" s="19" t="s">
        <v>813</v>
      </c>
      <c r="G7" s="19">
        <v>2</v>
      </c>
      <c r="H7" s="19">
        <v>5.1999109528049798</v>
      </c>
    </row>
    <row r="8" spans="1:17">
      <c r="A8" s="19" t="s">
        <v>809</v>
      </c>
      <c r="B8" s="19" t="s">
        <v>810</v>
      </c>
      <c r="C8" s="19" t="s">
        <v>811</v>
      </c>
      <c r="D8" s="19">
        <v>18</v>
      </c>
      <c r="E8" s="19" t="s">
        <v>812</v>
      </c>
      <c r="F8" s="19" t="s">
        <v>814</v>
      </c>
      <c r="G8" s="19">
        <v>3.2218844984802399</v>
      </c>
      <c r="H8" s="19">
        <v>2.6576135351736401</v>
      </c>
    </row>
    <row r="9" spans="1:17">
      <c r="A9" s="19" t="s">
        <v>809</v>
      </c>
      <c r="B9" s="19" t="s">
        <v>810</v>
      </c>
      <c r="C9" s="19" t="s">
        <v>811</v>
      </c>
      <c r="D9" s="19">
        <v>18</v>
      </c>
      <c r="E9" s="19" t="s">
        <v>812</v>
      </c>
      <c r="F9" s="19" t="s">
        <v>814</v>
      </c>
      <c r="G9" s="19">
        <v>6.5045592705167099</v>
      </c>
      <c r="H9" s="19">
        <v>3.1696349065004399</v>
      </c>
    </row>
    <row r="10" spans="1:17">
      <c r="A10" s="19" t="s">
        <v>809</v>
      </c>
      <c r="B10" s="19" t="s">
        <v>810</v>
      </c>
      <c r="C10" s="19" t="s">
        <v>811</v>
      </c>
      <c r="D10" s="19">
        <v>18</v>
      </c>
      <c r="E10" s="19" t="s">
        <v>812</v>
      </c>
      <c r="F10" s="19" t="s">
        <v>814</v>
      </c>
      <c r="G10" s="19">
        <v>9.5744680851063801</v>
      </c>
      <c r="H10" s="19">
        <v>3.68610863757791</v>
      </c>
    </row>
    <row r="11" spans="1:17">
      <c r="A11" s="19" t="s">
        <v>809</v>
      </c>
      <c r="B11" s="19" t="s">
        <v>810</v>
      </c>
      <c r="C11" s="19" t="s">
        <v>811</v>
      </c>
      <c r="D11" s="19">
        <v>18</v>
      </c>
      <c r="E11" s="19" t="s">
        <v>812</v>
      </c>
      <c r="F11" s="19" t="s">
        <v>814</v>
      </c>
      <c r="G11" s="19">
        <v>15.2</v>
      </c>
      <c r="H11" s="19">
        <v>4.1892252894033799</v>
      </c>
    </row>
    <row r="12" spans="1:17">
      <c r="A12" s="19" t="s">
        <v>809</v>
      </c>
      <c r="B12" s="19" t="s">
        <v>810</v>
      </c>
      <c r="C12" s="19" t="s">
        <v>811</v>
      </c>
      <c r="D12" s="19">
        <v>18</v>
      </c>
      <c r="E12" s="19" t="s">
        <v>812</v>
      </c>
      <c r="F12" s="19" t="s">
        <v>814</v>
      </c>
      <c r="G12" s="19">
        <v>20</v>
      </c>
      <c r="H12" s="19">
        <v>4.6967943009795103</v>
      </c>
    </row>
    <row r="13" spans="1:17">
      <c r="A13" s="19" t="s">
        <v>809</v>
      </c>
      <c r="B13" s="19" t="s">
        <v>810</v>
      </c>
      <c r="C13" s="19" t="s">
        <v>811</v>
      </c>
      <c r="D13" s="19">
        <v>18</v>
      </c>
      <c r="E13" s="19" t="s">
        <v>812</v>
      </c>
      <c r="F13" s="19" t="s">
        <v>814</v>
      </c>
      <c r="G13" s="19">
        <v>0.51671732522796299</v>
      </c>
      <c r="H13" s="19">
        <v>5.6941228851291097</v>
      </c>
    </row>
    <row r="14" spans="1:17">
      <c r="A14" s="19" t="s">
        <v>809</v>
      </c>
      <c r="B14" s="19" t="s">
        <v>810</v>
      </c>
      <c r="C14" s="19" t="s">
        <v>815</v>
      </c>
      <c r="D14" s="19">
        <v>19</v>
      </c>
      <c r="E14" s="19" t="s">
        <v>812</v>
      </c>
      <c r="F14" s="19" t="s">
        <v>813</v>
      </c>
      <c r="G14" s="19">
        <v>19</v>
      </c>
      <c r="H14" s="19">
        <v>1.6063829787234001</v>
      </c>
    </row>
    <row r="15" spans="1:17">
      <c r="A15" s="19" t="s">
        <v>809</v>
      </c>
      <c r="B15" s="19" t="s">
        <v>810</v>
      </c>
      <c r="C15" s="19" t="s">
        <v>815</v>
      </c>
      <c r="D15" s="19">
        <v>19</v>
      </c>
      <c r="E15" s="19" t="s">
        <v>812</v>
      </c>
      <c r="F15" s="19" t="s">
        <v>813</v>
      </c>
      <c r="G15" s="19">
        <v>15.082956259426799</v>
      </c>
      <c r="H15" s="19">
        <v>2.13</v>
      </c>
    </row>
    <row r="16" spans="1:17">
      <c r="A16" s="19" t="s">
        <v>809</v>
      </c>
      <c r="B16" s="19" t="s">
        <v>810</v>
      </c>
      <c r="C16" s="19" t="s">
        <v>815</v>
      </c>
      <c r="D16" s="19">
        <v>19</v>
      </c>
      <c r="E16" s="19" t="s">
        <v>812</v>
      </c>
      <c r="F16" s="19" t="s">
        <v>813</v>
      </c>
      <c r="G16" s="19">
        <v>9.6530920060331802</v>
      </c>
      <c r="H16" s="19">
        <v>2.6569148936170199</v>
      </c>
    </row>
    <row r="17" spans="1:8">
      <c r="A17" s="19" t="s">
        <v>809</v>
      </c>
      <c r="B17" s="19" t="s">
        <v>810</v>
      </c>
      <c r="C17" s="19" t="s">
        <v>815</v>
      </c>
      <c r="D17" s="19">
        <v>19</v>
      </c>
      <c r="E17" s="19" t="s">
        <v>812</v>
      </c>
      <c r="F17" s="19" t="s">
        <v>813</v>
      </c>
      <c r="G17" s="19">
        <v>7.1493212669683199</v>
      </c>
      <c r="H17" s="19">
        <v>3.16</v>
      </c>
    </row>
    <row r="18" spans="1:8">
      <c r="A18" s="19" t="s">
        <v>809</v>
      </c>
      <c r="B18" s="19" t="s">
        <v>810</v>
      </c>
      <c r="C18" s="19" t="s">
        <v>815</v>
      </c>
      <c r="D18" s="19">
        <v>19</v>
      </c>
      <c r="E18" s="19" t="s">
        <v>812</v>
      </c>
      <c r="F18" s="19" t="s">
        <v>813</v>
      </c>
      <c r="G18" s="19">
        <v>5.6108597285067798</v>
      </c>
      <c r="H18" s="19">
        <v>3.68</v>
      </c>
    </row>
    <row r="19" spans="1:8">
      <c r="A19" s="19" t="s">
        <v>809</v>
      </c>
      <c r="B19" s="19" t="s">
        <v>810</v>
      </c>
      <c r="C19" s="19" t="s">
        <v>815</v>
      </c>
      <c r="D19" s="19">
        <v>19</v>
      </c>
      <c r="E19" s="19" t="s">
        <v>812</v>
      </c>
      <c r="F19" s="19" t="s">
        <v>813</v>
      </c>
      <c r="G19" s="19">
        <v>1.44796380090497</v>
      </c>
      <c r="H19" s="19">
        <v>4.1861702127659504</v>
      </c>
    </row>
    <row r="20" spans="1:8">
      <c r="A20" s="19" t="s">
        <v>809</v>
      </c>
      <c r="B20" s="19" t="s">
        <v>810</v>
      </c>
      <c r="C20" s="19" t="s">
        <v>815</v>
      </c>
      <c r="D20" s="19">
        <v>19</v>
      </c>
      <c r="E20" s="19" t="s">
        <v>812</v>
      </c>
      <c r="F20" s="19" t="s">
        <v>814</v>
      </c>
      <c r="G20" s="19">
        <v>2.83559577677224</v>
      </c>
      <c r="H20" s="19">
        <v>3.67</v>
      </c>
    </row>
    <row r="21" spans="1:8">
      <c r="A21" s="19" t="s">
        <v>809</v>
      </c>
      <c r="B21" s="19" t="s">
        <v>810</v>
      </c>
      <c r="C21" s="19" t="s">
        <v>815</v>
      </c>
      <c r="D21" s="19">
        <v>19</v>
      </c>
      <c r="E21" s="19" t="s">
        <v>812</v>
      </c>
      <c r="F21" s="19" t="s">
        <v>814</v>
      </c>
      <c r="G21" s="19">
        <v>4.3</v>
      </c>
      <c r="H21" s="19">
        <v>4.18</v>
      </c>
    </row>
    <row r="22" spans="1:8">
      <c r="A22" s="19" t="s">
        <v>809</v>
      </c>
      <c r="B22" s="19" t="s">
        <v>810</v>
      </c>
      <c r="C22" s="19" t="s">
        <v>815</v>
      </c>
      <c r="D22" s="19">
        <v>19</v>
      </c>
      <c r="E22" s="19" t="s">
        <v>812</v>
      </c>
      <c r="F22" s="19" t="s">
        <v>814</v>
      </c>
      <c r="G22" s="19">
        <v>4.2533936651583701</v>
      </c>
      <c r="H22" s="19">
        <v>4.6959219858156001</v>
      </c>
    </row>
    <row r="23" spans="1:8">
      <c r="A23" s="19" t="s">
        <v>809</v>
      </c>
      <c r="B23" s="19" t="s">
        <v>810</v>
      </c>
      <c r="C23" s="19" t="s">
        <v>815</v>
      </c>
      <c r="D23" s="19">
        <v>19</v>
      </c>
      <c r="E23" s="19" t="s">
        <v>812</v>
      </c>
      <c r="F23" s="19" t="s">
        <v>814</v>
      </c>
      <c r="G23" s="19">
        <v>5.62</v>
      </c>
      <c r="H23" s="19">
        <v>5.19237588652482</v>
      </c>
    </row>
    <row r="24" spans="1:8">
      <c r="A24" s="19" t="s">
        <v>809</v>
      </c>
      <c r="B24" s="19" t="s">
        <v>810</v>
      </c>
      <c r="C24" s="19" t="s">
        <v>815</v>
      </c>
      <c r="D24" s="19">
        <v>19</v>
      </c>
      <c r="E24" s="19" t="s">
        <v>812</v>
      </c>
      <c r="F24" s="19" t="s">
        <v>814</v>
      </c>
      <c r="G24" s="19">
        <v>5.8220211161387603</v>
      </c>
      <c r="H24" s="19">
        <v>5.69</v>
      </c>
    </row>
    <row r="25" spans="1:8">
      <c r="A25" s="19" t="s">
        <v>809</v>
      </c>
      <c r="B25" s="19" t="s">
        <v>810</v>
      </c>
      <c r="C25" s="19" t="s">
        <v>815</v>
      </c>
      <c r="D25" s="19">
        <v>19</v>
      </c>
      <c r="E25" s="19" t="s">
        <v>812</v>
      </c>
      <c r="F25" s="19" t="s">
        <v>814</v>
      </c>
      <c r="G25" s="19">
        <v>10.1357466063348</v>
      </c>
      <c r="H25" s="19">
        <v>6.18</v>
      </c>
    </row>
    <row r="26" spans="1:8">
      <c r="A26" s="19" t="s">
        <v>809</v>
      </c>
      <c r="B26" s="19" t="s">
        <v>816</v>
      </c>
      <c r="C26" s="19" t="s">
        <v>817</v>
      </c>
      <c r="D26" s="19">
        <v>19</v>
      </c>
      <c r="E26" s="19" t="s">
        <v>812</v>
      </c>
      <c r="F26" s="19" t="s">
        <v>813</v>
      </c>
      <c r="G26" s="19">
        <v>19</v>
      </c>
      <c r="H26" s="19">
        <v>1E-4</v>
      </c>
    </row>
    <row r="27" spans="1:8">
      <c r="A27" s="19" t="s">
        <v>809</v>
      </c>
      <c r="B27" s="19" t="s">
        <v>816</v>
      </c>
      <c r="C27" s="19" t="s">
        <v>817</v>
      </c>
      <c r="D27" s="19">
        <v>19</v>
      </c>
      <c r="E27" s="19" t="s">
        <v>812</v>
      </c>
      <c r="F27" s="19" t="s">
        <v>813</v>
      </c>
      <c r="G27" s="19">
        <v>17.850000000000001</v>
      </c>
      <c r="H27" s="19">
        <v>0.54298642533936603</v>
      </c>
    </row>
    <row r="28" spans="1:8">
      <c r="A28" s="19" t="s">
        <v>809</v>
      </c>
      <c r="B28" s="19" t="s">
        <v>816</v>
      </c>
      <c r="C28" s="19" t="s">
        <v>817</v>
      </c>
      <c r="D28" s="19">
        <v>19</v>
      </c>
      <c r="E28" s="19" t="s">
        <v>812</v>
      </c>
      <c r="F28" s="19" t="s">
        <v>813</v>
      </c>
      <c r="G28" s="19">
        <v>11.8</v>
      </c>
      <c r="H28" s="19">
        <v>1.07692307692307</v>
      </c>
    </row>
    <row r="29" spans="1:8">
      <c r="A29" s="19" t="s">
        <v>809</v>
      </c>
      <c r="B29" s="19" t="s">
        <v>816</v>
      </c>
      <c r="C29" s="19" t="s">
        <v>817</v>
      </c>
      <c r="D29" s="19">
        <v>19</v>
      </c>
      <c r="E29" s="19" t="s">
        <v>812</v>
      </c>
      <c r="F29" s="19" t="s">
        <v>813</v>
      </c>
      <c r="G29" s="19">
        <v>2.9249999999999998</v>
      </c>
      <c r="H29" s="19">
        <v>1.605</v>
      </c>
    </row>
    <row r="30" spans="1:8">
      <c r="A30" s="19" t="s">
        <v>809</v>
      </c>
      <c r="B30" s="19" t="s">
        <v>816</v>
      </c>
      <c r="C30" s="19" t="s">
        <v>817</v>
      </c>
      <c r="D30" s="19">
        <v>19</v>
      </c>
      <c r="E30" s="19" t="s">
        <v>812</v>
      </c>
      <c r="F30" s="19" t="s">
        <v>813</v>
      </c>
      <c r="G30" s="19">
        <v>1.425</v>
      </c>
      <c r="H30" s="19">
        <v>3.68778280542986</v>
      </c>
    </row>
    <row r="31" spans="1:8">
      <c r="A31" s="19" t="s">
        <v>809</v>
      </c>
      <c r="B31" s="19" t="s">
        <v>816</v>
      </c>
      <c r="C31" s="19" t="s">
        <v>817</v>
      </c>
      <c r="D31" s="19">
        <v>19</v>
      </c>
      <c r="E31" s="19" t="s">
        <v>812</v>
      </c>
      <c r="F31" s="19" t="s">
        <v>814</v>
      </c>
      <c r="G31" s="19">
        <v>0.95</v>
      </c>
      <c r="H31" s="19">
        <v>1.61</v>
      </c>
    </row>
    <row r="32" spans="1:8">
      <c r="A32" s="19" t="s">
        <v>809</v>
      </c>
      <c r="B32" s="19" t="s">
        <v>816</v>
      </c>
      <c r="C32" s="19" t="s">
        <v>817</v>
      </c>
      <c r="D32" s="19">
        <v>19</v>
      </c>
      <c r="E32" s="19" t="s">
        <v>812</v>
      </c>
      <c r="F32" s="19" t="s">
        <v>814</v>
      </c>
      <c r="G32" s="19">
        <v>1.4197530864197501</v>
      </c>
      <c r="H32" s="19">
        <v>2.1349999999999998</v>
      </c>
    </row>
    <row r="33" spans="1:8">
      <c r="A33" s="19" t="s">
        <v>809</v>
      </c>
      <c r="B33" s="19" t="s">
        <v>816</v>
      </c>
      <c r="C33" s="19" t="s">
        <v>817</v>
      </c>
      <c r="D33" s="19">
        <v>19</v>
      </c>
      <c r="E33" s="19" t="s">
        <v>812</v>
      </c>
      <c r="F33" s="19" t="s">
        <v>814</v>
      </c>
      <c r="G33" s="19">
        <v>5.85</v>
      </c>
      <c r="H33" s="19">
        <v>2.66</v>
      </c>
    </row>
    <row r="34" spans="1:8">
      <c r="A34" s="19" t="s">
        <v>809</v>
      </c>
      <c r="B34" s="19" t="s">
        <v>816</v>
      </c>
      <c r="C34" s="19" t="s">
        <v>817</v>
      </c>
      <c r="D34" s="19">
        <v>19</v>
      </c>
      <c r="E34" s="19" t="s">
        <v>812</v>
      </c>
      <c r="F34" s="19" t="s">
        <v>814</v>
      </c>
      <c r="G34" s="19">
        <v>18.899999999999999</v>
      </c>
      <c r="H34" s="19">
        <v>3.1764705882352899</v>
      </c>
    </row>
    <row r="35" spans="1:8">
      <c r="A35" s="19" t="s">
        <v>809</v>
      </c>
      <c r="B35" s="19" t="s">
        <v>816</v>
      </c>
      <c r="C35" s="19" t="s">
        <v>817</v>
      </c>
      <c r="D35" s="19">
        <v>19</v>
      </c>
      <c r="E35" s="19" t="s">
        <v>812</v>
      </c>
      <c r="F35" s="19" t="s">
        <v>814</v>
      </c>
      <c r="G35" s="19">
        <v>0.5</v>
      </c>
      <c r="H35" s="19">
        <v>4.1950000000000003</v>
      </c>
    </row>
    <row r="36" spans="1:8">
      <c r="A36" s="19" t="s">
        <v>809</v>
      </c>
      <c r="B36" s="19" t="s">
        <v>818</v>
      </c>
      <c r="C36" s="19" t="s">
        <v>819</v>
      </c>
      <c r="D36" s="19">
        <v>20</v>
      </c>
      <c r="E36" s="19" t="s">
        <v>812</v>
      </c>
      <c r="F36" s="19" t="s">
        <v>813</v>
      </c>
      <c r="G36" s="19">
        <v>20</v>
      </c>
      <c r="H36" s="19">
        <v>0.53717472118959098</v>
      </c>
    </row>
    <row r="37" spans="1:8">
      <c r="A37" s="19" t="s">
        <v>809</v>
      </c>
      <c r="B37" s="19" t="s">
        <v>818</v>
      </c>
      <c r="C37" s="19" t="s">
        <v>819</v>
      </c>
      <c r="D37" s="19">
        <v>20</v>
      </c>
      <c r="E37" s="19" t="s">
        <v>812</v>
      </c>
      <c r="F37" s="19" t="s">
        <v>813</v>
      </c>
      <c r="G37" s="19">
        <v>19.100000000000001</v>
      </c>
      <c r="H37" s="19">
        <v>1.07156133828996</v>
      </c>
    </row>
    <row r="38" spans="1:8">
      <c r="A38" s="19" t="s">
        <v>809</v>
      </c>
      <c r="B38" s="19" t="s">
        <v>818</v>
      </c>
      <c r="C38" s="19" t="s">
        <v>819</v>
      </c>
      <c r="D38" s="19">
        <v>20</v>
      </c>
      <c r="E38" s="19" t="s">
        <v>812</v>
      </c>
      <c r="F38" s="19" t="s">
        <v>813</v>
      </c>
      <c r="G38" s="19">
        <v>2.51582278481012</v>
      </c>
      <c r="H38" s="19">
        <v>1.6013011152416301</v>
      </c>
    </row>
    <row r="39" spans="1:8">
      <c r="A39" s="19" t="s">
        <v>809</v>
      </c>
      <c r="B39" s="19" t="s">
        <v>818</v>
      </c>
      <c r="C39" s="19" t="s">
        <v>819</v>
      </c>
      <c r="D39" s="19">
        <v>20</v>
      </c>
      <c r="E39" s="19" t="s">
        <v>812</v>
      </c>
      <c r="F39" s="19" t="s">
        <v>813</v>
      </c>
      <c r="G39" s="19">
        <v>4.6993670886075902</v>
      </c>
      <c r="H39" s="19">
        <v>2.6514869888475801</v>
      </c>
    </row>
    <row r="40" spans="1:8">
      <c r="A40" s="19" t="s">
        <v>809</v>
      </c>
      <c r="B40" s="19" t="s">
        <v>818</v>
      </c>
      <c r="C40" s="19" t="s">
        <v>819</v>
      </c>
      <c r="D40" s="19">
        <v>20</v>
      </c>
      <c r="E40" s="19" t="s">
        <v>812</v>
      </c>
      <c r="F40" s="19" t="s">
        <v>813</v>
      </c>
      <c r="G40" s="19">
        <v>6.2183544303797396</v>
      </c>
      <c r="H40" s="19">
        <v>3.7</v>
      </c>
    </row>
    <row r="41" spans="1:8">
      <c r="A41" s="19" t="s">
        <v>809</v>
      </c>
      <c r="B41" s="19" t="s">
        <v>818</v>
      </c>
      <c r="C41" s="19" t="s">
        <v>819</v>
      </c>
      <c r="D41" s="19">
        <v>20</v>
      </c>
      <c r="E41" s="19" t="s">
        <v>812</v>
      </c>
      <c r="F41" s="19" t="s">
        <v>814</v>
      </c>
      <c r="G41" s="19">
        <v>1</v>
      </c>
      <c r="H41" s="19">
        <v>4.7</v>
      </c>
    </row>
    <row r="42" spans="1:8">
      <c r="A42" s="19" t="s">
        <v>809</v>
      </c>
      <c r="B42" s="19" t="s">
        <v>818</v>
      </c>
      <c r="C42" s="19" t="s">
        <v>819</v>
      </c>
      <c r="D42" s="19">
        <v>20</v>
      </c>
      <c r="E42" s="19" t="s">
        <v>812</v>
      </c>
      <c r="F42" s="19" t="s">
        <v>814</v>
      </c>
      <c r="G42" s="19">
        <v>1.32911392405063</v>
      </c>
      <c r="H42" s="19">
        <v>5.2</v>
      </c>
    </row>
    <row r="43" spans="1:8">
      <c r="A43" s="19" t="s">
        <v>809</v>
      </c>
      <c r="B43" s="19" t="s">
        <v>818</v>
      </c>
      <c r="C43" s="19" t="s">
        <v>819</v>
      </c>
      <c r="D43" s="19">
        <v>20</v>
      </c>
      <c r="E43" s="19" t="s">
        <v>812</v>
      </c>
      <c r="F43" s="19" t="s">
        <v>814</v>
      </c>
      <c r="G43" s="19">
        <v>3.70253164556962</v>
      </c>
      <c r="H43" s="19">
        <v>2.14</v>
      </c>
    </row>
    <row r="44" spans="1:8">
      <c r="A44" s="19" t="s">
        <v>809</v>
      </c>
      <c r="B44" s="19" t="s">
        <v>818</v>
      </c>
      <c r="C44" s="19" t="s">
        <v>819</v>
      </c>
      <c r="D44" s="19">
        <v>20</v>
      </c>
      <c r="E44" s="19" t="s">
        <v>812</v>
      </c>
      <c r="F44" s="19" t="s">
        <v>814</v>
      </c>
      <c r="G44" s="19">
        <v>6.17088607594936</v>
      </c>
      <c r="H44" s="19">
        <v>3.1765799256505498</v>
      </c>
    </row>
    <row r="45" spans="1:8">
      <c r="A45" s="19" t="s">
        <v>809</v>
      </c>
      <c r="B45" s="19" t="s">
        <v>818</v>
      </c>
      <c r="C45" s="19" t="s">
        <v>819</v>
      </c>
      <c r="D45" s="19">
        <v>20</v>
      </c>
      <c r="E45" s="19" t="s">
        <v>812</v>
      </c>
      <c r="F45" s="19" t="s">
        <v>814</v>
      </c>
      <c r="G45" s="19">
        <v>8.9715189873417707</v>
      </c>
      <c r="H45" s="19">
        <v>4.1942379182156104</v>
      </c>
    </row>
    <row r="46" spans="1:8">
      <c r="A46" s="19" t="s">
        <v>809</v>
      </c>
      <c r="B46" s="19" t="s">
        <v>820</v>
      </c>
      <c r="C46" s="19" t="s">
        <v>821</v>
      </c>
      <c r="D46" s="19">
        <v>20</v>
      </c>
      <c r="E46" s="19" t="s">
        <v>812</v>
      </c>
      <c r="F46" s="19" t="s">
        <v>813</v>
      </c>
      <c r="G46" s="19">
        <v>20</v>
      </c>
      <c r="H46" s="19">
        <v>0.54</v>
      </c>
    </row>
    <row r="47" spans="1:8">
      <c r="A47" s="19" t="s">
        <v>809</v>
      </c>
      <c r="B47" s="19" t="s">
        <v>820</v>
      </c>
      <c r="C47" s="19" t="s">
        <v>821</v>
      </c>
      <c r="D47" s="19">
        <v>20</v>
      </c>
      <c r="E47" s="19" t="s">
        <v>812</v>
      </c>
      <c r="F47" s="19" t="s">
        <v>813</v>
      </c>
      <c r="G47" s="19">
        <v>13.95</v>
      </c>
      <c r="H47" s="19">
        <v>1.08067375886524</v>
      </c>
    </row>
    <row r="48" spans="1:8">
      <c r="A48" s="19" t="s">
        <v>809</v>
      </c>
      <c r="B48" s="19" t="s">
        <v>820</v>
      </c>
      <c r="C48" s="19" t="s">
        <v>821</v>
      </c>
      <c r="D48" s="19">
        <v>20</v>
      </c>
      <c r="E48" s="19" t="s">
        <v>812</v>
      </c>
      <c r="F48" s="19" t="s">
        <v>813</v>
      </c>
      <c r="G48" s="19">
        <v>7.55</v>
      </c>
      <c r="H48" s="19">
        <v>1.6</v>
      </c>
    </row>
    <row r="49" spans="1:8">
      <c r="A49" s="19" t="s">
        <v>809</v>
      </c>
      <c r="B49" s="19" t="s">
        <v>820</v>
      </c>
      <c r="C49" s="19" t="s">
        <v>821</v>
      </c>
      <c r="D49" s="19">
        <v>20</v>
      </c>
      <c r="E49" s="19" t="s">
        <v>812</v>
      </c>
      <c r="F49" s="19" t="s">
        <v>813</v>
      </c>
      <c r="G49" s="19">
        <v>4.3</v>
      </c>
      <c r="H49" s="19">
        <v>2.1312056737588598</v>
      </c>
    </row>
    <row r="50" spans="1:8">
      <c r="A50" s="19" t="s">
        <v>809</v>
      </c>
      <c r="B50" s="19" t="s">
        <v>820</v>
      </c>
      <c r="C50" s="19" t="s">
        <v>821</v>
      </c>
      <c r="D50" s="19">
        <v>20</v>
      </c>
      <c r="E50" s="19" t="s">
        <v>812</v>
      </c>
      <c r="F50" s="19" t="s">
        <v>813</v>
      </c>
      <c r="G50" s="19">
        <v>3.2980332829046901</v>
      </c>
      <c r="H50" s="19">
        <v>2.65868794326241</v>
      </c>
    </row>
    <row r="51" spans="1:8">
      <c r="A51" s="19" t="s">
        <v>809</v>
      </c>
      <c r="B51" s="19" t="s">
        <v>820</v>
      </c>
      <c r="C51" s="19" t="s">
        <v>821</v>
      </c>
      <c r="D51" s="19">
        <v>20</v>
      </c>
      <c r="E51" s="19" t="s">
        <v>812</v>
      </c>
      <c r="F51" s="19" t="s">
        <v>813</v>
      </c>
      <c r="G51" s="19">
        <v>6.05</v>
      </c>
      <c r="H51" s="19">
        <v>3.6870567375886498</v>
      </c>
    </row>
    <row r="52" spans="1:8">
      <c r="A52" s="19" t="s">
        <v>809</v>
      </c>
      <c r="B52" s="19" t="s">
        <v>820</v>
      </c>
      <c r="C52" s="19" t="s">
        <v>821</v>
      </c>
      <c r="D52" s="19">
        <v>20</v>
      </c>
      <c r="E52" s="19" t="s">
        <v>812</v>
      </c>
      <c r="F52" s="19" t="s">
        <v>814</v>
      </c>
      <c r="G52" s="19">
        <v>0.85</v>
      </c>
      <c r="H52" s="19">
        <v>3.6826241134751698</v>
      </c>
    </row>
    <row r="53" spans="1:8">
      <c r="A53" s="19" t="s">
        <v>809</v>
      </c>
      <c r="B53" s="19" t="s">
        <v>820</v>
      </c>
      <c r="C53" s="19" t="s">
        <v>821</v>
      </c>
      <c r="D53" s="19">
        <v>20</v>
      </c>
      <c r="E53" s="19" t="s">
        <v>812</v>
      </c>
      <c r="F53" s="19" t="s">
        <v>814</v>
      </c>
      <c r="G53" s="19">
        <v>1.35</v>
      </c>
      <c r="H53" s="19">
        <v>4.19237588652482</v>
      </c>
    </row>
    <row r="54" spans="1:8">
      <c r="A54" s="19" t="s">
        <v>809</v>
      </c>
      <c r="B54" s="19" t="s">
        <v>820</v>
      </c>
      <c r="C54" s="19" t="s">
        <v>821</v>
      </c>
      <c r="D54" s="19">
        <v>20</v>
      </c>
      <c r="E54" s="19" t="s">
        <v>812</v>
      </c>
      <c r="F54" s="19" t="s">
        <v>814</v>
      </c>
      <c r="G54" s="19">
        <v>1.85</v>
      </c>
      <c r="H54" s="19">
        <v>4.6932624113475097</v>
      </c>
    </row>
    <row r="55" spans="1:8">
      <c r="A55" s="19" t="s">
        <v>809</v>
      </c>
      <c r="B55" s="19" t="s">
        <v>820</v>
      </c>
      <c r="C55" s="19" t="s">
        <v>821</v>
      </c>
      <c r="D55" s="19">
        <v>20</v>
      </c>
      <c r="E55" s="19" t="s">
        <v>812</v>
      </c>
      <c r="F55" s="19" t="s">
        <v>814</v>
      </c>
      <c r="G55" s="19">
        <v>2.85</v>
      </c>
      <c r="H55" s="19">
        <v>5.1985815602836798</v>
      </c>
    </row>
    <row r="56" spans="1:8">
      <c r="A56" s="19" t="s">
        <v>809</v>
      </c>
      <c r="B56" s="19" t="s">
        <v>820</v>
      </c>
      <c r="C56" s="19" t="s">
        <v>821</v>
      </c>
      <c r="D56" s="19">
        <v>20</v>
      </c>
      <c r="E56" s="19" t="s">
        <v>812</v>
      </c>
      <c r="F56" s="19" t="s">
        <v>814</v>
      </c>
      <c r="G56" s="19">
        <v>3.7</v>
      </c>
      <c r="H56" s="19">
        <v>3.1749999999999998</v>
      </c>
    </row>
    <row r="57" spans="1:8">
      <c r="A57" s="19" t="s">
        <v>809</v>
      </c>
      <c r="B57" s="19" t="s">
        <v>820</v>
      </c>
      <c r="C57" s="19" t="s">
        <v>821</v>
      </c>
      <c r="D57" s="19">
        <v>20</v>
      </c>
      <c r="E57" s="19" t="s">
        <v>812</v>
      </c>
      <c r="F57" s="19" t="s">
        <v>814</v>
      </c>
      <c r="G57" s="19">
        <v>8.65</v>
      </c>
      <c r="H57" s="19">
        <v>4.19237588652482</v>
      </c>
    </row>
    <row r="58" spans="1:8">
      <c r="A58" s="19" t="s">
        <v>809</v>
      </c>
      <c r="B58" s="19" t="s">
        <v>822</v>
      </c>
      <c r="C58" s="19" t="s">
        <v>823</v>
      </c>
      <c r="D58" s="19">
        <v>21</v>
      </c>
      <c r="E58" s="19" t="s">
        <v>812</v>
      </c>
      <c r="F58" s="19" t="s">
        <v>813</v>
      </c>
      <c r="G58" s="19">
        <v>21</v>
      </c>
      <c r="H58" s="19">
        <v>0.54155124653739595</v>
      </c>
    </row>
    <row r="59" spans="1:8">
      <c r="A59" s="19" t="s">
        <v>809</v>
      </c>
      <c r="B59" s="19" t="s">
        <v>822</v>
      </c>
      <c r="C59" s="19" t="s">
        <v>823</v>
      </c>
      <c r="D59" s="19">
        <v>21</v>
      </c>
      <c r="E59" s="19" t="s">
        <v>812</v>
      </c>
      <c r="F59" s="19" t="s">
        <v>813</v>
      </c>
      <c r="G59" s="19">
        <v>6.7</v>
      </c>
      <c r="H59" s="19">
        <v>1.0817174515235399</v>
      </c>
    </row>
    <row r="60" spans="1:8">
      <c r="A60" s="19" t="s">
        <v>809</v>
      </c>
      <c r="B60" s="19" t="s">
        <v>822</v>
      </c>
      <c r="C60" s="19" t="s">
        <v>823</v>
      </c>
      <c r="D60" s="19">
        <v>21</v>
      </c>
      <c r="E60" s="19" t="s">
        <v>812</v>
      </c>
      <c r="F60" s="19" t="s">
        <v>813</v>
      </c>
      <c r="G60" s="19">
        <v>4.3642072213500702</v>
      </c>
      <c r="H60" s="19">
        <v>1.61265004616805</v>
      </c>
    </row>
    <row r="61" spans="1:8">
      <c r="A61" s="19" t="s">
        <v>809</v>
      </c>
      <c r="B61" s="19" t="s">
        <v>822</v>
      </c>
      <c r="C61" s="19" t="s">
        <v>823</v>
      </c>
      <c r="D61" s="19">
        <v>21</v>
      </c>
      <c r="E61" s="19" t="s">
        <v>812</v>
      </c>
      <c r="F61" s="19" t="s">
        <v>813</v>
      </c>
      <c r="G61" s="19">
        <v>1.9780219780219701</v>
      </c>
      <c r="H61" s="19">
        <v>2.1343490304709101</v>
      </c>
    </row>
    <row r="62" spans="1:8">
      <c r="A62" s="19" t="s">
        <v>809</v>
      </c>
      <c r="B62" s="19" t="s">
        <v>822</v>
      </c>
      <c r="C62" s="19" t="s">
        <v>823</v>
      </c>
      <c r="D62" s="19">
        <v>21</v>
      </c>
      <c r="E62" s="19" t="s">
        <v>812</v>
      </c>
      <c r="F62" s="19" t="s">
        <v>813</v>
      </c>
      <c r="G62" s="19">
        <v>0.97331240188382995</v>
      </c>
      <c r="H62" s="19">
        <v>2.6560480147737699</v>
      </c>
    </row>
    <row r="63" spans="1:8">
      <c r="A63" s="19" t="s">
        <v>809</v>
      </c>
      <c r="B63" s="19" t="s">
        <v>822</v>
      </c>
      <c r="C63" s="19" t="s">
        <v>823</v>
      </c>
      <c r="D63" s="19">
        <v>21</v>
      </c>
      <c r="E63" s="19" t="s">
        <v>812</v>
      </c>
      <c r="F63" s="19" t="s">
        <v>814</v>
      </c>
      <c r="G63" s="19">
        <v>0.91051805337519598</v>
      </c>
      <c r="H63" s="19">
        <v>3.1777469990766298</v>
      </c>
    </row>
    <row r="64" spans="1:8">
      <c r="A64" s="19" t="s">
        <v>809</v>
      </c>
      <c r="B64" s="19" t="s">
        <v>822</v>
      </c>
      <c r="C64" s="19" t="s">
        <v>823</v>
      </c>
      <c r="D64" s="19">
        <v>21</v>
      </c>
      <c r="E64" s="19" t="s">
        <v>812</v>
      </c>
      <c r="F64" s="19" t="s">
        <v>814</v>
      </c>
      <c r="G64" s="19">
        <v>1.8838304552590199</v>
      </c>
      <c r="H64" s="19">
        <v>3.6902123730378502</v>
      </c>
    </row>
    <row r="65" spans="1:8">
      <c r="A65" s="19" t="s">
        <v>809</v>
      </c>
      <c r="B65" s="19" t="s">
        <v>822</v>
      </c>
      <c r="C65" s="19" t="s">
        <v>823</v>
      </c>
      <c r="D65" s="19">
        <v>21</v>
      </c>
      <c r="E65" s="19" t="s">
        <v>812</v>
      </c>
      <c r="F65" s="19" t="s">
        <v>814</v>
      </c>
      <c r="G65" s="19">
        <v>2.8257456828885399</v>
      </c>
      <c r="H65" s="19">
        <v>4.19806094182825</v>
      </c>
    </row>
    <row r="66" spans="1:8">
      <c r="A66" s="19" t="s">
        <v>809</v>
      </c>
      <c r="B66" s="19" t="s">
        <v>822</v>
      </c>
      <c r="C66" s="19" t="s">
        <v>823</v>
      </c>
      <c r="D66" s="19">
        <v>21</v>
      </c>
      <c r="E66" s="19" t="s">
        <v>812</v>
      </c>
      <c r="F66" s="19" t="s">
        <v>814</v>
      </c>
      <c r="G66" s="19">
        <v>3.7990580847723701</v>
      </c>
      <c r="H66" s="19">
        <v>4.6966759002770004</v>
      </c>
    </row>
    <row r="67" spans="1:8">
      <c r="A67" s="19" t="s">
        <v>809</v>
      </c>
      <c r="B67" s="19" t="s">
        <v>822</v>
      </c>
      <c r="C67" s="19" t="s">
        <v>823</v>
      </c>
      <c r="D67" s="19">
        <v>21</v>
      </c>
      <c r="E67" s="19" t="s">
        <v>812</v>
      </c>
      <c r="F67" s="19" t="s">
        <v>814</v>
      </c>
      <c r="G67" s="19">
        <v>9.8000000000000007</v>
      </c>
      <c r="H67" s="19">
        <v>5.19990766389658</v>
      </c>
    </row>
    <row r="68" spans="1:8">
      <c r="A68" s="19" t="s">
        <v>809</v>
      </c>
      <c r="B68" s="19" t="s">
        <v>824</v>
      </c>
      <c r="C68" s="19" t="s">
        <v>825</v>
      </c>
      <c r="D68" s="19">
        <v>21</v>
      </c>
      <c r="E68" s="19" t="s">
        <v>812</v>
      </c>
      <c r="F68" s="19" t="s">
        <v>813</v>
      </c>
      <c r="G68" s="19">
        <v>21</v>
      </c>
      <c r="H68" s="19">
        <v>0.53500000000000003</v>
      </c>
    </row>
    <row r="69" spans="1:8">
      <c r="A69" s="19" t="s">
        <v>809</v>
      </c>
      <c r="B69" s="19" t="s">
        <v>824</v>
      </c>
      <c r="C69" s="19" t="s">
        <v>825</v>
      </c>
      <c r="D69" s="19">
        <v>21</v>
      </c>
      <c r="E69" s="19" t="s">
        <v>812</v>
      </c>
      <c r="F69" s="19" t="s">
        <v>813</v>
      </c>
      <c r="G69" s="19">
        <v>19.05</v>
      </c>
      <c r="H69" s="19">
        <v>1.075</v>
      </c>
    </row>
    <row r="70" spans="1:8">
      <c r="A70" s="19" t="s">
        <v>809</v>
      </c>
      <c r="B70" s="19" t="s">
        <v>824</v>
      </c>
      <c r="C70" s="19" t="s">
        <v>825</v>
      </c>
      <c r="D70" s="19">
        <v>21</v>
      </c>
      <c r="E70" s="19" t="s">
        <v>812</v>
      </c>
      <c r="F70" s="19" t="s">
        <v>813</v>
      </c>
      <c r="G70" s="19">
        <v>11.1</v>
      </c>
      <c r="H70" s="19">
        <v>1.6</v>
      </c>
    </row>
    <row r="71" spans="1:8">
      <c r="A71" s="19" t="s">
        <v>809</v>
      </c>
      <c r="B71" s="19" t="s">
        <v>824</v>
      </c>
      <c r="C71" s="19" t="s">
        <v>825</v>
      </c>
      <c r="D71" s="19">
        <v>21</v>
      </c>
      <c r="E71" s="19" t="s">
        <v>812</v>
      </c>
      <c r="F71" s="19" t="s">
        <v>813</v>
      </c>
      <c r="G71" s="19">
        <v>2.4500000000000002</v>
      </c>
      <c r="H71" s="19">
        <v>2.6494042163153</v>
      </c>
    </row>
    <row r="72" spans="1:8">
      <c r="A72" s="19" t="s">
        <v>809</v>
      </c>
      <c r="B72" s="19" t="s">
        <v>824</v>
      </c>
      <c r="C72" s="19" t="s">
        <v>825</v>
      </c>
      <c r="D72" s="19">
        <v>21</v>
      </c>
      <c r="E72" s="19" t="s">
        <v>812</v>
      </c>
      <c r="F72" s="19" t="s">
        <v>814</v>
      </c>
      <c r="G72" s="19">
        <v>0.95</v>
      </c>
      <c r="H72" s="19">
        <v>2.65</v>
      </c>
    </row>
    <row r="73" spans="1:8">
      <c r="A73" s="19" t="s">
        <v>809</v>
      </c>
      <c r="B73" s="19" t="s">
        <v>824</v>
      </c>
      <c r="C73" s="19" t="s">
        <v>825</v>
      </c>
      <c r="D73" s="19">
        <v>21</v>
      </c>
      <c r="E73" s="19" t="s">
        <v>812</v>
      </c>
      <c r="F73" s="19" t="s">
        <v>814</v>
      </c>
      <c r="G73" s="19">
        <v>1.4</v>
      </c>
      <c r="H73" s="19">
        <v>3.1718606779999998</v>
      </c>
    </row>
    <row r="74" spans="1:8">
      <c r="A74" s="19" t="s">
        <v>809</v>
      </c>
      <c r="B74" s="19" t="s">
        <v>824</v>
      </c>
      <c r="C74" s="19" t="s">
        <v>825</v>
      </c>
      <c r="D74" s="19">
        <v>21</v>
      </c>
      <c r="E74" s="19" t="s">
        <v>812</v>
      </c>
      <c r="F74" s="19" t="s">
        <v>814</v>
      </c>
      <c r="G74" s="19">
        <v>2.8125</v>
      </c>
      <c r="H74" s="19">
        <v>2.13</v>
      </c>
    </row>
    <row r="75" spans="1:8">
      <c r="A75" s="19" t="s">
        <v>809</v>
      </c>
      <c r="B75" s="19" t="s">
        <v>824</v>
      </c>
      <c r="C75" s="19" t="s">
        <v>825</v>
      </c>
      <c r="D75" s="19">
        <v>21</v>
      </c>
      <c r="E75" s="19" t="s">
        <v>812</v>
      </c>
      <c r="F75" s="19" t="s">
        <v>814</v>
      </c>
      <c r="G75" s="19">
        <v>7.1</v>
      </c>
      <c r="H75" s="19">
        <v>3.17186067827681</v>
      </c>
    </row>
    <row r="76" spans="1:8">
      <c r="A76" s="19" t="s">
        <v>809</v>
      </c>
      <c r="B76" s="19" t="s">
        <v>826</v>
      </c>
      <c r="C76" s="19" t="s">
        <v>810</v>
      </c>
      <c r="D76" s="19">
        <v>22</v>
      </c>
      <c r="E76" s="19" t="s">
        <v>812</v>
      </c>
      <c r="F76" s="19" t="s">
        <v>813</v>
      </c>
      <c r="G76" s="19">
        <v>22</v>
      </c>
      <c r="H76" s="19">
        <v>0.54464285714285698</v>
      </c>
    </row>
    <row r="77" spans="1:8">
      <c r="A77" s="19" t="s">
        <v>809</v>
      </c>
      <c r="B77" s="19" t="s">
        <v>826</v>
      </c>
      <c r="C77" s="19" t="s">
        <v>810</v>
      </c>
      <c r="D77" s="19">
        <v>22</v>
      </c>
      <c r="E77" s="19" t="s">
        <v>812</v>
      </c>
      <c r="F77" s="19" t="s">
        <v>813</v>
      </c>
      <c r="G77" s="19">
        <v>9.75</v>
      </c>
      <c r="H77" s="19">
        <v>1.0803571428571399</v>
      </c>
    </row>
    <row r="78" spans="1:8">
      <c r="A78" s="19" t="s">
        <v>809</v>
      </c>
      <c r="B78" s="19" t="s">
        <v>826</v>
      </c>
      <c r="C78" s="19" t="s">
        <v>810</v>
      </c>
      <c r="D78" s="19">
        <v>22</v>
      </c>
      <c r="E78" s="19" t="s">
        <v>812</v>
      </c>
      <c r="F78" s="19" t="s">
        <v>813</v>
      </c>
      <c r="G78" s="19">
        <v>4.3499999999999996</v>
      </c>
      <c r="H78" s="19">
        <v>1.6026785714285701</v>
      </c>
    </row>
    <row r="79" spans="1:8">
      <c r="A79" s="19" t="s">
        <v>809</v>
      </c>
      <c r="B79" s="19" t="s">
        <v>826</v>
      </c>
      <c r="C79" s="19" t="s">
        <v>810</v>
      </c>
      <c r="D79" s="19">
        <v>22</v>
      </c>
      <c r="E79" s="19" t="s">
        <v>812</v>
      </c>
      <c r="F79" s="19" t="s">
        <v>813</v>
      </c>
      <c r="G79" s="19">
        <v>1.925</v>
      </c>
      <c r="H79" s="19">
        <v>2.1294642857142798</v>
      </c>
    </row>
    <row r="80" spans="1:8">
      <c r="A80" s="19" t="s">
        <v>809</v>
      </c>
      <c r="B80" s="19" t="s">
        <v>826</v>
      </c>
      <c r="C80" s="19" t="s">
        <v>810</v>
      </c>
      <c r="D80" s="19">
        <v>22</v>
      </c>
      <c r="E80" s="19" t="s">
        <v>812</v>
      </c>
      <c r="F80" s="19" t="s">
        <v>813</v>
      </c>
      <c r="G80" s="19">
        <v>1.45</v>
      </c>
      <c r="H80" s="19">
        <v>2.6428571428571401</v>
      </c>
    </row>
    <row r="81" spans="1:8">
      <c r="A81" s="19" t="s">
        <v>809</v>
      </c>
      <c r="B81" s="19" t="s">
        <v>826</v>
      </c>
      <c r="C81" s="19" t="s">
        <v>810</v>
      </c>
      <c r="D81" s="19">
        <v>22</v>
      </c>
      <c r="E81" s="19" t="s">
        <v>812</v>
      </c>
      <c r="F81" s="19" t="s">
        <v>814</v>
      </c>
      <c r="G81" s="19">
        <v>0.85496183206106802</v>
      </c>
      <c r="H81" s="19">
        <v>3.1749999999999998</v>
      </c>
    </row>
    <row r="82" spans="1:8">
      <c r="A82" s="19" t="s">
        <v>809</v>
      </c>
      <c r="B82" s="19" t="s">
        <v>826</v>
      </c>
      <c r="C82" s="19" t="s">
        <v>810</v>
      </c>
      <c r="D82" s="19">
        <v>22</v>
      </c>
      <c r="E82" s="19" t="s">
        <v>812</v>
      </c>
      <c r="F82" s="19" t="s">
        <v>814</v>
      </c>
      <c r="G82" s="19">
        <v>1.89312977099236</v>
      </c>
      <c r="H82" s="19">
        <v>3.6850000000000001</v>
      </c>
    </row>
    <row r="83" spans="1:8">
      <c r="A83" s="19" t="s">
        <v>809</v>
      </c>
      <c r="B83" s="19" t="s">
        <v>826</v>
      </c>
      <c r="C83" s="19" t="s">
        <v>810</v>
      </c>
      <c r="D83" s="19">
        <v>22</v>
      </c>
      <c r="E83" s="19" t="s">
        <v>812</v>
      </c>
      <c r="F83" s="19" t="s">
        <v>814</v>
      </c>
      <c r="G83" s="19">
        <v>3.2977099236641201</v>
      </c>
      <c r="H83" s="19">
        <v>4.1964285714285703</v>
      </c>
    </row>
    <row r="84" spans="1:8">
      <c r="A84" s="19" t="s">
        <v>809</v>
      </c>
      <c r="B84" s="19" t="s">
        <v>826</v>
      </c>
      <c r="C84" s="19" t="s">
        <v>810</v>
      </c>
      <c r="D84" s="19">
        <v>22</v>
      </c>
      <c r="E84" s="19" t="s">
        <v>812</v>
      </c>
      <c r="F84" s="19" t="s">
        <v>814</v>
      </c>
      <c r="G84" s="19">
        <v>4.8244274809160297</v>
      </c>
      <c r="H84" s="19">
        <v>4.6950000000000003</v>
      </c>
    </row>
    <row r="85" spans="1:8">
      <c r="A85" s="19" t="s">
        <v>809</v>
      </c>
      <c r="B85" s="19" t="s">
        <v>826</v>
      </c>
      <c r="C85" s="19" t="s">
        <v>810</v>
      </c>
      <c r="D85" s="19">
        <v>22</v>
      </c>
      <c r="E85" s="19" t="s">
        <v>812</v>
      </c>
      <c r="F85" s="19" t="s">
        <v>814</v>
      </c>
      <c r="G85" s="19">
        <v>15.5114503816793</v>
      </c>
      <c r="H85" s="19">
        <v>5.2050000000000001</v>
      </c>
    </row>
    <row r="86" spans="1:8">
      <c r="A86" s="19" t="s">
        <v>809</v>
      </c>
      <c r="B86" s="19" t="s">
        <v>827</v>
      </c>
      <c r="C86" s="19" t="s">
        <v>828</v>
      </c>
      <c r="D86" s="19">
        <v>22</v>
      </c>
      <c r="E86" s="19" t="s">
        <v>812</v>
      </c>
      <c r="F86" s="19" t="s">
        <v>813</v>
      </c>
      <c r="G86" s="19">
        <v>22</v>
      </c>
      <c r="H86" s="19">
        <v>0.540946314831665</v>
      </c>
    </row>
    <row r="87" spans="1:8">
      <c r="A87" s="19" t="s">
        <v>809</v>
      </c>
      <c r="B87" s="19" t="s">
        <v>827</v>
      </c>
      <c r="C87" s="19" t="s">
        <v>828</v>
      </c>
      <c r="D87" s="19">
        <v>22</v>
      </c>
      <c r="E87" s="19" t="s">
        <v>812</v>
      </c>
      <c r="F87" s="19" t="s">
        <v>813</v>
      </c>
      <c r="G87" s="19">
        <v>18.325581395348799</v>
      </c>
      <c r="H87" s="19">
        <v>1.07779799818016</v>
      </c>
    </row>
    <row r="88" spans="1:8">
      <c r="A88" s="19" t="s">
        <v>809</v>
      </c>
      <c r="B88" s="19" t="s">
        <v>827</v>
      </c>
      <c r="C88" s="19" t="s">
        <v>828</v>
      </c>
      <c r="D88" s="19">
        <v>22</v>
      </c>
      <c r="E88" s="19" t="s">
        <v>812</v>
      </c>
      <c r="F88" s="19" t="s">
        <v>813</v>
      </c>
      <c r="G88" s="19">
        <v>11.968992248061999</v>
      </c>
      <c r="H88" s="19">
        <v>1.60555050045495</v>
      </c>
    </row>
    <row r="89" spans="1:8">
      <c r="A89" s="19" t="s">
        <v>809</v>
      </c>
      <c r="B89" s="19" t="s">
        <v>827</v>
      </c>
      <c r="C89" s="19" t="s">
        <v>828</v>
      </c>
      <c r="D89" s="19">
        <v>22</v>
      </c>
      <c r="E89" s="19" t="s">
        <v>812</v>
      </c>
      <c r="F89" s="19" t="s">
        <v>813</v>
      </c>
      <c r="G89" s="19">
        <v>7.8449612403100701</v>
      </c>
      <c r="H89" s="19">
        <v>2.1242038216560499</v>
      </c>
    </row>
    <row r="90" spans="1:8">
      <c r="A90" s="19" t="s">
        <v>809</v>
      </c>
      <c r="B90" s="19" t="s">
        <v>827</v>
      </c>
      <c r="C90" s="19" t="s">
        <v>828</v>
      </c>
      <c r="D90" s="19">
        <v>22</v>
      </c>
      <c r="E90" s="19" t="s">
        <v>812</v>
      </c>
      <c r="F90" s="19" t="s">
        <v>813</v>
      </c>
      <c r="G90" s="19">
        <v>4.8372093023255802</v>
      </c>
      <c r="H90" s="19">
        <v>4.1897179253867103</v>
      </c>
    </row>
    <row r="91" spans="1:8">
      <c r="A91" s="19" t="s">
        <v>809</v>
      </c>
      <c r="B91" s="19" t="s">
        <v>827</v>
      </c>
      <c r="C91" s="19" t="s">
        <v>828</v>
      </c>
      <c r="D91" s="19">
        <v>22</v>
      </c>
      <c r="E91" s="19" t="s">
        <v>812</v>
      </c>
      <c r="F91" s="19" t="s">
        <v>814</v>
      </c>
      <c r="G91" s="19">
        <v>0.89922480620154999</v>
      </c>
      <c r="H91" s="19">
        <v>2.1151046405823402</v>
      </c>
    </row>
    <row r="92" spans="1:8">
      <c r="A92" s="19" t="s">
        <v>809</v>
      </c>
      <c r="B92" s="19" t="s">
        <v>827</v>
      </c>
      <c r="C92" s="19" t="s">
        <v>828</v>
      </c>
      <c r="D92" s="19">
        <v>22</v>
      </c>
      <c r="E92" s="19" t="s">
        <v>812</v>
      </c>
      <c r="F92" s="19" t="s">
        <v>814</v>
      </c>
      <c r="G92" s="19">
        <v>1.86046511627906</v>
      </c>
      <c r="H92" s="19">
        <v>2.6428571428571401</v>
      </c>
    </row>
    <row r="93" spans="1:8">
      <c r="A93" s="19" t="s">
        <v>809</v>
      </c>
      <c r="B93" s="19" t="s">
        <v>827</v>
      </c>
      <c r="C93" s="19" t="s">
        <v>828</v>
      </c>
      <c r="D93" s="19">
        <v>22</v>
      </c>
      <c r="E93" s="19" t="s">
        <v>812</v>
      </c>
      <c r="F93" s="19" t="s">
        <v>814</v>
      </c>
      <c r="G93" s="19">
        <v>4.3720930232558102</v>
      </c>
      <c r="H93" s="19">
        <v>3.1706096451319299</v>
      </c>
    </row>
    <row r="94" spans="1:8">
      <c r="A94" s="19" t="s">
        <v>809</v>
      </c>
      <c r="B94" s="19" t="s">
        <v>827</v>
      </c>
      <c r="C94" s="19" t="s">
        <v>828</v>
      </c>
      <c r="D94" s="19">
        <v>22</v>
      </c>
      <c r="E94" s="19" t="s">
        <v>812</v>
      </c>
      <c r="F94" s="19" t="s">
        <v>814</v>
      </c>
      <c r="G94" s="19">
        <v>14.4806201550387</v>
      </c>
      <c r="H94" s="19">
        <v>3.6892629663330299</v>
      </c>
    </row>
    <row r="95" spans="1:8">
      <c r="A95" s="19" t="s">
        <v>809</v>
      </c>
      <c r="B95" s="19" t="s">
        <v>827</v>
      </c>
      <c r="C95" s="19" t="s">
        <v>828</v>
      </c>
      <c r="D95" s="19">
        <v>22</v>
      </c>
      <c r="E95" s="19" t="s">
        <v>812</v>
      </c>
      <c r="F95" s="19" t="s">
        <v>814</v>
      </c>
      <c r="G95" s="19">
        <v>3.0077519379844899</v>
      </c>
      <c r="H95" s="19">
        <v>4.69472247497725</v>
      </c>
    </row>
    <row r="96" spans="1:8">
      <c r="A96" s="19" t="s">
        <v>809</v>
      </c>
      <c r="B96" s="19" t="s">
        <v>829</v>
      </c>
      <c r="C96" s="19" t="s">
        <v>830</v>
      </c>
      <c r="D96" s="19">
        <v>23</v>
      </c>
      <c r="E96" s="19" t="s">
        <v>812</v>
      </c>
      <c r="F96" s="19" t="s">
        <v>813</v>
      </c>
      <c r="G96" s="19">
        <v>23</v>
      </c>
      <c r="H96" s="19">
        <v>0.53623188405797095</v>
      </c>
    </row>
    <row r="97" spans="1:8">
      <c r="A97" s="19" t="s">
        <v>809</v>
      </c>
      <c r="B97" s="19" t="s">
        <v>829</v>
      </c>
      <c r="C97" s="19" t="s">
        <v>830</v>
      </c>
      <c r="D97" s="19">
        <v>23</v>
      </c>
      <c r="E97" s="19" t="s">
        <v>812</v>
      </c>
      <c r="F97" s="19" t="s">
        <v>813</v>
      </c>
      <c r="G97" s="19">
        <v>15.7</v>
      </c>
      <c r="H97" s="19">
        <v>1.07518115942029</v>
      </c>
    </row>
    <row r="98" spans="1:8">
      <c r="A98" s="19" t="s">
        <v>809</v>
      </c>
      <c r="B98" s="19" t="s">
        <v>829</v>
      </c>
      <c r="C98" s="19" t="s">
        <v>830</v>
      </c>
      <c r="D98" s="19">
        <v>23</v>
      </c>
      <c r="E98" s="19" t="s">
        <v>812</v>
      </c>
      <c r="F98" s="19" t="s">
        <v>813</v>
      </c>
      <c r="G98" s="19">
        <v>10.1078582434514</v>
      </c>
      <c r="H98" s="19">
        <v>1.60507246376811</v>
      </c>
    </row>
    <row r="99" spans="1:8">
      <c r="A99" s="19" t="s">
        <v>809</v>
      </c>
      <c r="B99" s="19" t="s">
        <v>829</v>
      </c>
      <c r="C99" s="19" t="s">
        <v>830</v>
      </c>
      <c r="D99" s="19">
        <v>23</v>
      </c>
      <c r="E99" s="19" t="s">
        <v>812</v>
      </c>
      <c r="F99" s="19" t="s">
        <v>813</v>
      </c>
      <c r="G99" s="19">
        <v>3.45</v>
      </c>
      <c r="H99" s="19">
        <v>2.13043478260869</v>
      </c>
    </row>
    <row r="100" spans="1:8">
      <c r="A100" s="19" t="s">
        <v>809</v>
      </c>
      <c r="B100" s="19" t="s">
        <v>829</v>
      </c>
      <c r="C100" s="19" t="s">
        <v>830</v>
      </c>
      <c r="D100" s="19">
        <v>23</v>
      </c>
      <c r="E100" s="19" t="s">
        <v>812</v>
      </c>
      <c r="F100" s="19" t="s">
        <v>813</v>
      </c>
      <c r="G100" s="19">
        <v>1.95</v>
      </c>
      <c r="H100" s="19">
        <v>2.65</v>
      </c>
    </row>
    <row r="101" spans="1:8">
      <c r="A101" s="19" t="s">
        <v>809</v>
      </c>
      <c r="B101" s="19" t="s">
        <v>829</v>
      </c>
      <c r="C101" s="19" t="s">
        <v>830</v>
      </c>
      <c r="D101" s="19">
        <v>23</v>
      </c>
      <c r="E101" s="19" t="s">
        <v>812</v>
      </c>
      <c r="F101" s="19" t="s">
        <v>814</v>
      </c>
      <c r="G101" s="19">
        <v>0.893682588597842</v>
      </c>
      <c r="H101" s="19">
        <v>3.1721014492753601</v>
      </c>
    </row>
    <row r="102" spans="1:8">
      <c r="A102" s="19" t="s">
        <v>809</v>
      </c>
      <c r="B102" s="19" t="s">
        <v>829</v>
      </c>
      <c r="C102" s="19" t="s">
        <v>830</v>
      </c>
      <c r="D102" s="19">
        <v>23</v>
      </c>
      <c r="E102" s="19" t="s">
        <v>812</v>
      </c>
      <c r="F102" s="19" t="s">
        <v>814</v>
      </c>
      <c r="G102" s="19">
        <v>1.8798151001540799</v>
      </c>
      <c r="H102" s="19">
        <v>3.6884057971014399</v>
      </c>
    </row>
    <row r="103" spans="1:8">
      <c r="A103" s="19" t="s">
        <v>809</v>
      </c>
      <c r="B103" s="19" t="s">
        <v>829</v>
      </c>
      <c r="C103" s="19" t="s">
        <v>830</v>
      </c>
      <c r="D103" s="19">
        <v>23</v>
      </c>
      <c r="E103" s="19" t="s">
        <v>812</v>
      </c>
      <c r="F103" s="19" t="s">
        <v>814</v>
      </c>
      <c r="G103" s="19">
        <v>2.86594761171032</v>
      </c>
      <c r="H103" s="19">
        <v>4.7</v>
      </c>
    </row>
    <row r="104" spans="1:8">
      <c r="A104" s="19" t="s">
        <v>809</v>
      </c>
      <c r="B104" s="19" t="s">
        <v>829</v>
      </c>
      <c r="C104" s="19" t="s">
        <v>830</v>
      </c>
      <c r="D104" s="19">
        <v>23</v>
      </c>
      <c r="E104" s="19" t="s">
        <v>812</v>
      </c>
      <c r="F104" s="19" t="s">
        <v>814</v>
      </c>
      <c r="G104" s="19">
        <v>3.2973805855161702</v>
      </c>
      <c r="H104" s="19">
        <v>5.2050000000000001</v>
      </c>
    </row>
    <row r="105" spans="1:8">
      <c r="A105" s="19" t="s">
        <v>809</v>
      </c>
      <c r="B105" s="19" t="s">
        <v>829</v>
      </c>
      <c r="C105" s="19" t="s">
        <v>830</v>
      </c>
      <c r="D105" s="19">
        <v>23</v>
      </c>
      <c r="E105" s="19" t="s">
        <v>812</v>
      </c>
      <c r="F105" s="19" t="s">
        <v>814</v>
      </c>
      <c r="G105" s="19">
        <v>4.77657935285053</v>
      </c>
      <c r="H105" s="19">
        <v>3.1749999999999998</v>
      </c>
    </row>
    <row r="106" spans="1:8">
      <c r="A106" s="19" t="s">
        <v>809</v>
      </c>
      <c r="B106" s="19" t="s">
        <v>831</v>
      </c>
      <c r="C106" s="19" t="s">
        <v>832</v>
      </c>
      <c r="D106" s="19">
        <v>23</v>
      </c>
      <c r="E106" s="19" t="s">
        <v>812</v>
      </c>
      <c r="F106" s="19" t="s">
        <v>813</v>
      </c>
      <c r="G106" s="19">
        <v>23</v>
      </c>
      <c r="H106" s="19">
        <v>0.54</v>
      </c>
    </row>
    <row r="107" spans="1:8">
      <c r="A107" s="19" t="s">
        <v>809</v>
      </c>
      <c r="B107" s="19" t="s">
        <v>831</v>
      </c>
      <c r="C107" s="19" t="s">
        <v>832</v>
      </c>
      <c r="D107" s="19">
        <v>23</v>
      </c>
      <c r="E107" s="19" t="s">
        <v>812</v>
      </c>
      <c r="F107" s="19" t="s">
        <v>813</v>
      </c>
      <c r="G107" s="19">
        <v>15.395</v>
      </c>
      <c r="H107" s="19">
        <v>1.08</v>
      </c>
    </row>
    <row r="108" spans="1:8">
      <c r="A108" s="19" t="s">
        <v>809</v>
      </c>
      <c r="B108" s="19" t="s">
        <v>831</v>
      </c>
      <c r="C108" s="19" t="s">
        <v>832</v>
      </c>
      <c r="D108" s="19">
        <v>23</v>
      </c>
      <c r="E108" s="19" t="s">
        <v>812</v>
      </c>
      <c r="F108" s="19" t="s">
        <v>813</v>
      </c>
      <c r="G108" s="19">
        <v>5.4003139717425404</v>
      </c>
      <c r="H108" s="19">
        <v>1.61</v>
      </c>
    </row>
    <row r="109" spans="1:8">
      <c r="A109" s="19" t="s">
        <v>809</v>
      </c>
      <c r="B109" s="19" t="s">
        <v>831</v>
      </c>
      <c r="C109" s="19" t="s">
        <v>832</v>
      </c>
      <c r="D109" s="19">
        <v>23</v>
      </c>
      <c r="E109" s="19" t="s">
        <v>812</v>
      </c>
      <c r="F109" s="19" t="s">
        <v>813</v>
      </c>
      <c r="G109" s="19">
        <v>2.9513343799057998</v>
      </c>
      <c r="H109" s="19">
        <v>2.6549999999999998</v>
      </c>
    </row>
    <row r="110" spans="1:8">
      <c r="A110" s="19" t="s">
        <v>809</v>
      </c>
      <c r="B110" s="19" t="s">
        <v>831</v>
      </c>
      <c r="C110" s="19" t="s">
        <v>832</v>
      </c>
      <c r="D110" s="19">
        <v>23</v>
      </c>
      <c r="E110" s="19" t="s">
        <v>812</v>
      </c>
      <c r="F110" s="19" t="s">
        <v>813</v>
      </c>
      <c r="G110" s="19">
        <v>4.3328100470957596</v>
      </c>
      <c r="H110" s="19">
        <v>3.69</v>
      </c>
    </row>
    <row r="111" spans="1:8">
      <c r="A111" s="19" t="s">
        <v>809</v>
      </c>
      <c r="B111" s="19" t="s">
        <v>831</v>
      </c>
      <c r="C111" s="19" t="s">
        <v>832</v>
      </c>
      <c r="D111" s="19">
        <v>23</v>
      </c>
      <c r="E111" s="19" t="s">
        <v>812</v>
      </c>
      <c r="F111" s="19" t="s">
        <v>813</v>
      </c>
      <c r="G111" s="19">
        <v>7.2841444270015696</v>
      </c>
      <c r="H111" s="19">
        <v>4.6950000000000003</v>
      </c>
    </row>
    <row r="112" spans="1:8">
      <c r="A112" s="19" t="s">
        <v>809</v>
      </c>
      <c r="B112" s="19" t="s">
        <v>831</v>
      </c>
      <c r="C112" s="19" t="s">
        <v>832</v>
      </c>
      <c r="D112" s="19">
        <v>23</v>
      </c>
      <c r="E112" s="19" t="s">
        <v>812</v>
      </c>
      <c r="F112" s="19" t="s">
        <v>814</v>
      </c>
      <c r="G112" s="19">
        <v>0.97331240188382995</v>
      </c>
      <c r="H112" s="19">
        <v>4.6950321987120498</v>
      </c>
    </row>
    <row r="113" spans="1:8">
      <c r="A113" s="19" t="s">
        <v>809</v>
      </c>
      <c r="B113" s="19" t="s">
        <v>831</v>
      </c>
      <c r="C113" s="19" t="s">
        <v>832</v>
      </c>
      <c r="D113" s="19">
        <v>23</v>
      </c>
      <c r="E113" s="19" t="s">
        <v>812</v>
      </c>
      <c r="F113" s="19" t="s">
        <v>814</v>
      </c>
      <c r="G113" s="19">
        <v>1.9780219780219701</v>
      </c>
      <c r="H113" s="19">
        <v>5.2</v>
      </c>
    </row>
    <row r="114" spans="1:8">
      <c r="A114" s="19" t="s">
        <v>809</v>
      </c>
      <c r="B114" s="19" t="s">
        <v>831</v>
      </c>
      <c r="C114" s="19" t="s">
        <v>832</v>
      </c>
      <c r="D114" s="19">
        <v>23</v>
      </c>
      <c r="E114" s="19" t="s">
        <v>812</v>
      </c>
      <c r="F114" s="19" t="s">
        <v>814</v>
      </c>
      <c r="G114" s="19">
        <v>2.4803767660910498</v>
      </c>
      <c r="H114" s="19">
        <v>2.13</v>
      </c>
    </row>
    <row r="115" spans="1:8">
      <c r="A115" s="19" t="s">
        <v>809</v>
      </c>
      <c r="B115" s="19" t="s">
        <v>831</v>
      </c>
      <c r="C115" s="19" t="s">
        <v>832</v>
      </c>
      <c r="D115" s="19">
        <v>23</v>
      </c>
      <c r="E115" s="19" t="s">
        <v>812</v>
      </c>
      <c r="F115" s="19" t="s">
        <v>814</v>
      </c>
      <c r="G115" s="19">
        <v>3.95604395604395</v>
      </c>
      <c r="H115" s="19">
        <v>3.1749999999999998</v>
      </c>
    </row>
    <row r="116" spans="1:8">
      <c r="A116" s="19" t="s">
        <v>809</v>
      </c>
      <c r="B116" s="19" t="s">
        <v>831</v>
      </c>
      <c r="C116" s="19" t="s">
        <v>832</v>
      </c>
      <c r="D116" s="19">
        <v>23</v>
      </c>
      <c r="E116" s="19" t="s">
        <v>812</v>
      </c>
      <c r="F116" s="19" t="s">
        <v>814</v>
      </c>
      <c r="G116" s="19">
        <v>7.9120879120879097</v>
      </c>
      <c r="H116" s="19">
        <v>4.1982520699172001</v>
      </c>
    </row>
    <row r="117" spans="1:8">
      <c r="A117" s="19" t="s">
        <v>809</v>
      </c>
      <c r="B117" s="19" t="s">
        <v>831</v>
      </c>
      <c r="C117" s="19" t="s">
        <v>832</v>
      </c>
      <c r="D117" s="19">
        <v>23</v>
      </c>
      <c r="E117" s="19" t="s">
        <v>812</v>
      </c>
      <c r="F117" s="19" t="s">
        <v>814</v>
      </c>
      <c r="G117" s="19">
        <v>9.6075353218210306</v>
      </c>
      <c r="H117" s="19">
        <v>5.2</v>
      </c>
    </row>
    <row r="118" spans="1:8">
      <c r="A118" s="19" t="s">
        <v>809</v>
      </c>
      <c r="B118" s="19" t="s">
        <v>833</v>
      </c>
      <c r="C118" s="19" t="s">
        <v>816</v>
      </c>
      <c r="D118" s="19">
        <v>24</v>
      </c>
      <c r="E118" s="19" t="s">
        <v>812</v>
      </c>
      <c r="F118" s="19" t="s">
        <v>813</v>
      </c>
      <c r="G118" s="19">
        <v>24</v>
      </c>
      <c r="H118" s="19">
        <v>0.53693444136657398</v>
      </c>
    </row>
    <row r="119" spans="1:8">
      <c r="A119" s="19" t="s">
        <v>809</v>
      </c>
      <c r="B119" s="19" t="s">
        <v>833</v>
      </c>
      <c r="C119" s="19" t="s">
        <v>816</v>
      </c>
      <c r="D119" s="19">
        <v>24</v>
      </c>
      <c r="E119" s="19" t="s">
        <v>812</v>
      </c>
      <c r="F119" s="19" t="s">
        <v>813</v>
      </c>
      <c r="G119" s="19">
        <v>12.2448979591836</v>
      </c>
      <c r="H119" s="19">
        <v>1.07710064635272</v>
      </c>
    </row>
    <row r="120" spans="1:8">
      <c r="A120" s="19" t="s">
        <v>809</v>
      </c>
      <c r="B120" s="19" t="s">
        <v>833</v>
      </c>
      <c r="C120" s="19" t="s">
        <v>816</v>
      </c>
      <c r="D120" s="19">
        <v>24</v>
      </c>
      <c r="E120" s="19" t="s">
        <v>812</v>
      </c>
      <c r="F120" s="19" t="s">
        <v>813</v>
      </c>
      <c r="G120" s="19">
        <v>5.4317111459968599</v>
      </c>
      <c r="H120" s="19">
        <v>1.5987996306555801</v>
      </c>
    </row>
    <row r="121" spans="1:8">
      <c r="A121" s="19" t="s">
        <v>809</v>
      </c>
      <c r="B121" s="19" t="s">
        <v>833</v>
      </c>
      <c r="C121" s="19" t="s">
        <v>816</v>
      </c>
      <c r="D121" s="19">
        <v>24</v>
      </c>
      <c r="E121" s="19" t="s">
        <v>812</v>
      </c>
      <c r="F121" s="19" t="s">
        <v>813</v>
      </c>
      <c r="G121" s="19">
        <v>2.9513343799057998</v>
      </c>
      <c r="H121" s="19">
        <v>2.1297322253000899</v>
      </c>
    </row>
    <row r="122" spans="1:8">
      <c r="A122" s="19" t="s">
        <v>809</v>
      </c>
      <c r="B122" s="19" t="s">
        <v>833</v>
      </c>
      <c r="C122" s="19" t="s">
        <v>816</v>
      </c>
      <c r="D122" s="19">
        <v>24</v>
      </c>
      <c r="E122" s="19" t="s">
        <v>812</v>
      </c>
      <c r="F122" s="19" t="s">
        <v>813</v>
      </c>
      <c r="G122" s="19">
        <v>2.5117739403453601</v>
      </c>
      <c r="H122" s="19">
        <v>2.64681440443213</v>
      </c>
    </row>
    <row r="123" spans="1:8">
      <c r="A123" s="19" t="s">
        <v>809</v>
      </c>
      <c r="B123" s="19" t="s">
        <v>833</v>
      </c>
      <c r="C123" s="19" t="s">
        <v>816</v>
      </c>
      <c r="D123" s="19">
        <v>24</v>
      </c>
      <c r="E123" s="19" t="s">
        <v>812</v>
      </c>
      <c r="F123" s="19" t="s">
        <v>814</v>
      </c>
      <c r="G123" s="19">
        <v>2.3861852433281001</v>
      </c>
      <c r="H123" s="19">
        <v>3.1731301939058101</v>
      </c>
    </row>
    <row r="124" spans="1:8">
      <c r="A124" s="19" t="s">
        <v>809</v>
      </c>
      <c r="B124" s="19" t="s">
        <v>833</v>
      </c>
      <c r="C124" s="19" t="s">
        <v>816</v>
      </c>
      <c r="D124" s="19">
        <v>24</v>
      </c>
      <c r="E124" s="19" t="s">
        <v>812</v>
      </c>
      <c r="F124" s="19" t="s">
        <v>814</v>
      </c>
      <c r="G124" s="19">
        <v>2.9513343799057998</v>
      </c>
      <c r="H124" s="19">
        <v>3.69482917820867</v>
      </c>
    </row>
    <row r="125" spans="1:8">
      <c r="A125" s="19" t="s">
        <v>809</v>
      </c>
      <c r="B125" s="19" t="s">
        <v>833</v>
      </c>
      <c r="C125" s="19" t="s">
        <v>816</v>
      </c>
      <c r="D125" s="19">
        <v>24</v>
      </c>
      <c r="E125" s="19" t="s">
        <v>812</v>
      </c>
      <c r="F125" s="19" t="s">
        <v>814</v>
      </c>
      <c r="G125" s="19">
        <v>5.2747252747252702</v>
      </c>
      <c r="H125" s="19">
        <v>4.19806094182825</v>
      </c>
    </row>
    <row r="126" spans="1:8">
      <c r="A126" s="19" t="s">
        <v>809</v>
      </c>
      <c r="B126" s="19" t="s">
        <v>833</v>
      </c>
      <c r="C126" s="19" t="s">
        <v>816</v>
      </c>
      <c r="D126" s="19">
        <v>24</v>
      </c>
      <c r="E126" s="19" t="s">
        <v>812</v>
      </c>
      <c r="F126" s="19" t="s">
        <v>814</v>
      </c>
      <c r="G126" s="19">
        <v>7.3155416012558803</v>
      </c>
      <c r="H126" s="19">
        <v>4.6966759002770004</v>
      </c>
    </row>
    <row r="127" spans="1:8">
      <c r="A127" s="19" t="s">
        <v>809</v>
      </c>
      <c r="B127" s="19" t="s">
        <v>833</v>
      </c>
      <c r="C127" s="19" t="s">
        <v>816</v>
      </c>
      <c r="D127" s="19">
        <v>24</v>
      </c>
      <c r="E127" s="19" t="s">
        <v>812</v>
      </c>
      <c r="F127" s="19" t="s">
        <v>814</v>
      </c>
      <c r="G127" s="19">
        <v>13.5007849293563</v>
      </c>
      <c r="H127" s="19">
        <v>5.1952908587257598</v>
      </c>
    </row>
    <row r="128" spans="1:8">
      <c r="A128" s="19" t="s">
        <v>809</v>
      </c>
      <c r="B128" s="19" t="s">
        <v>834</v>
      </c>
      <c r="C128" s="19" t="s">
        <v>818</v>
      </c>
      <c r="D128" s="19">
        <v>24</v>
      </c>
      <c r="E128" s="19" t="s">
        <v>812</v>
      </c>
      <c r="F128" s="19" t="s">
        <v>813</v>
      </c>
      <c r="G128" s="19">
        <v>24</v>
      </c>
      <c r="H128" s="19">
        <v>0.54317789291882501</v>
      </c>
    </row>
    <row r="129" spans="1:8">
      <c r="A129" s="19" t="s">
        <v>809</v>
      </c>
      <c r="B129" s="19" t="s">
        <v>834</v>
      </c>
      <c r="C129" s="19" t="s">
        <v>818</v>
      </c>
      <c r="D129" s="19">
        <v>24</v>
      </c>
      <c r="E129" s="19" t="s">
        <v>812</v>
      </c>
      <c r="F129" s="19" t="s">
        <v>813</v>
      </c>
      <c r="G129" s="19">
        <v>6.3235294117647003</v>
      </c>
      <c r="H129" s="19">
        <v>1.0785837651122601</v>
      </c>
    </row>
    <row r="130" spans="1:8">
      <c r="A130" s="19" t="s">
        <v>809</v>
      </c>
      <c r="B130" s="19" t="s">
        <v>834</v>
      </c>
      <c r="C130" s="19" t="s">
        <v>818</v>
      </c>
      <c r="D130" s="19">
        <v>24</v>
      </c>
      <c r="E130" s="19" t="s">
        <v>812</v>
      </c>
      <c r="F130" s="19" t="s">
        <v>813</v>
      </c>
      <c r="G130" s="19">
        <v>3.8823529411764701</v>
      </c>
      <c r="H130" s="19">
        <v>1.6053540587219299</v>
      </c>
    </row>
    <row r="131" spans="1:8">
      <c r="A131" s="19" t="s">
        <v>809</v>
      </c>
      <c r="B131" s="19" t="s">
        <v>834</v>
      </c>
      <c r="C131" s="19" t="s">
        <v>818</v>
      </c>
      <c r="D131" s="19">
        <v>24</v>
      </c>
      <c r="E131" s="19" t="s">
        <v>812</v>
      </c>
      <c r="F131" s="19" t="s">
        <v>813</v>
      </c>
      <c r="G131" s="19">
        <v>1.97058823529411</v>
      </c>
      <c r="H131" s="19">
        <v>2.1278065630397198</v>
      </c>
    </row>
    <row r="132" spans="1:8">
      <c r="A132" s="19" t="s">
        <v>809</v>
      </c>
      <c r="B132" s="19" t="s">
        <v>834</v>
      </c>
      <c r="C132" s="19" t="s">
        <v>818</v>
      </c>
      <c r="D132" s="19">
        <v>24</v>
      </c>
      <c r="E132" s="19" t="s">
        <v>812</v>
      </c>
      <c r="F132" s="19" t="s">
        <v>813</v>
      </c>
      <c r="G132" s="19">
        <v>1.47058823529411</v>
      </c>
      <c r="H132" s="19">
        <v>4.6925734024179597</v>
      </c>
    </row>
    <row r="133" spans="1:8">
      <c r="A133" s="19" t="s">
        <v>809</v>
      </c>
      <c r="B133" s="19" t="s">
        <v>834</v>
      </c>
      <c r="C133" s="19" t="s">
        <v>818</v>
      </c>
      <c r="D133" s="19">
        <v>24</v>
      </c>
      <c r="E133" s="19" t="s">
        <v>812</v>
      </c>
      <c r="F133" s="19" t="s">
        <v>814</v>
      </c>
      <c r="G133" s="19">
        <v>2.9411764705882302</v>
      </c>
      <c r="H133" s="19">
        <v>2.6502590673575099</v>
      </c>
    </row>
    <row r="134" spans="1:8">
      <c r="A134" s="19" t="s">
        <v>809</v>
      </c>
      <c r="B134" s="19" t="s">
        <v>834</v>
      </c>
      <c r="C134" s="19" t="s">
        <v>818</v>
      </c>
      <c r="D134" s="19">
        <v>24</v>
      </c>
      <c r="E134" s="19" t="s">
        <v>812</v>
      </c>
      <c r="F134" s="19" t="s">
        <v>814</v>
      </c>
      <c r="G134" s="19">
        <v>3.8235294117646998</v>
      </c>
      <c r="H134" s="19">
        <v>3.1727115716753</v>
      </c>
    </row>
    <row r="135" spans="1:8">
      <c r="A135" s="19" t="s">
        <v>809</v>
      </c>
      <c r="B135" s="19" t="s">
        <v>834</v>
      </c>
      <c r="C135" s="19" t="s">
        <v>818</v>
      </c>
      <c r="D135" s="19">
        <v>24</v>
      </c>
      <c r="E135" s="19" t="s">
        <v>812</v>
      </c>
      <c r="F135" s="19" t="s">
        <v>814</v>
      </c>
      <c r="G135" s="19">
        <v>5.8823529411764701</v>
      </c>
      <c r="H135" s="19">
        <v>3.6908462867012002</v>
      </c>
    </row>
    <row r="136" spans="1:8">
      <c r="A136" s="19" t="s">
        <v>809</v>
      </c>
      <c r="B136" s="19" t="s">
        <v>834</v>
      </c>
      <c r="C136" s="19" t="s">
        <v>818</v>
      </c>
      <c r="D136" s="19">
        <v>24</v>
      </c>
      <c r="E136" s="19" t="s">
        <v>812</v>
      </c>
      <c r="F136" s="19" t="s">
        <v>814</v>
      </c>
      <c r="G136" s="19">
        <v>16.029411764705799</v>
      </c>
      <c r="H136" s="19">
        <v>4.1960276338514602</v>
      </c>
    </row>
    <row r="137" spans="1:8">
      <c r="A137" s="19" t="s">
        <v>809</v>
      </c>
      <c r="B137" s="19" t="s">
        <v>834</v>
      </c>
      <c r="C137" s="19" t="s">
        <v>818</v>
      </c>
      <c r="D137" s="19">
        <v>24</v>
      </c>
      <c r="E137" s="19" t="s">
        <v>812</v>
      </c>
      <c r="F137" s="19" t="s">
        <v>814</v>
      </c>
      <c r="G137" s="19">
        <v>1</v>
      </c>
      <c r="H137" s="19">
        <v>5.2063903281519801</v>
      </c>
    </row>
    <row r="138" spans="1:8">
      <c r="A138" s="19" t="s">
        <v>809</v>
      </c>
      <c r="B138" s="19" t="s">
        <v>835</v>
      </c>
      <c r="C138" s="19" t="s">
        <v>820</v>
      </c>
      <c r="D138" s="19">
        <v>25</v>
      </c>
      <c r="E138" s="19" t="s">
        <v>812</v>
      </c>
      <c r="F138" s="19" t="s">
        <v>813</v>
      </c>
      <c r="G138" s="19">
        <v>25</v>
      </c>
      <c r="H138" s="19">
        <v>29</v>
      </c>
    </row>
    <row r="139" spans="1:8">
      <c r="A139" s="19" t="s">
        <v>809</v>
      </c>
      <c r="B139" s="19" t="s">
        <v>835</v>
      </c>
      <c r="C139" s="19" t="s">
        <v>820</v>
      </c>
      <c r="D139" s="19">
        <v>25</v>
      </c>
      <c r="E139" s="19" t="s">
        <v>812</v>
      </c>
      <c r="F139" s="19" t="s">
        <v>813</v>
      </c>
      <c r="G139" s="19">
        <v>3.6879496402877598</v>
      </c>
      <c r="H139" s="19">
        <v>11.029185867895499</v>
      </c>
    </row>
    <row r="140" spans="1:8">
      <c r="A140" s="19" t="s">
        <v>809</v>
      </c>
      <c r="B140" s="19" t="s">
        <v>835</v>
      </c>
      <c r="C140" s="19" t="s">
        <v>820</v>
      </c>
      <c r="D140" s="19">
        <v>25</v>
      </c>
      <c r="E140" s="19" t="s">
        <v>812</v>
      </c>
      <c r="F140" s="19" t="s">
        <v>813</v>
      </c>
      <c r="G140" s="19">
        <v>4.1915467625899199</v>
      </c>
      <c r="H140" s="19">
        <v>7.3732718894009199</v>
      </c>
    </row>
    <row r="141" spans="1:8">
      <c r="A141" s="19" t="s">
        <v>809</v>
      </c>
      <c r="B141" s="19" t="s">
        <v>835</v>
      </c>
      <c r="C141" s="19" t="s">
        <v>820</v>
      </c>
      <c r="D141" s="19">
        <v>25</v>
      </c>
      <c r="E141" s="19" t="s">
        <v>812</v>
      </c>
      <c r="F141" s="19" t="s">
        <v>813</v>
      </c>
      <c r="G141" s="19">
        <v>4.6951438848920803</v>
      </c>
      <c r="H141" s="19">
        <v>4.8540706605222699</v>
      </c>
    </row>
    <row r="142" spans="1:8">
      <c r="A142" s="19" t="s">
        <v>809</v>
      </c>
      <c r="B142" s="19" t="s">
        <v>835</v>
      </c>
      <c r="C142" s="19" t="s">
        <v>820</v>
      </c>
      <c r="D142" s="19">
        <v>25</v>
      </c>
      <c r="E142" s="19" t="s">
        <v>812</v>
      </c>
      <c r="F142" s="19" t="s">
        <v>813</v>
      </c>
      <c r="G142" s="19">
        <v>5.1987410071942399</v>
      </c>
      <c r="H142" s="19">
        <v>2.9800307219661999</v>
      </c>
    </row>
    <row r="143" spans="1:8">
      <c r="A143" s="19" t="s">
        <v>809</v>
      </c>
      <c r="B143" s="19" t="s">
        <v>835</v>
      </c>
      <c r="C143" s="19" t="s">
        <v>820</v>
      </c>
      <c r="D143" s="19">
        <v>25</v>
      </c>
      <c r="E143" s="19" t="s">
        <v>812</v>
      </c>
      <c r="F143" s="19" t="s">
        <v>813</v>
      </c>
      <c r="G143" s="19">
        <v>3.1798561151079099</v>
      </c>
      <c r="H143" s="19">
        <v>8.8786482334869401</v>
      </c>
    </row>
    <row r="144" spans="1:8">
      <c r="A144" s="19" t="s">
        <v>809</v>
      </c>
      <c r="B144" s="19" t="s">
        <v>835</v>
      </c>
      <c r="C144" s="19" t="s">
        <v>820</v>
      </c>
      <c r="D144" s="19">
        <v>25</v>
      </c>
      <c r="E144" s="19" t="s">
        <v>812</v>
      </c>
      <c r="F144" s="19" t="s">
        <v>814</v>
      </c>
      <c r="G144" s="19">
        <v>0.54946043165467595</v>
      </c>
      <c r="H144" s="19">
        <v>1.99692780337941</v>
      </c>
    </row>
    <row r="145" spans="1:8">
      <c r="A145" s="19" t="s">
        <v>809</v>
      </c>
      <c r="B145" s="19" t="s">
        <v>835</v>
      </c>
      <c r="C145" s="19" t="s">
        <v>820</v>
      </c>
      <c r="D145" s="19">
        <v>25</v>
      </c>
      <c r="E145" s="19" t="s">
        <v>812</v>
      </c>
      <c r="F145" s="19" t="s">
        <v>814</v>
      </c>
      <c r="G145" s="19">
        <v>1.08453237410071</v>
      </c>
      <c r="H145" s="19">
        <v>3.4408602150537599</v>
      </c>
    </row>
    <row r="146" spans="1:8">
      <c r="A146" s="19" t="s">
        <v>809</v>
      </c>
      <c r="B146" s="19" t="s">
        <v>835</v>
      </c>
      <c r="C146" s="19" t="s">
        <v>820</v>
      </c>
      <c r="D146" s="19">
        <v>25</v>
      </c>
      <c r="E146" s="19" t="s">
        <v>812</v>
      </c>
      <c r="F146" s="19" t="s">
        <v>814</v>
      </c>
      <c r="G146" s="19">
        <v>1.6106115107913599</v>
      </c>
      <c r="H146" s="19">
        <v>3.4101382488479199</v>
      </c>
    </row>
    <row r="147" spans="1:8">
      <c r="A147" s="19" t="s">
        <v>809</v>
      </c>
      <c r="B147" s="19" t="s">
        <v>835</v>
      </c>
      <c r="C147" s="19" t="s">
        <v>820</v>
      </c>
      <c r="D147" s="19">
        <v>25</v>
      </c>
      <c r="E147" s="19" t="s">
        <v>812</v>
      </c>
      <c r="F147" s="19" t="s">
        <v>814</v>
      </c>
      <c r="G147" s="19">
        <v>2.1321942446043098</v>
      </c>
      <c r="H147" s="19">
        <v>4.8540706605222699</v>
      </c>
    </row>
    <row r="148" spans="1:8">
      <c r="A148" s="19" t="s">
        <v>809</v>
      </c>
      <c r="B148" s="19" t="s">
        <v>835</v>
      </c>
      <c r="C148" s="19" t="s">
        <v>820</v>
      </c>
      <c r="D148" s="19">
        <v>25</v>
      </c>
      <c r="E148" s="19" t="s">
        <v>812</v>
      </c>
      <c r="F148" s="19" t="s">
        <v>814</v>
      </c>
      <c r="G148" s="19">
        <v>2.6582733812949599</v>
      </c>
      <c r="H148" s="19">
        <v>4.7926267281105899</v>
      </c>
    </row>
    <row r="149" spans="1:8">
      <c r="A149" s="19" t="s">
        <v>809</v>
      </c>
      <c r="B149" s="19" t="s">
        <v>835</v>
      </c>
      <c r="C149" s="19" t="s">
        <v>820</v>
      </c>
      <c r="D149" s="19">
        <v>25</v>
      </c>
      <c r="E149" s="19" t="s">
        <v>812</v>
      </c>
      <c r="F149" s="19" t="s">
        <v>814</v>
      </c>
      <c r="G149" s="19">
        <v>3.6879496402877598</v>
      </c>
      <c r="H149" s="19">
        <v>14.009216589861699</v>
      </c>
    </row>
    <row r="150" spans="1:8">
      <c r="A150" s="19" t="s">
        <v>809</v>
      </c>
      <c r="B150" s="19" t="s">
        <v>836</v>
      </c>
      <c r="C150" s="19" t="s">
        <v>822</v>
      </c>
      <c r="D150" s="19">
        <v>25</v>
      </c>
      <c r="E150" s="19" t="s">
        <v>812</v>
      </c>
      <c r="F150" s="19" t="s">
        <v>813</v>
      </c>
      <c r="G150" s="19">
        <v>25</v>
      </c>
      <c r="H150" s="19">
        <v>0.54440497335701599</v>
      </c>
    </row>
    <row r="151" spans="1:8">
      <c r="A151" s="19" t="s">
        <v>809</v>
      </c>
      <c r="B151" s="19" t="s">
        <v>836</v>
      </c>
      <c r="C151" s="19" t="s">
        <v>822</v>
      </c>
      <c r="D151" s="19">
        <v>25</v>
      </c>
      <c r="E151" s="19" t="s">
        <v>812</v>
      </c>
      <c r="F151" s="19" t="s">
        <v>813</v>
      </c>
      <c r="G151" s="19">
        <v>13.1818181818181</v>
      </c>
      <c r="H151" s="19">
        <v>1.0817051509769</v>
      </c>
    </row>
    <row r="152" spans="1:8">
      <c r="A152" s="19" t="s">
        <v>809</v>
      </c>
      <c r="B152" s="19" t="s">
        <v>836</v>
      </c>
      <c r="C152" s="19" t="s">
        <v>822</v>
      </c>
      <c r="D152" s="19">
        <v>25</v>
      </c>
      <c r="E152" s="19" t="s">
        <v>812</v>
      </c>
      <c r="F152" s="19" t="s">
        <v>813</v>
      </c>
      <c r="G152" s="19">
        <v>5.39393939393939</v>
      </c>
      <c r="H152" s="19">
        <v>1.6101243339253899</v>
      </c>
    </row>
    <row r="153" spans="1:8">
      <c r="A153" s="19" t="s">
        <v>809</v>
      </c>
      <c r="B153" s="19" t="s">
        <v>836</v>
      </c>
      <c r="C153" s="19" t="s">
        <v>822</v>
      </c>
      <c r="D153" s="19">
        <v>25</v>
      </c>
      <c r="E153" s="19" t="s">
        <v>812</v>
      </c>
      <c r="F153" s="19" t="s">
        <v>813</v>
      </c>
      <c r="G153" s="19">
        <v>4.39393939393939</v>
      </c>
      <c r="H153" s="19">
        <v>2.6580817051509702</v>
      </c>
    </row>
    <row r="154" spans="1:8">
      <c r="A154" s="19" t="s">
        <v>809</v>
      </c>
      <c r="B154" s="19" t="s">
        <v>836</v>
      </c>
      <c r="C154" s="19" t="s">
        <v>822</v>
      </c>
      <c r="D154" s="19">
        <v>25</v>
      </c>
      <c r="E154" s="19" t="s">
        <v>812</v>
      </c>
      <c r="F154" s="19" t="s">
        <v>813</v>
      </c>
      <c r="G154" s="19">
        <v>6.1818181818181799</v>
      </c>
      <c r="H154" s="19">
        <v>3.69271758436944</v>
      </c>
    </row>
    <row r="155" spans="1:8">
      <c r="A155" s="19" t="s">
        <v>809</v>
      </c>
      <c r="B155" s="19" t="s">
        <v>836</v>
      </c>
      <c r="C155" s="19" t="s">
        <v>822</v>
      </c>
      <c r="D155" s="19">
        <v>25</v>
      </c>
      <c r="E155" s="19" t="s">
        <v>812</v>
      </c>
      <c r="F155" s="19" t="s">
        <v>814</v>
      </c>
      <c r="G155" s="19">
        <v>2.39393939393939</v>
      </c>
      <c r="H155" s="19">
        <v>4.6918294849022999</v>
      </c>
    </row>
    <row r="156" spans="1:8">
      <c r="A156" s="19" t="s">
        <v>809</v>
      </c>
      <c r="B156" s="19" t="s">
        <v>836</v>
      </c>
      <c r="C156" s="19" t="s">
        <v>822</v>
      </c>
      <c r="D156" s="19">
        <v>25</v>
      </c>
      <c r="E156" s="19" t="s">
        <v>812</v>
      </c>
      <c r="F156" s="19" t="s">
        <v>814</v>
      </c>
      <c r="G156" s="19">
        <v>3.3636363636363602</v>
      </c>
      <c r="H156" s="19">
        <v>5.1980461811722902</v>
      </c>
    </row>
    <row r="157" spans="1:8">
      <c r="A157" s="19" t="s">
        <v>809</v>
      </c>
      <c r="B157" s="19" t="s">
        <v>836</v>
      </c>
      <c r="C157" s="19" t="s">
        <v>822</v>
      </c>
      <c r="D157" s="19">
        <v>25</v>
      </c>
      <c r="E157" s="19" t="s">
        <v>812</v>
      </c>
      <c r="F157" s="19" t="s">
        <v>814</v>
      </c>
      <c r="G157" s="19">
        <v>2.87878787878787</v>
      </c>
      <c r="H157" s="19">
        <v>2.13854351687388</v>
      </c>
    </row>
    <row r="158" spans="1:8">
      <c r="A158" s="19" t="s">
        <v>809</v>
      </c>
      <c r="B158" s="19" t="s">
        <v>836</v>
      </c>
      <c r="C158" s="19" t="s">
        <v>822</v>
      </c>
      <c r="D158" s="19">
        <v>25</v>
      </c>
      <c r="E158" s="19" t="s">
        <v>812</v>
      </c>
      <c r="F158" s="19" t="s">
        <v>814</v>
      </c>
      <c r="G158" s="19">
        <v>5.8484848484848397</v>
      </c>
      <c r="H158" s="19">
        <v>3.1776198934280599</v>
      </c>
    </row>
    <row r="159" spans="1:8">
      <c r="A159" s="19" t="s">
        <v>809</v>
      </c>
      <c r="B159" s="19" t="s">
        <v>836</v>
      </c>
      <c r="C159" s="19" t="s">
        <v>822</v>
      </c>
      <c r="D159" s="19">
        <v>25</v>
      </c>
      <c r="E159" s="19" t="s">
        <v>812</v>
      </c>
      <c r="F159" s="19" t="s">
        <v>814</v>
      </c>
      <c r="G159" s="19">
        <v>9.3333333333333304</v>
      </c>
      <c r="H159" s="19">
        <v>4.1989342806394303</v>
      </c>
    </row>
    <row r="160" spans="1:8">
      <c r="A160" s="19" t="s">
        <v>809</v>
      </c>
      <c r="B160" s="19" t="s">
        <v>837</v>
      </c>
      <c r="C160" s="19" t="s">
        <v>838</v>
      </c>
      <c r="D160" s="19">
        <v>26</v>
      </c>
      <c r="E160" s="19" t="s">
        <v>812</v>
      </c>
      <c r="F160" s="19" t="s">
        <v>813</v>
      </c>
      <c r="G160" s="19">
        <v>26</v>
      </c>
      <c r="H160" s="19">
        <v>0.54432624113475103</v>
      </c>
    </row>
    <row r="161" spans="1:8">
      <c r="A161" s="19" t="s">
        <v>809</v>
      </c>
      <c r="B161" s="19" t="s">
        <v>837</v>
      </c>
      <c r="C161" s="19" t="s">
        <v>838</v>
      </c>
      <c r="D161" s="19">
        <v>26</v>
      </c>
      <c r="E161" s="19" t="s">
        <v>812</v>
      </c>
      <c r="F161" s="19" t="s">
        <v>813</v>
      </c>
      <c r="G161" s="19">
        <v>15.319148936170199</v>
      </c>
      <c r="H161" s="19">
        <v>1.08067375886524</v>
      </c>
    </row>
    <row r="162" spans="1:8">
      <c r="A162" s="19" t="s">
        <v>809</v>
      </c>
      <c r="B162" s="19" t="s">
        <v>837</v>
      </c>
      <c r="C162" s="19" t="s">
        <v>838</v>
      </c>
      <c r="D162" s="19">
        <v>26</v>
      </c>
      <c r="E162" s="19" t="s">
        <v>812</v>
      </c>
      <c r="F162" s="19" t="s">
        <v>813</v>
      </c>
      <c r="G162" s="19">
        <v>6.3221884498480199</v>
      </c>
      <c r="H162" s="19">
        <v>1.6081560283687899</v>
      </c>
    </row>
    <row r="163" spans="1:8">
      <c r="A163" s="19" t="s">
        <v>809</v>
      </c>
      <c r="B163" s="19" t="s">
        <v>837</v>
      </c>
      <c r="C163" s="19" t="s">
        <v>838</v>
      </c>
      <c r="D163" s="19">
        <v>26</v>
      </c>
      <c r="E163" s="19" t="s">
        <v>812</v>
      </c>
      <c r="F163" s="19" t="s">
        <v>813</v>
      </c>
      <c r="G163" s="19">
        <v>4.8024316109422402</v>
      </c>
      <c r="H163" s="19">
        <v>2.1356382978723398</v>
      </c>
    </row>
    <row r="164" spans="1:8">
      <c r="A164" s="19" t="s">
        <v>809</v>
      </c>
      <c r="B164" s="19" t="s">
        <v>837</v>
      </c>
      <c r="C164" s="19" t="s">
        <v>838</v>
      </c>
      <c r="D164" s="19">
        <v>26</v>
      </c>
      <c r="E164" s="19" t="s">
        <v>812</v>
      </c>
      <c r="F164" s="19" t="s">
        <v>813</v>
      </c>
      <c r="G164" s="19">
        <v>3.93</v>
      </c>
      <c r="H164" s="19">
        <v>2.65868794326241</v>
      </c>
    </row>
    <row r="165" spans="1:8">
      <c r="A165" s="19" t="s">
        <v>809</v>
      </c>
      <c r="B165" s="19" t="s">
        <v>837</v>
      </c>
      <c r="C165" s="19" t="s">
        <v>838</v>
      </c>
      <c r="D165" s="19">
        <v>26</v>
      </c>
      <c r="E165" s="19" t="s">
        <v>812</v>
      </c>
      <c r="F165" s="19" t="s">
        <v>814</v>
      </c>
      <c r="G165" s="19">
        <v>2.43161094224924</v>
      </c>
      <c r="H165" s="19">
        <v>3.1684397163120499</v>
      </c>
    </row>
    <row r="166" spans="1:8">
      <c r="A166" s="19" t="s">
        <v>809</v>
      </c>
      <c r="B166" s="19" t="s">
        <v>837</v>
      </c>
      <c r="C166" s="19" t="s">
        <v>838</v>
      </c>
      <c r="D166" s="19">
        <v>26</v>
      </c>
      <c r="E166" s="19" t="s">
        <v>812</v>
      </c>
      <c r="F166" s="19" t="s">
        <v>814</v>
      </c>
      <c r="G166" s="19">
        <v>3.3434650455927</v>
      </c>
      <c r="H166" s="19">
        <v>4.19237588652482</v>
      </c>
    </row>
    <row r="167" spans="1:8">
      <c r="A167" s="19" t="s">
        <v>809</v>
      </c>
      <c r="B167" s="19" t="s">
        <v>837</v>
      </c>
      <c r="C167" s="19" t="s">
        <v>838</v>
      </c>
      <c r="D167" s="19">
        <v>26</v>
      </c>
      <c r="E167" s="19" t="s">
        <v>812</v>
      </c>
      <c r="F167" s="19" t="s">
        <v>814</v>
      </c>
      <c r="G167" s="19">
        <v>4.8936170212765902</v>
      </c>
      <c r="H167" s="19">
        <v>4.6950000000000003</v>
      </c>
    </row>
    <row r="168" spans="1:8">
      <c r="A168" s="19" t="s">
        <v>809</v>
      </c>
      <c r="B168" s="19" t="s">
        <v>837</v>
      </c>
      <c r="C168" s="19" t="s">
        <v>838</v>
      </c>
      <c r="D168" s="19">
        <v>26</v>
      </c>
      <c r="E168" s="19" t="s">
        <v>812</v>
      </c>
      <c r="F168" s="19" t="s">
        <v>814</v>
      </c>
      <c r="G168" s="19">
        <v>5.25835866261398</v>
      </c>
      <c r="H168" s="19">
        <v>5.2</v>
      </c>
    </row>
    <row r="169" spans="1:8">
      <c r="A169" s="19" t="s">
        <v>809</v>
      </c>
      <c r="B169" s="19" t="s">
        <v>837</v>
      </c>
      <c r="C169" s="19" t="s">
        <v>838</v>
      </c>
      <c r="D169" s="19">
        <v>26</v>
      </c>
      <c r="E169" s="19" t="s">
        <v>812</v>
      </c>
      <c r="F169" s="19" t="s">
        <v>814</v>
      </c>
      <c r="G169" s="19">
        <v>7.2948328267477196</v>
      </c>
      <c r="H169" s="19">
        <v>3.1773049645390001</v>
      </c>
    </row>
    <row r="170" spans="1:8">
      <c r="A170" s="19" t="s">
        <v>809</v>
      </c>
      <c r="B170" s="19" t="s">
        <v>839</v>
      </c>
      <c r="C170" s="19" t="s">
        <v>840</v>
      </c>
      <c r="D170" s="19">
        <v>26</v>
      </c>
      <c r="E170" s="19" t="s">
        <v>812</v>
      </c>
      <c r="F170" s="19" t="s">
        <v>813</v>
      </c>
      <c r="G170" s="19">
        <v>26</v>
      </c>
      <c r="H170" s="19">
        <v>0.53978779840848801</v>
      </c>
    </row>
    <row r="171" spans="1:8">
      <c r="A171" s="19" t="s">
        <v>809</v>
      </c>
      <c r="B171" s="19" t="s">
        <v>839</v>
      </c>
      <c r="C171" s="19" t="s">
        <v>840</v>
      </c>
      <c r="D171" s="19">
        <v>26</v>
      </c>
      <c r="E171" s="19" t="s">
        <v>812</v>
      </c>
      <c r="F171" s="19" t="s">
        <v>813</v>
      </c>
      <c r="G171" s="19">
        <v>11.649016639999999</v>
      </c>
      <c r="H171" s="19">
        <v>1.07471264367816</v>
      </c>
    </row>
    <row r="172" spans="1:8">
      <c r="A172" s="19" t="s">
        <v>809</v>
      </c>
      <c r="B172" s="19" t="s">
        <v>839</v>
      </c>
      <c r="C172" s="19" t="s">
        <v>840</v>
      </c>
      <c r="D172" s="19">
        <v>26</v>
      </c>
      <c r="E172" s="19" t="s">
        <v>812</v>
      </c>
      <c r="F172" s="19" t="s">
        <v>813</v>
      </c>
      <c r="G172" s="19">
        <v>6.8381240539999997</v>
      </c>
      <c r="H172" s="19">
        <v>1.60079575596816</v>
      </c>
    </row>
    <row r="173" spans="1:8">
      <c r="A173" s="19" t="s">
        <v>809</v>
      </c>
      <c r="B173" s="19" t="s">
        <v>839</v>
      </c>
      <c r="C173" s="19" t="s">
        <v>840</v>
      </c>
      <c r="D173" s="19">
        <v>26</v>
      </c>
      <c r="E173" s="19" t="s">
        <v>812</v>
      </c>
      <c r="F173" s="19" t="s">
        <v>813</v>
      </c>
      <c r="G173" s="19">
        <v>3.963691377</v>
      </c>
      <c r="H173" s="19">
        <v>2.1268788682581699</v>
      </c>
    </row>
    <row r="174" spans="1:8">
      <c r="A174" s="19" t="s">
        <v>809</v>
      </c>
      <c r="B174" s="19" t="s">
        <v>839</v>
      </c>
      <c r="C174" s="19" t="s">
        <v>840</v>
      </c>
      <c r="D174" s="19">
        <v>26</v>
      </c>
      <c r="E174" s="19" t="s">
        <v>812</v>
      </c>
      <c r="F174" s="19" t="s">
        <v>813</v>
      </c>
      <c r="G174" s="19">
        <v>1.55</v>
      </c>
      <c r="H174" s="19">
        <v>2.6485411140583501</v>
      </c>
    </row>
    <row r="175" spans="1:8">
      <c r="A175" s="19" t="s">
        <v>809</v>
      </c>
      <c r="B175" s="19" t="s">
        <v>839</v>
      </c>
      <c r="C175" s="19" t="s">
        <v>840</v>
      </c>
      <c r="D175" s="19">
        <v>26</v>
      </c>
      <c r="E175" s="19" t="s">
        <v>812</v>
      </c>
      <c r="F175" s="19" t="s">
        <v>814</v>
      </c>
      <c r="G175" s="19">
        <v>1.90620272314674</v>
      </c>
      <c r="H175" s="19">
        <v>2.65</v>
      </c>
    </row>
    <row r="176" spans="1:8">
      <c r="A176" s="19" t="s">
        <v>809</v>
      </c>
      <c r="B176" s="19" t="s">
        <v>839</v>
      </c>
      <c r="C176" s="19" t="s">
        <v>840</v>
      </c>
      <c r="D176" s="19">
        <v>26</v>
      </c>
      <c r="E176" s="19" t="s">
        <v>812</v>
      </c>
      <c r="F176" s="19" t="s">
        <v>814</v>
      </c>
      <c r="G176" s="19">
        <v>4.3570347957639903</v>
      </c>
      <c r="H176" s="19">
        <v>3.1702033599999999</v>
      </c>
    </row>
    <row r="177" spans="1:8">
      <c r="A177" s="19" t="s">
        <v>809</v>
      </c>
      <c r="B177" s="19" t="s">
        <v>839</v>
      </c>
      <c r="C177" s="19" t="s">
        <v>840</v>
      </c>
      <c r="D177" s="19">
        <v>26</v>
      </c>
      <c r="E177" s="19" t="s">
        <v>812</v>
      </c>
      <c r="F177" s="19" t="s">
        <v>814</v>
      </c>
      <c r="G177" s="19">
        <v>6.4145234493192103</v>
      </c>
      <c r="H177" s="19">
        <v>3.69</v>
      </c>
    </row>
    <row r="178" spans="1:8">
      <c r="A178" s="19" t="s">
        <v>809</v>
      </c>
      <c r="B178" s="19" t="s">
        <v>839</v>
      </c>
      <c r="C178" s="19" t="s">
        <v>840</v>
      </c>
      <c r="D178" s="19">
        <v>26</v>
      </c>
      <c r="E178" s="19" t="s">
        <v>812</v>
      </c>
      <c r="F178" s="19" t="s">
        <v>814</v>
      </c>
      <c r="G178" s="19">
        <v>9.7730711043872898</v>
      </c>
      <c r="H178" s="19">
        <v>4.2</v>
      </c>
    </row>
    <row r="179" spans="1:8">
      <c r="A179" s="19" t="s">
        <v>809</v>
      </c>
      <c r="B179" s="19" t="s">
        <v>839</v>
      </c>
      <c r="C179" s="19" t="s">
        <v>840</v>
      </c>
      <c r="D179" s="19">
        <v>26</v>
      </c>
      <c r="E179" s="19" t="s">
        <v>812</v>
      </c>
      <c r="F179" s="19" t="s">
        <v>814</v>
      </c>
      <c r="G179" s="19">
        <v>15.9757942511346</v>
      </c>
      <c r="H179" s="19">
        <v>4.7</v>
      </c>
    </row>
    <row r="180" spans="1:8">
      <c r="A180" s="19" t="s">
        <v>809</v>
      </c>
      <c r="B180" s="19" t="s">
        <v>841</v>
      </c>
      <c r="C180" s="19" t="s">
        <v>842</v>
      </c>
      <c r="D180" s="19">
        <v>27</v>
      </c>
      <c r="E180" s="19" t="s">
        <v>812</v>
      </c>
      <c r="F180" s="19" t="s">
        <v>813</v>
      </c>
      <c r="G180" s="19">
        <v>27</v>
      </c>
      <c r="H180" s="19">
        <v>0.54113345521023704</v>
      </c>
    </row>
    <row r="181" spans="1:8">
      <c r="A181" s="19" t="s">
        <v>809</v>
      </c>
      <c r="B181" s="19" t="s">
        <v>841</v>
      </c>
      <c r="C181" s="19" t="s">
        <v>842</v>
      </c>
      <c r="D181" s="19">
        <v>27</v>
      </c>
      <c r="E181" s="19" t="s">
        <v>812</v>
      </c>
      <c r="F181" s="19" t="s">
        <v>813</v>
      </c>
      <c r="G181" s="19">
        <v>10.031152647975</v>
      </c>
      <c r="H181" s="19">
        <v>1.0758683729433201</v>
      </c>
    </row>
    <row r="182" spans="1:8">
      <c r="A182" s="19" t="s">
        <v>809</v>
      </c>
      <c r="B182" s="19" t="s">
        <v>841</v>
      </c>
      <c r="C182" s="19" t="s">
        <v>842</v>
      </c>
      <c r="D182" s="19">
        <v>27</v>
      </c>
      <c r="E182" s="19" t="s">
        <v>812</v>
      </c>
      <c r="F182" s="19" t="s">
        <v>813</v>
      </c>
      <c r="G182" s="19">
        <v>5.0778816199376902</v>
      </c>
      <c r="H182" s="19">
        <v>1.6014625228519099</v>
      </c>
    </row>
    <row r="183" spans="1:8">
      <c r="A183" s="19" t="s">
        <v>809</v>
      </c>
      <c r="B183" s="19" t="s">
        <v>841</v>
      </c>
      <c r="C183" s="19" t="s">
        <v>842</v>
      </c>
      <c r="D183" s="19">
        <v>27</v>
      </c>
      <c r="E183" s="19" t="s">
        <v>812</v>
      </c>
      <c r="F183" s="19" t="s">
        <v>813</v>
      </c>
      <c r="G183" s="19">
        <v>2.5545171339563799</v>
      </c>
      <c r="H183" s="19">
        <v>2.1316270566727602</v>
      </c>
    </row>
    <row r="184" spans="1:8">
      <c r="A184" s="19" t="s">
        <v>809</v>
      </c>
      <c r="B184" s="19" t="s">
        <v>841</v>
      </c>
      <c r="C184" s="19" t="s">
        <v>842</v>
      </c>
      <c r="D184" s="19">
        <v>27</v>
      </c>
      <c r="E184" s="19" t="s">
        <v>812</v>
      </c>
      <c r="F184" s="19" t="s">
        <v>814</v>
      </c>
      <c r="G184" s="19">
        <v>3.8940809968847301</v>
      </c>
      <c r="H184" s="19">
        <v>2.65</v>
      </c>
    </row>
    <row r="185" spans="1:8">
      <c r="A185" s="19" t="s">
        <v>809</v>
      </c>
      <c r="B185" s="19" t="s">
        <v>841</v>
      </c>
      <c r="C185" s="19" t="s">
        <v>842</v>
      </c>
      <c r="D185" s="19">
        <v>27</v>
      </c>
      <c r="E185" s="19" t="s">
        <v>812</v>
      </c>
      <c r="F185" s="19" t="s">
        <v>814</v>
      </c>
      <c r="G185" s="19">
        <v>4.4859813084112101</v>
      </c>
      <c r="H185" s="19">
        <v>3.1736745886654401</v>
      </c>
    </row>
    <row r="186" spans="1:8">
      <c r="A186" s="19" t="s">
        <v>809</v>
      </c>
      <c r="B186" s="19" t="s">
        <v>841</v>
      </c>
      <c r="C186" s="19" t="s">
        <v>842</v>
      </c>
      <c r="D186" s="19">
        <v>27</v>
      </c>
      <c r="E186" s="19" t="s">
        <v>812</v>
      </c>
      <c r="F186" s="19" t="s">
        <v>814</v>
      </c>
      <c r="G186" s="19">
        <v>6.5109034267912698</v>
      </c>
      <c r="H186" s="19">
        <v>4.1900000000000004</v>
      </c>
    </row>
    <row r="187" spans="1:8">
      <c r="A187" s="19" t="s">
        <v>809</v>
      </c>
      <c r="B187" s="19" t="s">
        <v>841</v>
      </c>
      <c r="C187" s="19" t="s">
        <v>842</v>
      </c>
      <c r="D187" s="19">
        <v>27</v>
      </c>
      <c r="E187" s="19" t="s">
        <v>812</v>
      </c>
      <c r="F187" s="19" t="s">
        <v>814</v>
      </c>
      <c r="G187" s="19">
        <v>12.056074766355099</v>
      </c>
      <c r="H187" s="19">
        <v>4.6900000000000004</v>
      </c>
    </row>
    <row r="188" spans="1:8">
      <c r="A188" s="19" t="s">
        <v>809</v>
      </c>
      <c r="B188" s="19" t="s">
        <v>843</v>
      </c>
      <c r="C188" s="19" t="s">
        <v>824</v>
      </c>
      <c r="D188" s="19">
        <v>27</v>
      </c>
      <c r="E188" s="19" t="s">
        <v>812</v>
      </c>
      <c r="F188" s="19" t="s">
        <v>813</v>
      </c>
      <c r="G188" s="19">
        <v>27</v>
      </c>
      <c r="H188" s="19">
        <v>0.53</v>
      </c>
    </row>
    <row r="189" spans="1:8">
      <c r="A189" s="19" t="s">
        <v>809</v>
      </c>
      <c r="B189" s="19" t="s">
        <v>843</v>
      </c>
      <c r="C189" s="19" t="s">
        <v>824</v>
      </c>
      <c r="D189" s="19">
        <v>27</v>
      </c>
      <c r="E189" s="19" t="s">
        <v>812</v>
      </c>
      <c r="F189" s="19" t="s">
        <v>813</v>
      </c>
      <c r="G189" s="19">
        <v>18.11</v>
      </c>
      <c r="H189" s="19">
        <v>1.0649999999999999</v>
      </c>
    </row>
    <row r="190" spans="1:8">
      <c r="A190" s="19" t="s">
        <v>809</v>
      </c>
      <c r="B190" s="19" t="s">
        <v>843</v>
      </c>
      <c r="C190" s="19" t="s">
        <v>824</v>
      </c>
      <c r="D190" s="19">
        <v>27</v>
      </c>
      <c r="E190" s="19" t="s">
        <v>812</v>
      </c>
      <c r="F190" s="19" t="s">
        <v>813</v>
      </c>
      <c r="G190" s="19">
        <v>5.89</v>
      </c>
      <c r="H190" s="19">
        <v>1.60424028268551</v>
      </c>
    </row>
    <row r="191" spans="1:8">
      <c r="A191" s="19" t="s">
        <v>809</v>
      </c>
      <c r="B191" s="19" t="s">
        <v>843</v>
      </c>
      <c r="C191" s="19" t="s">
        <v>824</v>
      </c>
      <c r="D191" s="19">
        <v>27</v>
      </c>
      <c r="E191" s="19" t="s">
        <v>812</v>
      </c>
      <c r="F191" s="19" t="s">
        <v>813</v>
      </c>
      <c r="G191" s="19">
        <v>3.3</v>
      </c>
      <c r="H191" s="19">
        <v>2.12</v>
      </c>
    </row>
    <row r="192" spans="1:8">
      <c r="A192" s="19" t="s">
        <v>809</v>
      </c>
      <c r="B192" s="19" t="s">
        <v>843</v>
      </c>
      <c r="C192" s="19" t="s">
        <v>824</v>
      </c>
      <c r="D192" s="19">
        <v>27</v>
      </c>
      <c r="E192" s="19" t="s">
        <v>812</v>
      </c>
      <c r="F192" s="19" t="s">
        <v>813</v>
      </c>
      <c r="G192" s="19">
        <v>1.2951807228915599</v>
      </c>
      <c r="H192" s="19">
        <v>4.20141342756183</v>
      </c>
    </row>
    <row r="193" spans="1:8">
      <c r="A193" s="19" t="s">
        <v>809</v>
      </c>
      <c r="B193" s="19" t="s">
        <v>843</v>
      </c>
      <c r="C193" s="19" t="s">
        <v>824</v>
      </c>
      <c r="D193" s="19">
        <v>27</v>
      </c>
      <c r="E193" s="19" t="s">
        <v>812</v>
      </c>
      <c r="F193" s="19" t="s">
        <v>814</v>
      </c>
      <c r="G193" s="19">
        <v>1.28</v>
      </c>
      <c r="H193" s="19">
        <v>2.12</v>
      </c>
    </row>
    <row r="194" spans="1:8">
      <c r="A194" s="19" t="s">
        <v>809</v>
      </c>
      <c r="B194" s="19" t="s">
        <v>843</v>
      </c>
      <c r="C194" s="19" t="s">
        <v>824</v>
      </c>
      <c r="D194" s="19">
        <v>27</v>
      </c>
      <c r="E194" s="19" t="s">
        <v>812</v>
      </c>
      <c r="F194" s="19" t="s">
        <v>814</v>
      </c>
      <c r="G194" s="19">
        <v>1.9578313253012001</v>
      </c>
      <c r="H194" s="19">
        <v>2.64</v>
      </c>
    </row>
    <row r="195" spans="1:8">
      <c r="A195" s="19" t="s">
        <v>809</v>
      </c>
      <c r="B195" s="19" t="s">
        <v>843</v>
      </c>
      <c r="C195" s="19" t="s">
        <v>824</v>
      </c>
      <c r="D195" s="19">
        <v>27</v>
      </c>
      <c r="E195" s="19" t="s">
        <v>812</v>
      </c>
      <c r="F195" s="19" t="s">
        <v>814</v>
      </c>
      <c r="G195" s="19">
        <v>7.0783132530120403</v>
      </c>
      <c r="H195" s="19">
        <v>3.17</v>
      </c>
    </row>
    <row r="196" spans="1:8">
      <c r="A196" s="19" t="s">
        <v>809</v>
      </c>
      <c r="B196" s="19" t="s">
        <v>843</v>
      </c>
      <c r="C196" s="19" t="s">
        <v>824</v>
      </c>
      <c r="D196" s="19">
        <v>27</v>
      </c>
      <c r="E196" s="19" t="s">
        <v>812</v>
      </c>
      <c r="F196" s="19" t="s">
        <v>814</v>
      </c>
      <c r="G196" s="19">
        <v>15.5722891566265</v>
      </c>
      <c r="H196" s="19">
        <v>3.6934628975265</v>
      </c>
    </row>
    <row r="197" spans="1:8">
      <c r="A197" s="19" t="s">
        <v>809</v>
      </c>
      <c r="B197" s="19" t="s">
        <v>843</v>
      </c>
      <c r="C197" s="19" t="s">
        <v>824</v>
      </c>
      <c r="D197" s="19">
        <v>27</v>
      </c>
      <c r="E197" s="19" t="s">
        <v>812</v>
      </c>
      <c r="F197" s="19" t="s">
        <v>814</v>
      </c>
      <c r="G197" s="19">
        <v>0.66265060240963802</v>
      </c>
      <c r="H197" s="19">
        <v>4.7</v>
      </c>
    </row>
    <row r="198" spans="1:8">
      <c r="A198" s="19" t="s">
        <v>809</v>
      </c>
      <c r="B198" s="19" t="s">
        <v>844</v>
      </c>
      <c r="C198" s="19" t="s">
        <v>826</v>
      </c>
      <c r="D198" s="19">
        <v>28</v>
      </c>
      <c r="E198" s="19" t="s">
        <v>812</v>
      </c>
      <c r="F198" s="19" t="s">
        <v>813</v>
      </c>
      <c r="G198" s="19">
        <v>28</v>
      </c>
      <c r="H198" s="19">
        <v>0.54587155963302703</v>
      </c>
    </row>
    <row r="199" spans="1:8">
      <c r="A199" s="19" t="s">
        <v>809</v>
      </c>
      <c r="B199" s="19" t="s">
        <v>844</v>
      </c>
      <c r="C199" s="19" t="s">
        <v>826</v>
      </c>
      <c r="D199" s="19">
        <v>28</v>
      </c>
      <c r="E199" s="19" t="s">
        <v>812</v>
      </c>
      <c r="F199" s="19" t="s">
        <v>813</v>
      </c>
      <c r="G199" s="19">
        <v>29.719188767550701</v>
      </c>
      <c r="H199" s="19">
        <v>1.08</v>
      </c>
    </row>
    <row r="200" spans="1:8">
      <c r="A200" s="19" t="s">
        <v>809</v>
      </c>
      <c r="B200" s="19" t="s">
        <v>844</v>
      </c>
      <c r="C200" s="19" t="s">
        <v>826</v>
      </c>
      <c r="D200" s="19">
        <v>28</v>
      </c>
      <c r="E200" s="19" t="s">
        <v>812</v>
      </c>
      <c r="F200" s="19" t="s">
        <v>813</v>
      </c>
      <c r="G200" s="19">
        <v>15.7254290171606</v>
      </c>
      <c r="H200" s="19">
        <v>1.6055045871559599</v>
      </c>
    </row>
    <row r="201" spans="1:8">
      <c r="A201" s="19" t="s">
        <v>809</v>
      </c>
      <c r="B201" s="19" t="s">
        <v>844</v>
      </c>
      <c r="C201" s="19" t="s">
        <v>826</v>
      </c>
      <c r="D201" s="19">
        <v>28</v>
      </c>
      <c r="E201" s="19" t="s">
        <v>812</v>
      </c>
      <c r="F201" s="19" t="s">
        <v>813</v>
      </c>
      <c r="G201" s="19">
        <v>9.7815912636505402</v>
      </c>
      <c r="H201" s="19">
        <v>2.1330275229357798</v>
      </c>
    </row>
    <row r="202" spans="1:8">
      <c r="A202" s="19" t="s">
        <v>809</v>
      </c>
      <c r="B202" s="19" t="s">
        <v>844</v>
      </c>
      <c r="C202" s="19" t="s">
        <v>826</v>
      </c>
      <c r="D202" s="19">
        <v>28</v>
      </c>
      <c r="E202" s="19" t="s">
        <v>812</v>
      </c>
      <c r="F202" s="19" t="s">
        <v>813</v>
      </c>
      <c r="G202" s="19">
        <v>6.0374414976599002</v>
      </c>
      <c r="H202" s="19">
        <v>4.1972477064220097</v>
      </c>
    </row>
    <row r="203" spans="1:8">
      <c r="A203" s="19" t="s">
        <v>809</v>
      </c>
      <c r="B203" s="19" t="s">
        <v>844</v>
      </c>
      <c r="C203" s="19" t="s">
        <v>826</v>
      </c>
      <c r="D203" s="19">
        <v>28</v>
      </c>
      <c r="E203" s="19" t="s">
        <v>812</v>
      </c>
      <c r="F203" s="19" t="s">
        <v>814</v>
      </c>
      <c r="G203" s="19">
        <v>2.0124804992199601</v>
      </c>
      <c r="H203" s="19">
        <v>2.1284403669724701</v>
      </c>
    </row>
    <row r="204" spans="1:8">
      <c r="A204" s="19" t="s">
        <v>809</v>
      </c>
      <c r="B204" s="19" t="s">
        <v>844</v>
      </c>
      <c r="C204" s="19" t="s">
        <v>826</v>
      </c>
      <c r="D204" s="19">
        <v>28</v>
      </c>
      <c r="E204" s="19" t="s">
        <v>812</v>
      </c>
      <c r="F204" s="19" t="s">
        <v>814</v>
      </c>
      <c r="G204" s="19">
        <v>7.95</v>
      </c>
      <c r="H204" s="19">
        <v>2.6467889908256801</v>
      </c>
    </row>
    <row r="205" spans="1:8">
      <c r="A205" s="19" t="s">
        <v>809</v>
      </c>
      <c r="B205" s="19" t="s">
        <v>844</v>
      </c>
      <c r="C205" s="19" t="s">
        <v>826</v>
      </c>
      <c r="D205" s="19">
        <v>28</v>
      </c>
      <c r="E205" s="19" t="s">
        <v>812</v>
      </c>
      <c r="F205" s="19" t="s">
        <v>814</v>
      </c>
      <c r="G205" s="19">
        <v>13.806552262090401</v>
      </c>
      <c r="H205" s="19">
        <v>3.1697247706421998</v>
      </c>
    </row>
    <row r="206" spans="1:8">
      <c r="A206" s="19" t="s">
        <v>809</v>
      </c>
      <c r="B206" s="19" t="s">
        <v>844</v>
      </c>
      <c r="C206" s="19" t="s">
        <v>826</v>
      </c>
      <c r="D206" s="19">
        <v>28</v>
      </c>
      <c r="E206" s="19" t="s">
        <v>812</v>
      </c>
      <c r="F206" s="19" t="s">
        <v>814</v>
      </c>
      <c r="G206" s="19">
        <v>27.659906396255799</v>
      </c>
      <c r="H206" s="19">
        <v>3.6972477064220102</v>
      </c>
    </row>
    <row r="207" spans="1:8">
      <c r="A207" s="19" t="s">
        <v>809</v>
      </c>
      <c r="B207" s="19" t="s">
        <v>844</v>
      </c>
      <c r="C207" s="19" t="s">
        <v>826</v>
      </c>
      <c r="D207" s="19">
        <v>28</v>
      </c>
      <c r="E207" s="19" t="s">
        <v>812</v>
      </c>
      <c r="F207" s="19" t="s">
        <v>814</v>
      </c>
      <c r="G207" s="19">
        <v>5.8970358814352499</v>
      </c>
      <c r="H207" s="19">
        <v>4.7018348623853203</v>
      </c>
    </row>
    <row r="208" spans="1:8">
      <c r="A208" s="19" t="s">
        <v>809</v>
      </c>
      <c r="B208" s="19" t="s">
        <v>845</v>
      </c>
      <c r="C208" s="19" t="s">
        <v>827</v>
      </c>
      <c r="D208" s="19">
        <v>28</v>
      </c>
      <c r="E208" s="19" t="s">
        <v>812</v>
      </c>
      <c r="F208" s="19" t="s">
        <v>813</v>
      </c>
      <c r="G208" s="19">
        <v>28</v>
      </c>
      <c r="H208" s="19">
        <v>0.53558718861209897</v>
      </c>
    </row>
    <row r="209" spans="1:8">
      <c r="A209" s="19" t="s">
        <v>809</v>
      </c>
      <c r="B209" s="19" t="s">
        <v>845</v>
      </c>
      <c r="C209" s="19" t="s">
        <v>827</v>
      </c>
      <c r="D209" s="19">
        <v>28</v>
      </c>
      <c r="E209" s="19" t="s">
        <v>812</v>
      </c>
      <c r="F209" s="19" t="s">
        <v>813</v>
      </c>
      <c r="G209" s="19">
        <v>11.3981762917933</v>
      </c>
      <c r="H209" s="19">
        <v>1.0738434163701001</v>
      </c>
    </row>
    <row r="210" spans="1:8">
      <c r="A210" s="19" t="s">
        <v>809</v>
      </c>
      <c r="B210" s="19" t="s">
        <v>845</v>
      </c>
      <c r="C210" s="19" t="s">
        <v>827</v>
      </c>
      <c r="D210" s="19">
        <v>28</v>
      </c>
      <c r="E210" s="19" t="s">
        <v>812</v>
      </c>
      <c r="F210" s="19" t="s">
        <v>813</v>
      </c>
      <c r="G210" s="19">
        <v>5.8662613981762899</v>
      </c>
      <c r="H210" s="19">
        <v>1.6032028469750801</v>
      </c>
    </row>
    <row r="211" spans="1:8">
      <c r="A211" s="19" t="s">
        <v>809</v>
      </c>
      <c r="B211" s="19" t="s">
        <v>845</v>
      </c>
      <c r="C211" s="19" t="s">
        <v>827</v>
      </c>
      <c r="D211" s="19">
        <v>28</v>
      </c>
      <c r="E211" s="19" t="s">
        <v>812</v>
      </c>
      <c r="F211" s="19" t="s">
        <v>813</v>
      </c>
      <c r="G211" s="19">
        <v>4.3161094224924001</v>
      </c>
      <c r="H211" s="19">
        <v>2.6530249110320199</v>
      </c>
    </row>
    <row r="212" spans="1:8">
      <c r="A212" s="19" t="s">
        <v>809</v>
      </c>
      <c r="B212" s="19" t="s">
        <v>845</v>
      </c>
      <c r="C212" s="19" t="s">
        <v>827</v>
      </c>
      <c r="D212" s="19">
        <v>28</v>
      </c>
      <c r="E212" s="19" t="s">
        <v>812</v>
      </c>
      <c r="F212" s="19" t="s">
        <v>813</v>
      </c>
      <c r="G212" s="19">
        <v>6.2917933130699</v>
      </c>
      <c r="H212" s="19">
        <v>3.6895017793594298</v>
      </c>
    </row>
    <row r="213" spans="1:8">
      <c r="A213" s="19" t="s">
        <v>809</v>
      </c>
      <c r="B213" s="19" t="s">
        <v>845</v>
      </c>
      <c r="C213" s="19" t="s">
        <v>827</v>
      </c>
      <c r="D213" s="19">
        <v>28</v>
      </c>
      <c r="E213" s="19" t="s">
        <v>812</v>
      </c>
      <c r="F213" s="19" t="s">
        <v>814</v>
      </c>
      <c r="G213" s="19">
        <v>0.88145896656534894</v>
      </c>
      <c r="H213" s="19">
        <v>4.6814946619217004</v>
      </c>
    </row>
    <row r="214" spans="1:8">
      <c r="A214" s="19" t="s">
        <v>809</v>
      </c>
      <c r="B214" s="19" t="s">
        <v>845</v>
      </c>
      <c r="C214" s="19" t="s">
        <v>827</v>
      </c>
      <c r="D214" s="19">
        <v>28</v>
      </c>
      <c r="E214" s="19" t="s">
        <v>812</v>
      </c>
      <c r="F214" s="19" t="s">
        <v>814</v>
      </c>
      <c r="G214" s="19">
        <v>2.4620060790273501</v>
      </c>
      <c r="H214" s="19">
        <v>5.1975088967971503</v>
      </c>
    </row>
    <row r="215" spans="1:8">
      <c r="A215" s="19" t="s">
        <v>809</v>
      </c>
      <c r="B215" s="19" t="s">
        <v>845</v>
      </c>
      <c r="C215" s="19" t="s">
        <v>827</v>
      </c>
      <c r="D215" s="19">
        <v>28</v>
      </c>
      <c r="E215" s="19" t="s">
        <v>812</v>
      </c>
      <c r="F215" s="19" t="s">
        <v>814</v>
      </c>
      <c r="G215" s="19">
        <v>2.88753799392097</v>
      </c>
      <c r="H215" s="19">
        <v>2.1281138790035499</v>
      </c>
    </row>
    <row r="216" spans="1:8">
      <c r="A216" s="19" t="s">
        <v>809</v>
      </c>
      <c r="B216" s="19" t="s">
        <v>845</v>
      </c>
      <c r="C216" s="19" t="s">
        <v>827</v>
      </c>
      <c r="D216" s="19">
        <v>28</v>
      </c>
      <c r="E216" s="19" t="s">
        <v>812</v>
      </c>
      <c r="F216" s="19" t="s">
        <v>814</v>
      </c>
      <c r="G216" s="19">
        <v>5.18</v>
      </c>
      <c r="H216" s="19">
        <v>3.1645907473309598</v>
      </c>
    </row>
    <row r="217" spans="1:8">
      <c r="A217" s="19" t="s">
        <v>809</v>
      </c>
      <c r="B217" s="19" t="s">
        <v>845</v>
      </c>
      <c r="C217" s="19" t="s">
        <v>827</v>
      </c>
      <c r="D217" s="19">
        <v>28</v>
      </c>
      <c r="E217" s="19" t="s">
        <v>812</v>
      </c>
      <c r="F217" s="19" t="s">
        <v>814</v>
      </c>
      <c r="G217" s="19">
        <v>7.9939209726443696</v>
      </c>
      <c r="H217" s="19">
        <v>4.1877224199288197</v>
      </c>
    </row>
    <row r="218" spans="1:8">
      <c r="A218" s="19" t="s">
        <v>809</v>
      </c>
      <c r="B218" s="19" t="s">
        <v>846</v>
      </c>
      <c r="C218" s="19" t="s">
        <v>829</v>
      </c>
      <c r="D218" s="19">
        <v>29</v>
      </c>
      <c r="E218" s="19" t="s">
        <v>812</v>
      </c>
      <c r="F218" s="19" t="s">
        <v>813</v>
      </c>
      <c r="G218" s="19">
        <v>29</v>
      </c>
      <c r="H218" s="19">
        <v>0.54520795660036103</v>
      </c>
    </row>
    <row r="219" spans="1:8">
      <c r="A219" s="19" t="s">
        <v>809</v>
      </c>
      <c r="B219" s="19" t="s">
        <v>846</v>
      </c>
      <c r="C219" s="19" t="s">
        <v>829</v>
      </c>
      <c r="D219" s="19">
        <v>29</v>
      </c>
      <c r="E219" s="19" t="s">
        <v>812</v>
      </c>
      <c r="F219" s="19" t="s">
        <v>813</v>
      </c>
      <c r="G219" s="19">
        <v>17.100000000000001</v>
      </c>
      <c r="H219" s="19">
        <v>1.08318264014466</v>
      </c>
    </row>
    <row r="220" spans="1:8">
      <c r="A220" s="19" t="s">
        <v>809</v>
      </c>
      <c r="B220" s="19" t="s">
        <v>846</v>
      </c>
      <c r="C220" s="19" t="s">
        <v>829</v>
      </c>
      <c r="D220" s="19">
        <v>29</v>
      </c>
      <c r="E220" s="19" t="s">
        <v>812</v>
      </c>
      <c r="F220" s="19" t="s">
        <v>813</v>
      </c>
      <c r="G220" s="19">
        <v>9.6199999999999992</v>
      </c>
      <c r="H220" s="19">
        <v>1.62</v>
      </c>
    </row>
    <row r="221" spans="1:8">
      <c r="A221" s="19" t="s">
        <v>809</v>
      </c>
      <c r="B221" s="19" t="s">
        <v>846</v>
      </c>
      <c r="C221" s="19" t="s">
        <v>829</v>
      </c>
      <c r="D221" s="19">
        <v>29</v>
      </c>
      <c r="E221" s="19" t="s">
        <v>812</v>
      </c>
      <c r="F221" s="19" t="s">
        <v>813</v>
      </c>
      <c r="G221" s="19">
        <v>4.8499999999999996</v>
      </c>
      <c r="H221" s="19">
        <v>2.14</v>
      </c>
    </row>
    <row r="222" spans="1:8">
      <c r="A222" s="19" t="s">
        <v>809</v>
      </c>
      <c r="B222" s="19" t="s">
        <v>846</v>
      </c>
      <c r="C222" s="19" t="s">
        <v>829</v>
      </c>
      <c r="D222" s="19">
        <v>29</v>
      </c>
      <c r="E222" s="19" t="s">
        <v>812</v>
      </c>
      <c r="F222" s="19" t="s">
        <v>813</v>
      </c>
      <c r="G222" s="19">
        <v>3.9</v>
      </c>
      <c r="H222" s="19">
        <v>2.66</v>
      </c>
    </row>
    <row r="223" spans="1:8">
      <c r="A223" s="19" t="s">
        <v>809</v>
      </c>
      <c r="B223" s="19" t="s">
        <v>846</v>
      </c>
      <c r="C223" s="19" t="s">
        <v>829</v>
      </c>
      <c r="D223" s="19">
        <v>29</v>
      </c>
      <c r="E223" s="19" t="s">
        <v>812</v>
      </c>
      <c r="F223" s="19" t="s">
        <v>813</v>
      </c>
      <c r="G223" s="19">
        <v>2.4</v>
      </c>
      <c r="H223" s="19">
        <v>3.18</v>
      </c>
    </row>
    <row r="224" spans="1:8">
      <c r="A224" s="19" t="s">
        <v>809</v>
      </c>
      <c r="B224" s="19" t="s">
        <v>846</v>
      </c>
      <c r="C224" s="19" t="s">
        <v>829</v>
      </c>
      <c r="D224" s="19">
        <v>29</v>
      </c>
      <c r="E224" s="19" t="s">
        <v>812</v>
      </c>
      <c r="F224" s="19" t="s">
        <v>814</v>
      </c>
      <c r="G224" s="19">
        <v>2.37</v>
      </c>
      <c r="H224" s="19">
        <v>3.1749999999999998</v>
      </c>
    </row>
    <row r="225" spans="1:8">
      <c r="A225" s="19" t="s">
        <v>809</v>
      </c>
      <c r="B225" s="19" t="s">
        <v>846</v>
      </c>
      <c r="C225" s="19" t="s">
        <v>829</v>
      </c>
      <c r="D225" s="19">
        <v>29</v>
      </c>
      <c r="E225" s="19" t="s">
        <v>812</v>
      </c>
      <c r="F225" s="19" t="s">
        <v>814</v>
      </c>
      <c r="G225" s="19">
        <v>3.9</v>
      </c>
      <c r="H225" s="19">
        <v>3.6909999999999998</v>
      </c>
    </row>
    <row r="226" spans="1:8">
      <c r="A226" s="19" t="s">
        <v>809</v>
      </c>
      <c r="B226" s="19" t="s">
        <v>846</v>
      </c>
      <c r="C226" s="19" t="s">
        <v>829</v>
      </c>
      <c r="D226" s="19">
        <v>29</v>
      </c>
      <c r="E226" s="19" t="s">
        <v>812</v>
      </c>
      <c r="F226" s="19" t="s">
        <v>814</v>
      </c>
      <c r="G226" s="19">
        <v>5.31</v>
      </c>
      <c r="H226" s="19">
        <v>4.2</v>
      </c>
    </row>
    <row r="227" spans="1:8">
      <c r="A227" s="19" t="s">
        <v>809</v>
      </c>
      <c r="B227" s="19" t="s">
        <v>846</v>
      </c>
      <c r="C227" s="19" t="s">
        <v>829</v>
      </c>
      <c r="D227" s="19">
        <v>29</v>
      </c>
      <c r="E227" s="19" t="s">
        <v>812</v>
      </c>
      <c r="F227" s="19" t="s">
        <v>814</v>
      </c>
      <c r="G227" s="19">
        <v>7.15</v>
      </c>
      <c r="H227" s="19">
        <v>4.7</v>
      </c>
    </row>
    <row r="228" spans="1:8">
      <c r="A228" s="19" t="s">
        <v>809</v>
      </c>
      <c r="B228" s="19" t="s">
        <v>846</v>
      </c>
      <c r="C228" s="19" t="s">
        <v>829</v>
      </c>
      <c r="D228" s="19">
        <v>29</v>
      </c>
      <c r="E228" s="19" t="s">
        <v>812</v>
      </c>
      <c r="F228" s="19" t="s">
        <v>814</v>
      </c>
      <c r="G228" s="19">
        <v>10.4923076923076</v>
      </c>
      <c r="H228" s="19">
        <v>5.2050000000000001</v>
      </c>
    </row>
    <row r="229" spans="1:8">
      <c r="A229" s="19" t="s">
        <v>809</v>
      </c>
      <c r="B229" s="19" t="s">
        <v>846</v>
      </c>
      <c r="C229" s="19" t="s">
        <v>829</v>
      </c>
      <c r="D229" s="19">
        <v>29</v>
      </c>
      <c r="E229" s="19" t="s">
        <v>812</v>
      </c>
      <c r="F229" s="19" t="s">
        <v>814</v>
      </c>
      <c r="G229" s="19">
        <v>13.7846153846153</v>
      </c>
      <c r="H229" s="19">
        <v>3.6949999999999998</v>
      </c>
    </row>
    <row r="230" spans="1:8">
      <c r="A230" s="19" t="s">
        <v>809</v>
      </c>
      <c r="B230" s="19" t="s">
        <v>847</v>
      </c>
      <c r="C230" s="19" t="s">
        <v>831</v>
      </c>
      <c r="D230" s="19">
        <v>29</v>
      </c>
      <c r="E230" s="19" t="s">
        <v>812</v>
      </c>
      <c r="F230" s="19" t="s">
        <v>813</v>
      </c>
      <c r="G230" s="19">
        <v>29</v>
      </c>
      <c r="H230" s="19">
        <v>0.53533568904593598</v>
      </c>
    </row>
    <row r="231" spans="1:8">
      <c r="A231" s="19" t="s">
        <v>809</v>
      </c>
      <c r="B231" s="19" t="s">
        <v>847</v>
      </c>
      <c r="C231" s="19" t="s">
        <v>831</v>
      </c>
      <c r="D231" s="19">
        <v>29</v>
      </c>
      <c r="E231" s="19" t="s">
        <v>812</v>
      </c>
      <c r="F231" s="19" t="s">
        <v>813</v>
      </c>
      <c r="G231" s="19">
        <v>16.936936936936899</v>
      </c>
      <c r="H231" s="19">
        <v>1.0786219081271999</v>
      </c>
    </row>
    <row r="232" spans="1:8">
      <c r="A232" s="19" t="s">
        <v>809</v>
      </c>
      <c r="B232" s="19" t="s">
        <v>847</v>
      </c>
      <c r="C232" s="19" t="s">
        <v>831</v>
      </c>
      <c r="D232" s="19">
        <v>29</v>
      </c>
      <c r="E232" s="19" t="s">
        <v>812</v>
      </c>
      <c r="F232" s="19" t="s">
        <v>813</v>
      </c>
      <c r="G232" s="19">
        <v>8.7837837837837807</v>
      </c>
      <c r="H232" s="19">
        <v>1.5998233215547699</v>
      </c>
    </row>
    <row r="233" spans="1:8">
      <c r="A233" s="19" t="s">
        <v>809</v>
      </c>
      <c r="B233" s="19" t="s">
        <v>847</v>
      </c>
      <c r="C233" s="19" t="s">
        <v>831</v>
      </c>
      <c r="D233" s="19">
        <v>29</v>
      </c>
      <c r="E233" s="19" t="s">
        <v>812</v>
      </c>
      <c r="F233" s="19" t="s">
        <v>813</v>
      </c>
      <c r="G233" s="19">
        <v>4.7297297297297298</v>
      </c>
      <c r="H233" s="19">
        <v>2.1342756183745499</v>
      </c>
    </row>
    <row r="234" spans="1:8">
      <c r="A234" s="19" t="s">
        <v>809</v>
      </c>
      <c r="B234" s="19" t="s">
        <v>847</v>
      </c>
      <c r="C234" s="19" t="s">
        <v>831</v>
      </c>
      <c r="D234" s="19">
        <v>29</v>
      </c>
      <c r="E234" s="19" t="s">
        <v>812</v>
      </c>
      <c r="F234" s="19" t="s">
        <v>813</v>
      </c>
      <c r="G234" s="19">
        <v>3.91891891891891</v>
      </c>
      <c r="H234" s="19">
        <v>2.6554770318021199</v>
      </c>
    </row>
    <row r="235" spans="1:8">
      <c r="A235" s="19" t="s">
        <v>809</v>
      </c>
      <c r="B235" s="19" t="s">
        <v>847</v>
      </c>
      <c r="C235" s="19" t="s">
        <v>831</v>
      </c>
      <c r="D235" s="19">
        <v>29</v>
      </c>
      <c r="E235" s="19" t="s">
        <v>812</v>
      </c>
      <c r="F235" s="19" t="s">
        <v>813</v>
      </c>
      <c r="G235" s="19">
        <v>1.9819819819819799</v>
      </c>
      <c r="H235" s="19">
        <v>3.1678445229681902</v>
      </c>
    </row>
    <row r="236" spans="1:8">
      <c r="A236" s="19" t="s">
        <v>809</v>
      </c>
      <c r="B236" s="19" t="s">
        <v>847</v>
      </c>
      <c r="C236" s="19" t="s">
        <v>831</v>
      </c>
      <c r="D236" s="19">
        <v>29</v>
      </c>
      <c r="E236" s="19" t="s">
        <v>812</v>
      </c>
      <c r="F236" s="19" t="s">
        <v>814</v>
      </c>
      <c r="G236" s="19">
        <v>4.7297297297297298</v>
      </c>
      <c r="H236" s="19">
        <v>2.64664310954063</v>
      </c>
    </row>
    <row r="237" spans="1:8">
      <c r="A237" s="19" t="s">
        <v>809</v>
      </c>
      <c r="B237" s="19" t="s">
        <v>847</v>
      </c>
      <c r="C237" s="19" t="s">
        <v>831</v>
      </c>
      <c r="D237" s="19">
        <v>29</v>
      </c>
      <c r="E237" s="19" t="s">
        <v>812</v>
      </c>
      <c r="F237" s="19" t="s">
        <v>814</v>
      </c>
      <c r="G237" s="19">
        <v>5.6306306306306304</v>
      </c>
      <c r="H237" s="19">
        <v>3.1678445229681902</v>
      </c>
    </row>
    <row r="238" spans="1:8">
      <c r="A238" s="19" t="s">
        <v>809</v>
      </c>
      <c r="B238" s="19" t="s">
        <v>847</v>
      </c>
      <c r="C238" s="19" t="s">
        <v>831</v>
      </c>
      <c r="D238" s="19">
        <v>29</v>
      </c>
      <c r="E238" s="19" t="s">
        <v>812</v>
      </c>
      <c r="F238" s="19" t="s">
        <v>814</v>
      </c>
      <c r="G238" s="19">
        <v>9.6846846846846795</v>
      </c>
      <c r="H238" s="19">
        <v>3.6846289752650101</v>
      </c>
    </row>
    <row r="239" spans="1:8">
      <c r="A239" s="19" t="s">
        <v>809</v>
      </c>
      <c r="B239" s="19" t="s">
        <v>847</v>
      </c>
      <c r="C239" s="19" t="s">
        <v>831</v>
      </c>
      <c r="D239" s="19">
        <v>29</v>
      </c>
      <c r="E239" s="19" t="s">
        <v>812</v>
      </c>
      <c r="F239" s="19" t="s">
        <v>814</v>
      </c>
      <c r="G239" s="19">
        <v>10.495495495495399</v>
      </c>
      <c r="H239" s="19">
        <v>4.1925795053003503</v>
      </c>
    </row>
    <row r="240" spans="1:8">
      <c r="A240" s="19" t="s">
        <v>809</v>
      </c>
      <c r="B240" s="19" t="s">
        <v>847</v>
      </c>
      <c r="C240" s="19" t="s">
        <v>831</v>
      </c>
      <c r="D240" s="19">
        <v>29</v>
      </c>
      <c r="E240" s="19" t="s">
        <v>812</v>
      </c>
      <c r="F240" s="19" t="s">
        <v>814</v>
      </c>
      <c r="G240" s="19">
        <v>15</v>
      </c>
      <c r="H240" s="19">
        <v>4.6916961130742001</v>
      </c>
    </row>
    <row r="241" spans="1:8">
      <c r="A241" s="19" t="s">
        <v>809</v>
      </c>
      <c r="B241" s="19" t="s">
        <v>847</v>
      </c>
      <c r="C241" s="19" t="s">
        <v>831</v>
      </c>
      <c r="D241" s="19">
        <v>29</v>
      </c>
      <c r="E241" s="19" t="s">
        <v>812</v>
      </c>
      <c r="F241" s="19" t="s">
        <v>814</v>
      </c>
      <c r="G241" s="19">
        <v>25.270270270270199</v>
      </c>
      <c r="H241" s="19">
        <v>5.1952296819787902</v>
      </c>
    </row>
    <row r="242" spans="1:8">
      <c r="A242" s="19" t="s">
        <v>809</v>
      </c>
      <c r="B242" s="19" t="s">
        <v>848</v>
      </c>
      <c r="C242" s="19" t="s">
        <v>833</v>
      </c>
      <c r="D242" s="19">
        <v>30</v>
      </c>
      <c r="E242" s="19" t="s">
        <v>812</v>
      </c>
      <c r="F242" s="19" t="s">
        <v>813</v>
      </c>
      <c r="G242" s="19">
        <v>30</v>
      </c>
      <c r="H242" s="19">
        <v>0.531222123104371</v>
      </c>
    </row>
    <row r="243" spans="1:8">
      <c r="A243" s="19" t="s">
        <v>809</v>
      </c>
      <c r="B243" s="19" t="s">
        <v>848</v>
      </c>
      <c r="C243" s="19" t="s">
        <v>833</v>
      </c>
      <c r="D243" s="19">
        <v>30</v>
      </c>
      <c r="E243" s="19" t="s">
        <v>812</v>
      </c>
      <c r="F243" s="19" t="s">
        <v>813</v>
      </c>
      <c r="G243" s="19">
        <v>17.350000000000001</v>
      </c>
      <c r="H243" s="19">
        <v>1.07091882247992</v>
      </c>
    </row>
    <row r="244" spans="1:8">
      <c r="A244" s="19" t="s">
        <v>809</v>
      </c>
      <c r="B244" s="19" t="s">
        <v>848</v>
      </c>
      <c r="C244" s="19" t="s">
        <v>833</v>
      </c>
      <c r="D244" s="19">
        <v>30</v>
      </c>
      <c r="E244" s="19" t="s">
        <v>812</v>
      </c>
      <c r="F244" s="19" t="s">
        <v>813</v>
      </c>
      <c r="G244" s="19">
        <v>11.5</v>
      </c>
      <c r="H244" s="19">
        <v>1.59277430865298</v>
      </c>
    </row>
    <row r="245" spans="1:8">
      <c r="A245" s="19" t="s">
        <v>809</v>
      </c>
      <c r="B245" s="19" t="s">
        <v>848</v>
      </c>
      <c r="C245" s="19" t="s">
        <v>833</v>
      </c>
      <c r="D245" s="19">
        <v>30</v>
      </c>
      <c r="E245" s="19" t="s">
        <v>812</v>
      </c>
      <c r="F245" s="19" t="s">
        <v>813</v>
      </c>
      <c r="G245" s="19">
        <v>7.6255707762557003</v>
      </c>
      <c r="H245" s="19">
        <v>2.1235504014272899</v>
      </c>
    </row>
    <row r="246" spans="1:8">
      <c r="A246" s="19" t="s">
        <v>809</v>
      </c>
      <c r="B246" s="19" t="s">
        <v>848</v>
      </c>
      <c r="C246" s="19" t="s">
        <v>833</v>
      </c>
      <c r="D246" s="19">
        <v>30</v>
      </c>
      <c r="E246" s="19" t="s">
        <v>812</v>
      </c>
      <c r="F246" s="19" t="s">
        <v>813</v>
      </c>
      <c r="G246" s="19">
        <v>5.93607305936073</v>
      </c>
      <c r="H246" s="19">
        <v>4.6882247992863499</v>
      </c>
    </row>
    <row r="247" spans="1:8">
      <c r="A247" s="19" t="s">
        <v>809</v>
      </c>
      <c r="B247" s="19" t="s">
        <v>848</v>
      </c>
      <c r="C247" s="19" t="s">
        <v>833</v>
      </c>
      <c r="D247" s="19">
        <v>30</v>
      </c>
      <c r="E247" s="19" t="s">
        <v>812</v>
      </c>
      <c r="F247" s="19" t="s">
        <v>814</v>
      </c>
      <c r="G247" s="19">
        <v>9.6347031963470293</v>
      </c>
      <c r="H247" s="19">
        <v>2.65</v>
      </c>
    </row>
    <row r="248" spans="1:8">
      <c r="A248" s="19" t="s">
        <v>809</v>
      </c>
      <c r="B248" s="19" t="s">
        <v>848</v>
      </c>
      <c r="C248" s="19" t="s">
        <v>833</v>
      </c>
      <c r="D248" s="19">
        <v>30</v>
      </c>
      <c r="E248" s="19" t="s">
        <v>812</v>
      </c>
      <c r="F248" s="19" t="s">
        <v>814</v>
      </c>
      <c r="G248" s="19">
        <v>11.324200913242001</v>
      </c>
      <c r="H248" s="19">
        <v>3.1749999999999998</v>
      </c>
    </row>
    <row r="249" spans="1:8">
      <c r="A249" s="19" t="s">
        <v>809</v>
      </c>
      <c r="B249" s="19" t="s">
        <v>848</v>
      </c>
      <c r="C249" s="19" t="s">
        <v>833</v>
      </c>
      <c r="D249" s="19">
        <v>30</v>
      </c>
      <c r="E249" s="19" t="s">
        <v>812</v>
      </c>
      <c r="F249" s="19" t="s">
        <v>814</v>
      </c>
      <c r="G249" s="19">
        <v>15.570776255707701</v>
      </c>
      <c r="H249" s="19">
        <v>3.6891168599464699</v>
      </c>
    </row>
    <row r="250" spans="1:8">
      <c r="A250" s="19" t="s">
        <v>809</v>
      </c>
      <c r="B250" s="19" t="s">
        <v>848</v>
      </c>
      <c r="C250" s="19" t="s">
        <v>833</v>
      </c>
      <c r="D250" s="19">
        <v>30</v>
      </c>
      <c r="E250" s="19" t="s">
        <v>812</v>
      </c>
      <c r="F250" s="19" t="s">
        <v>814</v>
      </c>
      <c r="G250" s="19">
        <v>19.1324200913242</v>
      </c>
      <c r="H250" s="19">
        <v>4.1931311329170304</v>
      </c>
    </row>
    <row r="251" spans="1:8">
      <c r="A251" s="19" t="s">
        <v>809</v>
      </c>
      <c r="B251" s="19" t="s">
        <v>848</v>
      </c>
      <c r="C251" s="19" t="s">
        <v>833</v>
      </c>
      <c r="D251" s="19">
        <v>30</v>
      </c>
      <c r="E251" s="19" t="s">
        <v>812</v>
      </c>
      <c r="F251" s="19" t="s">
        <v>814</v>
      </c>
      <c r="G251" s="19">
        <v>4.0639269406392602</v>
      </c>
      <c r="H251" s="19">
        <v>5.2011596788581604</v>
      </c>
    </row>
    <row r="252" spans="1:8">
      <c r="A252" s="19" t="s">
        <v>809</v>
      </c>
      <c r="B252" s="19" t="s">
        <v>849</v>
      </c>
      <c r="C252" s="19" t="s">
        <v>834</v>
      </c>
      <c r="D252" s="19">
        <v>30</v>
      </c>
      <c r="E252" s="19" t="s">
        <v>812</v>
      </c>
      <c r="F252" s="19" t="s">
        <v>813</v>
      </c>
      <c r="G252" s="19">
        <v>30</v>
      </c>
      <c r="H252" s="19">
        <v>0.53913043478260803</v>
      </c>
    </row>
    <row r="253" spans="1:8">
      <c r="A253" s="19" t="s">
        <v>809</v>
      </c>
      <c r="B253" s="19" t="s">
        <v>849</v>
      </c>
      <c r="C253" s="19" t="s">
        <v>834</v>
      </c>
      <c r="D253" s="19">
        <v>30</v>
      </c>
      <c r="E253" s="19" t="s">
        <v>812</v>
      </c>
      <c r="F253" s="19" t="s">
        <v>813</v>
      </c>
      <c r="G253" s="19">
        <v>8.1008902077151301</v>
      </c>
      <c r="H253" s="19">
        <v>1.0782608695652101</v>
      </c>
    </row>
    <row r="254" spans="1:8">
      <c r="A254" s="19" t="s">
        <v>809</v>
      </c>
      <c r="B254" s="19" t="s">
        <v>849</v>
      </c>
      <c r="C254" s="19" t="s">
        <v>834</v>
      </c>
      <c r="D254" s="19">
        <v>30</v>
      </c>
      <c r="E254" s="19" t="s">
        <v>812</v>
      </c>
      <c r="F254" s="19" t="s">
        <v>813</v>
      </c>
      <c r="G254" s="19">
        <v>5.8160237388724001</v>
      </c>
      <c r="H254" s="19">
        <v>1.6</v>
      </c>
    </row>
    <row r="255" spans="1:8">
      <c r="A255" s="19" t="s">
        <v>809</v>
      </c>
      <c r="B255" s="19" t="s">
        <v>849</v>
      </c>
      <c r="C255" s="19" t="s">
        <v>834</v>
      </c>
      <c r="D255" s="19">
        <v>30</v>
      </c>
      <c r="E255" s="19" t="s">
        <v>812</v>
      </c>
      <c r="F255" s="19" t="s">
        <v>813</v>
      </c>
      <c r="G255" s="19">
        <v>3.7388724035608298</v>
      </c>
      <c r="H255" s="19">
        <v>2.64782608695652</v>
      </c>
    </row>
    <row r="256" spans="1:8">
      <c r="A256" s="19" t="s">
        <v>809</v>
      </c>
      <c r="B256" s="19" t="s">
        <v>849</v>
      </c>
      <c r="C256" s="19" t="s">
        <v>834</v>
      </c>
      <c r="D256" s="19">
        <v>30</v>
      </c>
      <c r="E256" s="19" t="s">
        <v>812</v>
      </c>
      <c r="F256" s="19" t="s">
        <v>813</v>
      </c>
      <c r="G256" s="19">
        <v>1.5133531157269999</v>
      </c>
      <c r="H256" s="19">
        <v>3.6956521739130399</v>
      </c>
    </row>
    <row r="257" spans="1:11">
      <c r="A257" s="19" t="s">
        <v>809</v>
      </c>
      <c r="B257" s="19" t="s">
        <v>849</v>
      </c>
      <c r="C257" s="19" t="s">
        <v>834</v>
      </c>
      <c r="D257" s="19">
        <v>30</v>
      </c>
      <c r="E257" s="19" t="s">
        <v>812</v>
      </c>
      <c r="F257" s="19" t="s">
        <v>813</v>
      </c>
      <c r="G257" s="19">
        <v>0.53412462908011804</v>
      </c>
      <c r="H257" s="19">
        <v>4.6956521739130404</v>
      </c>
    </row>
    <row r="258" spans="1:11">
      <c r="A258" s="19" t="s">
        <v>809</v>
      </c>
      <c r="B258" s="19" t="s">
        <v>849</v>
      </c>
      <c r="C258" s="19" t="s">
        <v>834</v>
      </c>
      <c r="D258" s="19">
        <v>30</v>
      </c>
      <c r="E258" s="19" t="s">
        <v>812</v>
      </c>
      <c r="F258" s="19" t="s">
        <v>814</v>
      </c>
      <c r="G258" s="19">
        <v>5.7566765578635</v>
      </c>
      <c r="H258" s="19">
        <v>1.07391304347826</v>
      </c>
    </row>
    <row r="259" spans="1:11">
      <c r="A259" s="19" t="s">
        <v>809</v>
      </c>
      <c r="B259" s="19" t="s">
        <v>849</v>
      </c>
      <c r="C259" s="19" t="s">
        <v>834</v>
      </c>
      <c r="D259" s="19">
        <v>30</v>
      </c>
      <c r="E259" s="19" t="s">
        <v>812</v>
      </c>
      <c r="F259" s="19" t="s">
        <v>814</v>
      </c>
      <c r="G259" s="19">
        <v>7.1513353115726996</v>
      </c>
      <c r="H259" s="19">
        <v>1.6</v>
      </c>
    </row>
    <row r="260" spans="1:11">
      <c r="A260" s="19" t="s">
        <v>809</v>
      </c>
      <c r="B260" s="19" t="s">
        <v>849</v>
      </c>
      <c r="C260" s="19" t="s">
        <v>834</v>
      </c>
      <c r="D260" s="19">
        <v>30</v>
      </c>
      <c r="E260" s="19" t="s">
        <v>812</v>
      </c>
      <c r="F260" s="19" t="s">
        <v>814</v>
      </c>
      <c r="G260" s="19">
        <v>11.1275964391691</v>
      </c>
      <c r="H260" s="19">
        <v>2.1217391304347801</v>
      </c>
    </row>
    <row r="261" spans="1:11">
      <c r="A261" s="19" t="s">
        <v>809</v>
      </c>
      <c r="B261" s="19" t="s">
        <v>849</v>
      </c>
      <c r="C261" s="19" t="s">
        <v>834</v>
      </c>
      <c r="D261" s="19">
        <v>30</v>
      </c>
      <c r="E261" s="19" t="s">
        <v>812</v>
      </c>
      <c r="F261" s="19" t="s">
        <v>814</v>
      </c>
      <c r="G261" s="19">
        <v>3.79821958456973</v>
      </c>
      <c r="H261" s="19">
        <v>3.1739130434782599</v>
      </c>
    </row>
    <row r="262" spans="1:11">
      <c r="A262" s="19" t="s">
        <v>809</v>
      </c>
      <c r="B262" s="19" t="s">
        <v>849</v>
      </c>
      <c r="C262" s="19" t="s">
        <v>834</v>
      </c>
      <c r="D262" s="19">
        <v>30</v>
      </c>
      <c r="E262" s="19" t="s">
        <v>812</v>
      </c>
      <c r="F262" s="19" t="s">
        <v>814</v>
      </c>
      <c r="G262" s="19">
        <v>0.53412462908011804</v>
      </c>
      <c r="H262" s="19">
        <v>4.2</v>
      </c>
    </row>
    <row r="263" spans="1:11">
      <c r="A263" s="19" t="s">
        <v>809</v>
      </c>
      <c r="B263" s="19" t="s">
        <v>849</v>
      </c>
      <c r="C263" s="19" t="s">
        <v>834</v>
      </c>
      <c r="D263" s="19">
        <v>30</v>
      </c>
      <c r="E263" s="19" t="s">
        <v>812</v>
      </c>
      <c r="F263" s="19" t="s">
        <v>814</v>
      </c>
      <c r="G263" s="19">
        <v>0.56379821958456899</v>
      </c>
      <c r="H263" s="19">
        <v>5.2043478260869502</v>
      </c>
    </row>
    <row r="264" spans="1:11">
      <c r="A264" s="19" t="s">
        <v>809</v>
      </c>
      <c r="B264" s="19" t="s">
        <v>819</v>
      </c>
      <c r="C264" s="19" t="s">
        <v>850</v>
      </c>
      <c r="D264" s="19">
        <v>17</v>
      </c>
      <c r="F264" s="19" t="s">
        <v>813</v>
      </c>
      <c r="G264" s="19">
        <v>17</v>
      </c>
      <c r="H264" s="19">
        <v>0.5</v>
      </c>
      <c r="I264" s="19">
        <v>4.9000000000000004</v>
      </c>
      <c r="J264" s="19">
        <v>3.9</v>
      </c>
      <c r="K264" s="19">
        <v>5.5</v>
      </c>
    </row>
    <row r="265" spans="1:11">
      <c r="A265" s="19" t="s">
        <v>809</v>
      </c>
      <c r="B265" s="19" t="s">
        <v>819</v>
      </c>
      <c r="C265" s="19" t="s">
        <v>850</v>
      </c>
      <c r="D265" s="19">
        <v>17</v>
      </c>
      <c r="F265" s="19" t="s">
        <v>813</v>
      </c>
      <c r="G265" s="19">
        <v>8.1999999999999993</v>
      </c>
      <c r="H265" s="19">
        <v>1.1000000000000001</v>
      </c>
      <c r="I265" s="19">
        <v>4.9000000000000004</v>
      </c>
      <c r="J265" s="19">
        <v>3.9</v>
      </c>
      <c r="K265" s="19">
        <v>5.5</v>
      </c>
    </row>
    <row r="266" spans="1:11">
      <c r="A266" s="19" t="s">
        <v>809</v>
      </c>
      <c r="B266" s="19" t="s">
        <v>819</v>
      </c>
      <c r="C266" s="19" t="s">
        <v>850</v>
      </c>
      <c r="D266" s="19">
        <v>17</v>
      </c>
      <c r="F266" s="19" t="s">
        <v>813</v>
      </c>
      <c r="G266" s="19">
        <v>19</v>
      </c>
      <c r="H266" s="19">
        <v>1.6</v>
      </c>
      <c r="I266" s="19">
        <v>4.9000000000000004</v>
      </c>
      <c r="J266" s="19">
        <v>3.9</v>
      </c>
      <c r="K266" s="19">
        <v>5.5</v>
      </c>
    </row>
    <row r="267" spans="1:11">
      <c r="A267" s="19" t="s">
        <v>809</v>
      </c>
      <c r="B267" s="19" t="s">
        <v>819</v>
      </c>
      <c r="C267" s="19" t="s">
        <v>850</v>
      </c>
      <c r="D267" s="19">
        <v>17</v>
      </c>
      <c r="F267" s="19" t="s">
        <v>813</v>
      </c>
      <c r="G267" s="19">
        <v>6</v>
      </c>
      <c r="H267" s="19">
        <v>2.1</v>
      </c>
      <c r="I267" s="19">
        <v>4.9000000000000004</v>
      </c>
      <c r="J267" s="19">
        <v>3.9</v>
      </c>
      <c r="K267" s="19">
        <v>5.5</v>
      </c>
    </row>
    <row r="268" spans="1:11">
      <c r="A268" s="19" t="s">
        <v>809</v>
      </c>
      <c r="B268" s="19" t="s">
        <v>819</v>
      </c>
      <c r="C268" s="19" t="s">
        <v>850</v>
      </c>
      <c r="D268" s="19">
        <v>17</v>
      </c>
      <c r="F268" s="19" t="s">
        <v>813</v>
      </c>
      <c r="G268" s="19">
        <v>2.5</v>
      </c>
      <c r="H268" s="19">
        <v>3.2</v>
      </c>
      <c r="I268" s="19">
        <v>4.9000000000000004</v>
      </c>
      <c r="J268" s="19">
        <v>3.9</v>
      </c>
      <c r="K268" s="19">
        <v>5.5</v>
      </c>
    </row>
    <row r="269" spans="1:11">
      <c r="A269" s="19" t="s">
        <v>809</v>
      </c>
      <c r="B269" s="19" t="s">
        <v>819</v>
      </c>
      <c r="C269" s="19" t="s">
        <v>850</v>
      </c>
      <c r="D269" s="19">
        <v>17</v>
      </c>
      <c r="F269" s="19" t="s">
        <v>813</v>
      </c>
      <c r="G269" s="19">
        <v>3.9</v>
      </c>
      <c r="H269" s="19">
        <v>4.2</v>
      </c>
      <c r="I269" s="19">
        <v>4.9000000000000004</v>
      </c>
      <c r="J269" s="19">
        <v>3.9</v>
      </c>
      <c r="K269" s="19">
        <v>5.5</v>
      </c>
    </row>
    <row r="270" spans="1:11">
      <c r="A270" s="19" t="s">
        <v>809</v>
      </c>
      <c r="B270" s="19" t="s">
        <v>819</v>
      </c>
      <c r="C270" s="19" t="s">
        <v>850</v>
      </c>
      <c r="D270" s="19">
        <v>17</v>
      </c>
      <c r="F270" s="19" t="s">
        <v>813</v>
      </c>
      <c r="G270" s="19">
        <v>9.5</v>
      </c>
      <c r="H270" s="19">
        <v>5.2</v>
      </c>
      <c r="I270" s="19">
        <v>4.9000000000000004</v>
      </c>
      <c r="J270" s="19">
        <v>3.9</v>
      </c>
      <c r="K270" s="19">
        <v>5.5</v>
      </c>
    </row>
    <row r="271" spans="1:11">
      <c r="A271" s="19" t="s">
        <v>809</v>
      </c>
      <c r="B271" s="19" t="s">
        <v>819</v>
      </c>
      <c r="C271" s="19" t="s">
        <v>850</v>
      </c>
      <c r="D271" s="19">
        <v>17</v>
      </c>
      <c r="F271" s="19" t="s">
        <v>813</v>
      </c>
      <c r="G271" s="19">
        <v>13</v>
      </c>
      <c r="H271" s="19">
        <v>0</v>
      </c>
      <c r="I271" s="19">
        <v>4.9000000000000004</v>
      </c>
      <c r="J271" s="19">
        <v>3.9</v>
      </c>
      <c r="K271" s="19">
        <v>5.5</v>
      </c>
    </row>
    <row r="272" spans="1:11">
      <c r="A272" s="19" t="s">
        <v>809</v>
      </c>
      <c r="B272" s="19" t="s">
        <v>819</v>
      </c>
      <c r="C272" s="19" t="s">
        <v>850</v>
      </c>
      <c r="D272" s="19">
        <v>17</v>
      </c>
      <c r="F272" s="19" t="s">
        <v>814</v>
      </c>
      <c r="G272" s="19">
        <v>0.1</v>
      </c>
      <c r="H272" s="19">
        <v>5.2</v>
      </c>
      <c r="I272" s="19">
        <v>4.9000000000000004</v>
      </c>
      <c r="J272" s="19">
        <v>3.9</v>
      </c>
      <c r="K272" s="19">
        <v>5.5</v>
      </c>
    </row>
    <row r="273" spans="1:11">
      <c r="A273" s="19" t="s">
        <v>809</v>
      </c>
      <c r="B273" s="19" t="s">
        <v>819</v>
      </c>
      <c r="C273" s="19" t="s">
        <v>850</v>
      </c>
      <c r="D273" s="19">
        <v>17</v>
      </c>
      <c r="F273" s="19" t="s">
        <v>814</v>
      </c>
      <c r="G273" s="19">
        <v>0.2</v>
      </c>
      <c r="H273" s="19">
        <v>4.7</v>
      </c>
      <c r="I273" s="19">
        <v>4.9000000000000004</v>
      </c>
      <c r="J273" s="19">
        <v>3.9</v>
      </c>
      <c r="K273" s="19">
        <v>5.5</v>
      </c>
    </row>
    <row r="274" spans="1:11">
      <c r="A274" s="19" t="s">
        <v>809</v>
      </c>
      <c r="B274" s="19" t="s">
        <v>819</v>
      </c>
      <c r="C274" s="19" t="s">
        <v>850</v>
      </c>
      <c r="D274" s="19">
        <v>17</v>
      </c>
      <c r="F274" s="19" t="s">
        <v>814</v>
      </c>
      <c r="G274" s="19">
        <v>1</v>
      </c>
      <c r="H274" s="19">
        <v>5.5</v>
      </c>
      <c r="I274" s="19">
        <v>4.9000000000000004</v>
      </c>
      <c r="J274" s="19">
        <v>3.9</v>
      </c>
      <c r="K274" s="19">
        <v>5.5</v>
      </c>
    </row>
    <row r="275" spans="1:11">
      <c r="A275" s="19" t="s">
        <v>809</v>
      </c>
      <c r="B275" s="19" t="s">
        <v>819</v>
      </c>
      <c r="C275" s="19" t="s">
        <v>850</v>
      </c>
      <c r="D275" s="19">
        <v>17</v>
      </c>
      <c r="F275" s="19" t="s">
        <v>814</v>
      </c>
      <c r="G275" s="19">
        <v>1.8</v>
      </c>
      <c r="H275" s="19">
        <v>2.7</v>
      </c>
      <c r="I275" s="19">
        <v>4.9000000000000004</v>
      </c>
      <c r="J275" s="19">
        <v>3.9</v>
      </c>
      <c r="K275" s="19">
        <v>5.5</v>
      </c>
    </row>
    <row r="276" spans="1:11">
      <c r="A276" s="19" t="s">
        <v>809</v>
      </c>
      <c r="B276" s="19" t="s">
        <v>819</v>
      </c>
      <c r="C276" s="19" t="s">
        <v>850</v>
      </c>
      <c r="D276" s="19">
        <v>17</v>
      </c>
      <c r="F276" s="19" t="s">
        <v>814</v>
      </c>
      <c r="G276" s="19">
        <v>2.6</v>
      </c>
      <c r="H276" s="19">
        <v>3.7</v>
      </c>
      <c r="I276" s="19">
        <v>4.9000000000000004</v>
      </c>
      <c r="J276" s="19">
        <v>3.9</v>
      </c>
      <c r="K276" s="19">
        <v>5.5</v>
      </c>
    </row>
    <row r="277" spans="1:11">
      <c r="A277" s="19" t="s">
        <v>809</v>
      </c>
      <c r="B277" s="19" t="s">
        <v>819</v>
      </c>
      <c r="C277" s="19" t="s">
        <v>850</v>
      </c>
      <c r="D277" s="19">
        <v>17</v>
      </c>
      <c r="F277" s="19" t="s">
        <v>814</v>
      </c>
      <c r="G277" s="19">
        <v>5.8</v>
      </c>
      <c r="H277" s="19">
        <v>4.7</v>
      </c>
      <c r="I277" s="19">
        <v>4.9000000000000004</v>
      </c>
      <c r="J277" s="19">
        <v>3.9</v>
      </c>
      <c r="K277" s="19">
        <v>5.5</v>
      </c>
    </row>
    <row r="278" spans="1:11">
      <c r="A278" s="19" t="s">
        <v>809</v>
      </c>
      <c r="B278" s="19" t="s">
        <v>819</v>
      </c>
      <c r="C278" s="19" t="s">
        <v>850</v>
      </c>
      <c r="D278" s="19">
        <v>17</v>
      </c>
      <c r="F278" s="19" t="s">
        <v>814</v>
      </c>
      <c r="G278" s="19">
        <v>13.9</v>
      </c>
      <c r="H278" s="19">
        <v>0</v>
      </c>
      <c r="I278" s="19">
        <v>4.9000000000000004</v>
      </c>
      <c r="J278" s="19">
        <v>3.9</v>
      </c>
      <c r="K278" s="19">
        <v>5.5</v>
      </c>
    </row>
    <row r="279" spans="1:11">
      <c r="A279" s="19" t="s">
        <v>809</v>
      </c>
      <c r="B279" s="19" t="s">
        <v>819</v>
      </c>
      <c r="C279" s="19" t="s">
        <v>850</v>
      </c>
      <c r="D279" s="19">
        <v>17</v>
      </c>
      <c r="F279" s="19" t="s">
        <v>814</v>
      </c>
      <c r="G279" s="19">
        <v>20</v>
      </c>
      <c r="H279" s="19">
        <v>0</v>
      </c>
      <c r="I279" s="19">
        <v>4.9000000000000004</v>
      </c>
      <c r="J279" s="19">
        <v>3.9</v>
      </c>
      <c r="K279" s="19">
        <v>5.5</v>
      </c>
    </row>
    <row r="280" spans="1:11">
      <c r="A280" s="19" t="s">
        <v>809</v>
      </c>
      <c r="B280" s="19" t="s">
        <v>823</v>
      </c>
      <c r="C280" s="19" t="s">
        <v>851</v>
      </c>
      <c r="D280" s="19">
        <v>18</v>
      </c>
      <c r="F280" s="19" t="s">
        <v>813</v>
      </c>
      <c r="G280" s="19">
        <v>18</v>
      </c>
      <c r="H280" s="19">
        <v>0.5</v>
      </c>
    </row>
    <row r="281" spans="1:11">
      <c r="A281" s="19" t="s">
        <v>809</v>
      </c>
      <c r="B281" s="19" t="s">
        <v>823</v>
      </c>
      <c r="C281" s="19" t="s">
        <v>851</v>
      </c>
      <c r="D281" s="19">
        <v>18</v>
      </c>
      <c r="F281" s="19" t="s">
        <v>813</v>
      </c>
      <c r="G281" s="19">
        <v>11</v>
      </c>
      <c r="H281" s="19">
        <v>1.1000000000000001</v>
      </c>
    </row>
    <row r="282" spans="1:11">
      <c r="A282" s="19" t="s">
        <v>809</v>
      </c>
      <c r="B282" s="19" t="s">
        <v>823</v>
      </c>
      <c r="C282" s="19" t="s">
        <v>851</v>
      </c>
      <c r="D282" s="19">
        <v>18</v>
      </c>
      <c r="F282" s="19" t="s">
        <v>813</v>
      </c>
      <c r="G282" s="19">
        <v>7</v>
      </c>
      <c r="H282" s="19">
        <v>1.6</v>
      </c>
    </row>
    <row r="283" spans="1:11">
      <c r="A283" s="19" t="s">
        <v>809</v>
      </c>
      <c r="B283" s="19" t="s">
        <v>823</v>
      </c>
      <c r="C283" s="19" t="s">
        <v>851</v>
      </c>
      <c r="D283" s="19">
        <v>18</v>
      </c>
      <c r="F283" s="19" t="s">
        <v>813</v>
      </c>
      <c r="G283" s="19">
        <v>5</v>
      </c>
      <c r="H283" s="19">
        <v>2.1</v>
      </c>
    </row>
    <row r="284" spans="1:11">
      <c r="A284" s="19" t="s">
        <v>809</v>
      </c>
      <c r="B284" s="19" t="s">
        <v>823</v>
      </c>
      <c r="C284" s="19" t="s">
        <v>851</v>
      </c>
      <c r="D284" s="19">
        <v>18</v>
      </c>
      <c r="F284" s="19" t="s">
        <v>813</v>
      </c>
      <c r="G284" s="19">
        <v>2.5</v>
      </c>
      <c r="H284" s="19">
        <v>2.7</v>
      </c>
    </row>
    <row r="285" spans="1:11">
      <c r="A285" s="19" t="s">
        <v>809</v>
      </c>
      <c r="B285" s="19" t="s">
        <v>823</v>
      </c>
      <c r="C285" s="19" t="s">
        <v>851</v>
      </c>
      <c r="D285" s="19">
        <v>18</v>
      </c>
      <c r="F285" s="19" t="s">
        <v>813</v>
      </c>
      <c r="G285" s="19">
        <v>1.5</v>
      </c>
      <c r="H285" s="19">
        <v>4.7</v>
      </c>
    </row>
    <row r="286" spans="1:11">
      <c r="A286" s="19" t="s">
        <v>809</v>
      </c>
      <c r="B286" s="19" t="s">
        <v>823</v>
      </c>
      <c r="C286" s="19" t="s">
        <v>851</v>
      </c>
      <c r="D286" s="19">
        <v>18</v>
      </c>
      <c r="F286" s="19" t="s">
        <v>814</v>
      </c>
      <c r="G286" s="19">
        <v>3</v>
      </c>
      <c r="H286" s="19">
        <v>2.1</v>
      </c>
    </row>
    <row r="287" spans="1:11">
      <c r="A287" s="19" t="s">
        <v>809</v>
      </c>
      <c r="B287" s="19" t="s">
        <v>823</v>
      </c>
      <c r="C287" s="19" t="s">
        <v>851</v>
      </c>
      <c r="D287" s="19">
        <v>18</v>
      </c>
      <c r="F287" s="19" t="s">
        <v>814</v>
      </c>
      <c r="G287" s="19">
        <v>4.5</v>
      </c>
      <c r="H287" s="19">
        <v>2.6</v>
      </c>
    </row>
    <row r="288" spans="1:11">
      <c r="A288" s="19" t="s">
        <v>809</v>
      </c>
      <c r="B288" s="19" t="s">
        <v>823</v>
      </c>
      <c r="C288" s="19" t="s">
        <v>851</v>
      </c>
      <c r="D288" s="19">
        <v>18</v>
      </c>
      <c r="F288" s="19" t="s">
        <v>814</v>
      </c>
      <c r="G288" s="19">
        <v>6.5</v>
      </c>
      <c r="H288" s="19">
        <v>3.2</v>
      </c>
    </row>
    <row r="289" spans="1:17">
      <c r="A289" s="19" t="s">
        <v>809</v>
      </c>
      <c r="B289" s="19" t="s">
        <v>823</v>
      </c>
      <c r="C289" s="19" t="s">
        <v>851</v>
      </c>
      <c r="D289" s="19">
        <v>18</v>
      </c>
      <c r="F289" s="19" t="s">
        <v>814</v>
      </c>
      <c r="G289" s="19">
        <v>11</v>
      </c>
      <c r="H289" s="19">
        <v>3.7</v>
      </c>
    </row>
    <row r="290" spans="1:17">
      <c r="A290" s="19" t="s">
        <v>809</v>
      </c>
      <c r="B290" s="19" t="s">
        <v>823</v>
      </c>
      <c r="C290" s="19" t="s">
        <v>851</v>
      </c>
      <c r="D290" s="19">
        <v>18</v>
      </c>
      <c r="F290" s="19" t="s">
        <v>814</v>
      </c>
      <c r="G290" s="19">
        <v>14</v>
      </c>
      <c r="H290" s="19">
        <v>4.2</v>
      </c>
    </row>
    <row r="291" spans="1:17">
      <c r="A291" s="19" t="s">
        <v>809</v>
      </c>
      <c r="B291" s="19" t="s">
        <v>823</v>
      </c>
      <c r="C291" s="19" t="s">
        <v>851</v>
      </c>
      <c r="D291" s="19">
        <v>18</v>
      </c>
      <c r="F291" s="19" t="s">
        <v>814</v>
      </c>
      <c r="G291" s="19">
        <v>1</v>
      </c>
      <c r="H291" s="19">
        <v>5.2</v>
      </c>
    </row>
    <row r="292" spans="1:17">
      <c r="A292" s="19" t="s">
        <v>852</v>
      </c>
      <c r="C292" s="19" t="s">
        <v>835</v>
      </c>
      <c r="D292" s="19">
        <v>30</v>
      </c>
      <c r="N292" s="19" t="s">
        <v>853</v>
      </c>
      <c r="O292" s="19">
        <v>120</v>
      </c>
      <c r="P292" s="19">
        <v>3.2107023411371198</v>
      </c>
      <c r="Q292" s="19">
        <v>41.990740740740698</v>
      </c>
    </row>
    <row r="293" spans="1:17">
      <c r="A293" s="19" t="s">
        <v>852</v>
      </c>
      <c r="C293" s="19" t="s">
        <v>835</v>
      </c>
      <c r="D293" s="19">
        <v>30</v>
      </c>
      <c r="N293" s="19" t="s">
        <v>853</v>
      </c>
      <c r="O293" s="19">
        <v>120</v>
      </c>
      <c r="P293" s="19">
        <v>3.3311036789297601</v>
      </c>
      <c r="Q293" s="19">
        <v>41.990740740740698</v>
      </c>
    </row>
    <row r="294" spans="1:17">
      <c r="A294" s="19" t="s">
        <v>852</v>
      </c>
      <c r="C294" s="19" t="s">
        <v>835</v>
      </c>
      <c r="D294" s="19">
        <v>30</v>
      </c>
      <c r="N294" s="19" t="s">
        <v>853</v>
      </c>
      <c r="O294" s="19">
        <v>120</v>
      </c>
      <c r="P294" s="19">
        <v>3.4314381270903</v>
      </c>
      <c r="Q294" s="19">
        <v>41.990740740740698</v>
      </c>
    </row>
    <row r="295" spans="1:17">
      <c r="A295" s="19" t="s">
        <v>852</v>
      </c>
      <c r="C295" s="19" t="s">
        <v>835</v>
      </c>
      <c r="D295" s="19">
        <v>30</v>
      </c>
      <c r="N295" s="19" t="s">
        <v>853</v>
      </c>
      <c r="O295" s="19">
        <v>120</v>
      </c>
      <c r="P295" s="19">
        <v>3.4515050167224</v>
      </c>
      <c r="Q295" s="19">
        <v>28.009259259259199</v>
      </c>
    </row>
    <row r="296" spans="1:17">
      <c r="A296" s="19" t="s">
        <v>852</v>
      </c>
      <c r="C296" s="19" t="s">
        <v>835</v>
      </c>
      <c r="D296" s="19">
        <v>30</v>
      </c>
      <c r="N296" s="19" t="s">
        <v>853</v>
      </c>
      <c r="O296" s="19">
        <v>120</v>
      </c>
      <c r="P296" s="19">
        <v>3.6220735785953102</v>
      </c>
      <c r="Q296" s="19">
        <v>27.962962962962902</v>
      </c>
    </row>
    <row r="297" spans="1:17">
      <c r="A297" s="19" t="s">
        <v>852</v>
      </c>
      <c r="C297" s="19" t="s">
        <v>835</v>
      </c>
      <c r="D297" s="19">
        <v>30</v>
      </c>
      <c r="N297" s="19" t="s">
        <v>853</v>
      </c>
      <c r="O297" s="19">
        <v>120</v>
      </c>
      <c r="P297" s="19">
        <v>3.6521739130434701</v>
      </c>
      <c r="Q297" s="19">
        <v>27.962962962962902</v>
      </c>
    </row>
    <row r="298" spans="1:17">
      <c r="A298" s="19" t="s">
        <v>852</v>
      </c>
      <c r="C298" s="19" t="s">
        <v>835</v>
      </c>
      <c r="D298" s="19">
        <v>30</v>
      </c>
      <c r="N298" s="19" t="s">
        <v>853</v>
      </c>
      <c r="O298" s="19">
        <v>120</v>
      </c>
      <c r="P298" s="19">
        <v>3.6822742474916299</v>
      </c>
      <c r="Q298" s="19">
        <v>20.925925925925899</v>
      </c>
    </row>
    <row r="299" spans="1:17">
      <c r="A299" s="19" t="s">
        <v>852</v>
      </c>
      <c r="C299" s="19" t="s">
        <v>835</v>
      </c>
      <c r="D299" s="19">
        <v>30</v>
      </c>
      <c r="N299" s="19" t="s">
        <v>853</v>
      </c>
      <c r="O299" s="19">
        <v>120</v>
      </c>
      <c r="P299" s="19">
        <v>3.7123745819397902</v>
      </c>
      <c r="Q299" s="19">
        <v>20.925925925925899</v>
      </c>
    </row>
    <row r="300" spans="1:17">
      <c r="A300" s="19" t="s">
        <v>852</v>
      </c>
      <c r="C300" s="19" t="s">
        <v>835</v>
      </c>
      <c r="D300" s="19">
        <v>30</v>
      </c>
      <c r="N300" s="19" t="s">
        <v>853</v>
      </c>
      <c r="O300" s="19">
        <v>120</v>
      </c>
      <c r="P300" s="19">
        <v>3.7826086956521698</v>
      </c>
      <c r="Q300" s="19">
        <v>20.925925925925899</v>
      </c>
    </row>
    <row r="301" spans="1:17">
      <c r="A301" s="19" t="s">
        <v>852</v>
      </c>
      <c r="C301" s="19" t="s">
        <v>835</v>
      </c>
      <c r="D301" s="19">
        <v>30</v>
      </c>
      <c r="N301" s="19" t="s">
        <v>853</v>
      </c>
      <c r="O301" s="19">
        <v>120</v>
      </c>
      <c r="P301" s="19">
        <v>4.0133779264214002</v>
      </c>
      <c r="Q301" s="19">
        <v>13.981481481481399</v>
      </c>
    </row>
    <row r="302" spans="1:17">
      <c r="A302" s="19" t="s">
        <v>852</v>
      </c>
      <c r="C302" s="19" t="s">
        <v>835</v>
      </c>
      <c r="D302" s="19">
        <v>30</v>
      </c>
      <c r="N302" s="19" t="s">
        <v>853</v>
      </c>
      <c r="O302" s="19">
        <v>120</v>
      </c>
      <c r="P302" s="19">
        <v>4.0635451505016702</v>
      </c>
      <c r="Q302" s="19">
        <v>13.981481481481399</v>
      </c>
    </row>
    <row r="303" spans="1:17">
      <c r="A303" s="19" t="s">
        <v>852</v>
      </c>
      <c r="C303" s="19" t="s">
        <v>835</v>
      </c>
      <c r="D303" s="19">
        <v>30</v>
      </c>
      <c r="N303" s="19" t="s">
        <v>853</v>
      </c>
      <c r="O303" s="19">
        <v>120</v>
      </c>
      <c r="P303" s="19">
        <v>4.1438127090301</v>
      </c>
      <c r="Q303" s="19">
        <v>13.9351851851851</v>
      </c>
    </row>
    <row r="304" spans="1:17">
      <c r="A304" s="19" t="s">
        <v>852</v>
      </c>
      <c r="C304" s="19" t="s">
        <v>835</v>
      </c>
      <c r="D304" s="19">
        <v>30</v>
      </c>
      <c r="N304" s="19" t="s">
        <v>853</v>
      </c>
      <c r="O304" s="19">
        <v>120</v>
      </c>
      <c r="P304" s="19">
        <v>4.4046822742474898</v>
      </c>
      <c r="Q304" s="19">
        <v>7.0370370370370301</v>
      </c>
    </row>
    <row r="305" spans="1:17">
      <c r="A305" s="19" t="s">
        <v>852</v>
      </c>
      <c r="C305" s="19" t="s">
        <v>835</v>
      </c>
      <c r="D305" s="19">
        <v>30</v>
      </c>
      <c r="N305" s="19" t="s">
        <v>853</v>
      </c>
      <c r="O305" s="19">
        <v>120</v>
      </c>
      <c r="P305" s="19">
        <v>4.4749163879598601</v>
      </c>
      <c r="Q305" s="19">
        <v>7.0370370370370301</v>
      </c>
    </row>
    <row r="306" spans="1:17">
      <c r="A306" s="19" t="s">
        <v>852</v>
      </c>
      <c r="C306" s="19" t="s">
        <v>835</v>
      </c>
      <c r="D306" s="19">
        <v>30</v>
      </c>
      <c r="N306" s="19" t="s">
        <v>853</v>
      </c>
      <c r="O306" s="19">
        <v>120</v>
      </c>
      <c r="P306" s="19">
        <v>4.8260869565217304</v>
      </c>
      <c r="Q306" s="19">
        <v>7.0833333333333304</v>
      </c>
    </row>
    <row r="307" spans="1:17">
      <c r="A307" s="19" t="s">
        <v>852</v>
      </c>
      <c r="C307" s="19" t="s">
        <v>835</v>
      </c>
      <c r="D307" s="19">
        <v>30</v>
      </c>
      <c r="N307" s="19" t="s">
        <v>853</v>
      </c>
      <c r="O307" s="19">
        <v>120</v>
      </c>
      <c r="P307" s="19">
        <v>4.8561872909699</v>
      </c>
      <c r="Q307" s="19">
        <v>0</v>
      </c>
    </row>
    <row r="308" spans="1:17">
      <c r="A308" s="19" t="s">
        <v>852</v>
      </c>
      <c r="C308" s="19" t="s">
        <v>835</v>
      </c>
      <c r="D308" s="19">
        <v>30</v>
      </c>
      <c r="N308" s="19" t="s">
        <v>853</v>
      </c>
      <c r="O308" s="19">
        <v>120</v>
      </c>
      <c r="P308" s="19">
        <v>4.8963210702341096</v>
      </c>
      <c r="Q308" s="19">
        <v>0</v>
      </c>
    </row>
    <row r="309" spans="1:17">
      <c r="A309" s="19" t="s">
        <v>852</v>
      </c>
      <c r="C309" s="19" t="s">
        <v>835</v>
      </c>
      <c r="D309" s="19">
        <v>30</v>
      </c>
      <c r="N309" s="19" t="s">
        <v>853</v>
      </c>
      <c r="O309" s="19">
        <v>120</v>
      </c>
      <c r="P309" s="19">
        <v>31</v>
      </c>
      <c r="Q309" s="19">
        <v>0</v>
      </c>
    </row>
    <row r="310" spans="1:17">
      <c r="A310" s="19" t="s">
        <v>852</v>
      </c>
      <c r="C310" s="19" t="s">
        <v>836</v>
      </c>
      <c r="D310" s="19">
        <v>30</v>
      </c>
      <c r="N310" s="19" t="s">
        <v>854</v>
      </c>
      <c r="O310" s="19">
        <v>120</v>
      </c>
      <c r="P310" s="19">
        <v>0</v>
      </c>
      <c r="Q310" s="19">
        <v>9.3964110929853106</v>
      </c>
    </row>
    <row r="311" spans="1:17">
      <c r="A311" s="19" t="s">
        <v>852</v>
      </c>
      <c r="C311" s="19" t="s">
        <v>836</v>
      </c>
      <c r="D311" s="19">
        <v>30</v>
      </c>
      <c r="N311" s="19" t="s">
        <v>854</v>
      </c>
      <c r="O311" s="19">
        <v>120</v>
      </c>
      <c r="P311" s="19">
        <v>0</v>
      </c>
      <c r="Q311" s="19">
        <v>9.3637846655791108</v>
      </c>
    </row>
    <row r="312" spans="1:17">
      <c r="A312" s="19" t="s">
        <v>852</v>
      </c>
      <c r="C312" s="19" t="s">
        <v>836</v>
      </c>
      <c r="D312" s="19">
        <v>30</v>
      </c>
      <c r="N312" s="19" t="s">
        <v>854</v>
      </c>
      <c r="O312" s="19">
        <v>120</v>
      </c>
      <c r="P312" s="19">
        <v>0</v>
      </c>
      <c r="Q312" s="19">
        <v>9.3637846655791108</v>
      </c>
    </row>
    <row r="313" spans="1:17">
      <c r="A313" s="19" t="s">
        <v>852</v>
      </c>
      <c r="C313" s="19" t="s">
        <v>836</v>
      </c>
      <c r="D313" s="19">
        <v>30</v>
      </c>
      <c r="N313" s="19" t="s">
        <v>854</v>
      </c>
      <c r="O313" s="19">
        <v>120</v>
      </c>
      <c r="P313" s="19">
        <v>2.9297658862876199</v>
      </c>
      <c r="Q313" s="19">
        <v>31</v>
      </c>
    </row>
    <row r="314" spans="1:17">
      <c r="A314" s="19" t="s">
        <v>852</v>
      </c>
      <c r="C314" s="19" t="s">
        <v>836</v>
      </c>
      <c r="D314" s="19">
        <v>30</v>
      </c>
      <c r="N314" s="19" t="s">
        <v>854</v>
      </c>
      <c r="O314" s="19">
        <v>120</v>
      </c>
      <c r="P314" s="19">
        <v>7</v>
      </c>
      <c r="Q314" s="19">
        <v>7.7487765089722602</v>
      </c>
    </row>
    <row r="315" spans="1:17">
      <c r="A315" s="19" t="s">
        <v>852</v>
      </c>
      <c r="C315" s="19" t="s">
        <v>836</v>
      </c>
      <c r="D315" s="19">
        <v>30</v>
      </c>
      <c r="N315" s="19" t="s">
        <v>854</v>
      </c>
      <c r="O315" s="19">
        <v>120</v>
      </c>
      <c r="P315" s="19">
        <v>7</v>
      </c>
      <c r="Q315" s="19">
        <v>7.4877650897226697</v>
      </c>
    </row>
    <row r="316" spans="1:17">
      <c r="A316" s="19" t="s">
        <v>852</v>
      </c>
      <c r="C316" s="19" t="s">
        <v>836</v>
      </c>
      <c r="D316" s="19">
        <v>30</v>
      </c>
      <c r="N316" s="19" t="s">
        <v>854</v>
      </c>
      <c r="O316" s="19">
        <v>120</v>
      </c>
      <c r="P316" s="19">
        <v>7</v>
      </c>
      <c r="Q316" s="19">
        <v>7.25938009787928</v>
      </c>
    </row>
    <row r="317" spans="1:17">
      <c r="A317" s="19" t="s">
        <v>852</v>
      </c>
      <c r="C317" s="19" t="s">
        <v>836</v>
      </c>
      <c r="D317" s="19">
        <v>30</v>
      </c>
      <c r="N317" s="19" t="s">
        <v>854</v>
      </c>
      <c r="O317" s="19">
        <v>120</v>
      </c>
      <c r="P317" s="19">
        <v>14</v>
      </c>
      <c r="Q317" s="19">
        <v>6.8841761827079901</v>
      </c>
    </row>
    <row r="318" spans="1:17">
      <c r="A318" s="19" t="s">
        <v>852</v>
      </c>
      <c r="C318" s="19" t="s">
        <v>836</v>
      </c>
      <c r="D318" s="19">
        <v>30</v>
      </c>
      <c r="N318" s="19" t="s">
        <v>854</v>
      </c>
      <c r="O318" s="19">
        <v>120</v>
      </c>
      <c r="P318" s="19">
        <v>14</v>
      </c>
      <c r="Q318" s="19">
        <v>6.6394779771614996</v>
      </c>
    </row>
    <row r="319" spans="1:17">
      <c r="A319" s="19" t="s">
        <v>852</v>
      </c>
      <c r="C319" s="19" t="s">
        <v>836</v>
      </c>
      <c r="D319" s="19">
        <v>30</v>
      </c>
      <c r="N319" s="19" t="s">
        <v>854</v>
      </c>
      <c r="O319" s="19">
        <v>120</v>
      </c>
      <c r="P319" s="19">
        <v>14</v>
      </c>
      <c r="Q319" s="19">
        <v>6.2316476345840099</v>
      </c>
    </row>
    <row r="320" spans="1:17">
      <c r="A320" s="19" t="s">
        <v>852</v>
      </c>
      <c r="C320" s="19" t="s">
        <v>836</v>
      </c>
      <c r="D320" s="19">
        <v>30</v>
      </c>
      <c r="N320" s="19" t="s">
        <v>854</v>
      </c>
      <c r="O320" s="19">
        <v>120</v>
      </c>
      <c r="P320" s="19">
        <v>21</v>
      </c>
      <c r="Q320" s="19">
        <v>6.1827079934747102</v>
      </c>
    </row>
    <row r="321" spans="1:17">
      <c r="A321" s="19" t="s">
        <v>852</v>
      </c>
      <c r="C321" s="19" t="s">
        <v>836</v>
      </c>
      <c r="D321" s="19">
        <v>30</v>
      </c>
      <c r="N321" s="19" t="s">
        <v>854</v>
      </c>
      <c r="O321" s="19">
        <v>120</v>
      </c>
      <c r="P321" s="19">
        <v>21</v>
      </c>
      <c r="Q321" s="19">
        <v>6.06851549755301</v>
      </c>
    </row>
    <row r="322" spans="1:17">
      <c r="A322" s="19" t="s">
        <v>852</v>
      </c>
      <c r="C322" s="19" t="s">
        <v>836</v>
      </c>
      <c r="D322" s="19">
        <v>30</v>
      </c>
      <c r="N322" s="19" t="s">
        <v>854</v>
      </c>
      <c r="O322" s="19">
        <v>120</v>
      </c>
      <c r="P322" s="19">
        <v>21</v>
      </c>
      <c r="Q322" s="19">
        <v>5.6933115823817202</v>
      </c>
    </row>
    <row r="323" spans="1:17">
      <c r="A323" s="19" t="s">
        <v>852</v>
      </c>
      <c r="C323" s="19" t="s">
        <v>836</v>
      </c>
      <c r="D323" s="19">
        <v>30</v>
      </c>
      <c r="N323" s="19" t="s">
        <v>854</v>
      </c>
      <c r="O323" s="19">
        <v>120</v>
      </c>
      <c r="P323" s="19">
        <v>28</v>
      </c>
      <c r="Q323" s="19">
        <v>4.8287112561174501</v>
      </c>
    </row>
    <row r="324" spans="1:17">
      <c r="A324" s="19" t="s">
        <v>852</v>
      </c>
      <c r="C324" s="19" t="s">
        <v>836</v>
      </c>
      <c r="D324" s="19">
        <v>30</v>
      </c>
      <c r="N324" s="19" t="s">
        <v>854</v>
      </c>
      <c r="O324" s="19">
        <v>120</v>
      </c>
      <c r="P324" s="19">
        <v>28</v>
      </c>
      <c r="Q324" s="19">
        <v>4.6818923327895501</v>
      </c>
    </row>
    <row r="325" spans="1:17">
      <c r="A325" s="19" t="s">
        <v>852</v>
      </c>
      <c r="C325" s="19" t="s">
        <v>836</v>
      </c>
      <c r="D325" s="19">
        <v>30</v>
      </c>
      <c r="N325" s="19" t="s">
        <v>854</v>
      </c>
      <c r="O325" s="19">
        <v>120</v>
      </c>
      <c r="P325" s="19">
        <v>28</v>
      </c>
      <c r="Q325" s="19">
        <v>3.9967373572593798</v>
      </c>
    </row>
    <row r="326" spans="1:17">
      <c r="A326" s="19" t="s">
        <v>852</v>
      </c>
      <c r="C326" s="19" t="s">
        <v>836</v>
      </c>
      <c r="D326" s="19">
        <v>30</v>
      </c>
      <c r="N326" s="19" t="s">
        <v>854</v>
      </c>
      <c r="O326" s="19">
        <v>120</v>
      </c>
      <c r="P326" s="19">
        <v>42</v>
      </c>
      <c r="Q326" s="19">
        <v>4.5513866231647597</v>
      </c>
    </row>
    <row r="327" spans="1:17">
      <c r="A327" s="19" t="s">
        <v>852</v>
      </c>
      <c r="C327" s="19" t="s">
        <v>836</v>
      </c>
      <c r="D327" s="19">
        <v>30</v>
      </c>
      <c r="N327" s="19" t="s">
        <v>854</v>
      </c>
      <c r="O327" s="19">
        <v>120</v>
      </c>
      <c r="P327" s="19">
        <v>42</v>
      </c>
      <c r="Q327" s="19">
        <v>4.0946166394779704</v>
      </c>
    </row>
    <row r="328" spans="1:17">
      <c r="A328" s="19" t="s">
        <v>852</v>
      </c>
      <c r="C328" s="19" t="s">
        <v>836</v>
      </c>
      <c r="D328" s="19">
        <v>30</v>
      </c>
      <c r="N328" s="19" t="s">
        <v>854</v>
      </c>
      <c r="O328" s="19">
        <v>120</v>
      </c>
      <c r="P328" s="19">
        <v>42</v>
      </c>
      <c r="Q328" s="19">
        <v>4.0946166394779704</v>
      </c>
    </row>
  </sheetData>
  <pageMargins left="0.75" right="0.75" top="1" bottom="1" header="0.5" footer="0.5"/>
  <headerFooter>
    <oddHeader>&amp;C&amp;"Aptos"&amp;10&amp;K0078D7 [Open]&amp;1#_x000D_</oddHead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63554-FD09-4E26-B74E-A51ED36CD636}">
  <dimension ref="A1:J291"/>
  <sheetViews>
    <sheetView workbookViewId="0">
      <selection activeCell="F2" sqref="F2:G291"/>
    </sheetView>
  </sheetViews>
  <sheetFormatPr defaultRowHeight="14.5"/>
  <cols>
    <col min="1" max="1" width="10.1640625" style="19" bestFit="1" customWidth="1"/>
    <col min="2" max="2" width="5.4140625" style="19" bestFit="1" customWidth="1"/>
    <col min="3" max="3" width="4.4140625" style="19" bestFit="1" customWidth="1"/>
    <col min="4" max="4" width="8.08203125" style="19" bestFit="1" customWidth="1"/>
    <col min="5" max="5" width="5.33203125" style="19" bestFit="1" customWidth="1"/>
    <col min="6" max="6" width="10.83203125" style="19" bestFit="1" customWidth="1"/>
    <col min="7" max="7" width="19.58203125" style="19" bestFit="1" customWidth="1"/>
    <col min="8" max="8" width="10" style="19" bestFit="1" customWidth="1"/>
    <col min="9" max="9" width="15.08203125" style="19" bestFit="1" customWidth="1"/>
    <col min="10" max="10" width="15.4140625" style="19" bestFit="1" customWidth="1"/>
    <col min="11" max="16384" width="8.6640625" style="19"/>
  </cols>
  <sheetData>
    <row r="1" spans="1:10">
      <c r="A1" s="129" t="s">
        <v>793</v>
      </c>
      <c r="B1" s="129" t="s">
        <v>794</v>
      </c>
      <c r="C1" s="129" t="s">
        <v>795</v>
      </c>
      <c r="D1" s="129" t="s">
        <v>796</v>
      </c>
      <c r="E1" s="129" t="s">
        <v>797</v>
      </c>
      <c r="F1" s="129" t="s">
        <v>798</v>
      </c>
      <c r="G1" s="129" t="s">
        <v>799</v>
      </c>
      <c r="H1" s="129" t="s">
        <v>800</v>
      </c>
      <c r="I1" s="129" t="s">
        <v>801</v>
      </c>
      <c r="J1" s="129" t="s">
        <v>802</v>
      </c>
    </row>
    <row r="2" spans="1:10">
      <c r="A2" s="19" t="s">
        <v>810</v>
      </c>
      <c r="B2" s="19" t="s">
        <v>811</v>
      </c>
      <c r="C2" s="19">
        <v>18</v>
      </c>
      <c r="D2" s="19" t="s">
        <v>812</v>
      </c>
      <c r="E2" s="19" t="s">
        <v>813</v>
      </c>
      <c r="F2" s="126">
        <v>18</v>
      </c>
      <c r="G2" s="126">
        <v>1.61130899376669</v>
      </c>
    </row>
    <row r="3" spans="1:10">
      <c r="A3" s="19" t="s">
        <v>810</v>
      </c>
      <c r="B3" s="19" t="s">
        <v>811</v>
      </c>
      <c r="C3" s="19">
        <v>18</v>
      </c>
      <c r="D3" s="19" t="s">
        <v>812</v>
      </c>
      <c r="E3" s="19" t="s">
        <v>813</v>
      </c>
      <c r="F3" s="126">
        <v>12.55</v>
      </c>
      <c r="G3" s="126">
        <v>2.1366874443455002</v>
      </c>
    </row>
    <row r="4" spans="1:10">
      <c r="A4" s="19" t="s">
        <v>810</v>
      </c>
      <c r="B4" s="19" t="s">
        <v>811</v>
      </c>
      <c r="C4" s="19">
        <v>18</v>
      </c>
      <c r="D4" s="19" t="s">
        <v>812</v>
      </c>
      <c r="E4" s="19" t="s">
        <v>813</v>
      </c>
      <c r="F4" s="126">
        <v>8.3282674772036405</v>
      </c>
      <c r="G4" s="126">
        <v>2.6576135351736401</v>
      </c>
    </row>
    <row r="5" spans="1:10">
      <c r="A5" s="19" t="s">
        <v>810</v>
      </c>
      <c r="B5" s="19" t="s">
        <v>811</v>
      </c>
      <c r="C5" s="19">
        <v>18</v>
      </c>
      <c r="D5" s="19" t="s">
        <v>812</v>
      </c>
      <c r="E5" s="19" t="s">
        <v>813</v>
      </c>
      <c r="F5" s="126">
        <v>4</v>
      </c>
      <c r="G5" s="126">
        <v>3.1651825467497701</v>
      </c>
    </row>
    <row r="6" spans="1:10">
      <c r="A6" s="19" t="s">
        <v>810</v>
      </c>
      <c r="B6" s="19" t="s">
        <v>811</v>
      </c>
      <c r="C6" s="19">
        <v>18</v>
      </c>
      <c r="D6" s="19" t="s">
        <v>812</v>
      </c>
      <c r="E6" s="19" t="s">
        <v>813</v>
      </c>
      <c r="F6" s="126">
        <v>2.95</v>
      </c>
      <c r="G6" s="126">
        <v>3.68</v>
      </c>
    </row>
    <row r="7" spans="1:10">
      <c r="A7" s="19" t="s">
        <v>810</v>
      </c>
      <c r="B7" s="19" t="s">
        <v>811</v>
      </c>
      <c r="C7" s="19">
        <v>18</v>
      </c>
      <c r="D7" s="19" t="s">
        <v>812</v>
      </c>
      <c r="E7" s="19" t="s">
        <v>813</v>
      </c>
      <c r="F7" s="126">
        <v>2</v>
      </c>
      <c r="G7" s="126">
        <v>5.1999109528049798</v>
      </c>
    </row>
    <row r="8" spans="1:10">
      <c r="A8" s="19" t="s">
        <v>810</v>
      </c>
      <c r="B8" s="19" t="s">
        <v>811</v>
      </c>
      <c r="C8" s="19">
        <v>18</v>
      </c>
      <c r="D8" s="19" t="s">
        <v>812</v>
      </c>
      <c r="E8" s="19" t="s">
        <v>814</v>
      </c>
      <c r="F8" s="126">
        <v>3.2218844984802399</v>
      </c>
      <c r="G8" s="126">
        <v>2.6576135351736401</v>
      </c>
    </row>
    <row r="9" spans="1:10">
      <c r="A9" s="19" t="s">
        <v>810</v>
      </c>
      <c r="B9" s="19" t="s">
        <v>811</v>
      </c>
      <c r="C9" s="19">
        <v>18</v>
      </c>
      <c r="D9" s="19" t="s">
        <v>812</v>
      </c>
      <c r="E9" s="19" t="s">
        <v>814</v>
      </c>
      <c r="F9" s="126">
        <v>6.5045592705167099</v>
      </c>
      <c r="G9" s="126">
        <v>3.1696349065004399</v>
      </c>
    </row>
    <row r="10" spans="1:10">
      <c r="A10" s="19" t="s">
        <v>810</v>
      </c>
      <c r="B10" s="19" t="s">
        <v>811</v>
      </c>
      <c r="C10" s="19">
        <v>18</v>
      </c>
      <c r="D10" s="19" t="s">
        <v>812</v>
      </c>
      <c r="E10" s="19" t="s">
        <v>814</v>
      </c>
      <c r="F10" s="126">
        <v>9.5744680851063801</v>
      </c>
      <c r="G10" s="126">
        <v>3.68610863757791</v>
      </c>
    </row>
    <row r="11" spans="1:10">
      <c r="A11" s="19" t="s">
        <v>810</v>
      </c>
      <c r="B11" s="19" t="s">
        <v>811</v>
      </c>
      <c r="C11" s="19">
        <v>18</v>
      </c>
      <c r="D11" s="19" t="s">
        <v>812</v>
      </c>
      <c r="E11" s="19" t="s">
        <v>814</v>
      </c>
      <c r="F11" s="126">
        <v>15.2</v>
      </c>
      <c r="G11" s="126">
        <v>4.1892252894033799</v>
      </c>
    </row>
    <row r="12" spans="1:10">
      <c r="A12" s="19" t="s">
        <v>810</v>
      </c>
      <c r="B12" s="19" t="s">
        <v>811</v>
      </c>
      <c r="C12" s="19">
        <v>18</v>
      </c>
      <c r="D12" s="19" t="s">
        <v>812</v>
      </c>
      <c r="E12" s="19" t="s">
        <v>814</v>
      </c>
      <c r="F12" s="126">
        <v>20</v>
      </c>
      <c r="G12" s="126">
        <v>4.6967943009795103</v>
      </c>
    </row>
    <row r="13" spans="1:10">
      <c r="A13" s="19" t="s">
        <v>810</v>
      </c>
      <c r="B13" s="19" t="s">
        <v>811</v>
      </c>
      <c r="C13" s="19">
        <v>18</v>
      </c>
      <c r="D13" s="19" t="s">
        <v>812</v>
      </c>
      <c r="E13" s="19" t="s">
        <v>814</v>
      </c>
      <c r="F13" s="126">
        <v>0.51671732522796299</v>
      </c>
      <c r="G13" s="126">
        <v>5.6941228851291097</v>
      </c>
    </row>
    <row r="14" spans="1:10">
      <c r="A14" s="19" t="s">
        <v>810</v>
      </c>
      <c r="B14" s="19" t="s">
        <v>815</v>
      </c>
      <c r="C14" s="19">
        <v>19</v>
      </c>
      <c r="D14" s="19" t="s">
        <v>812</v>
      </c>
      <c r="E14" s="19" t="s">
        <v>813</v>
      </c>
      <c r="F14" s="126">
        <v>19</v>
      </c>
      <c r="G14" s="126">
        <v>1.6063829787234001</v>
      </c>
    </row>
    <row r="15" spans="1:10">
      <c r="A15" s="19" t="s">
        <v>810</v>
      </c>
      <c r="B15" s="19" t="s">
        <v>815</v>
      </c>
      <c r="C15" s="19">
        <v>19</v>
      </c>
      <c r="D15" s="19" t="s">
        <v>812</v>
      </c>
      <c r="E15" s="19" t="s">
        <v>813</v>
      </c>
      <c r="F15" s="126">
        <v>15.082956259426799</v>
      </c>
      <c r="G15" s="126">
        <v>2.13</v>
      </c>
    </row>
    <row r="16" spans="1:10">
      <c r="A16" s="19" t="s">
        <v>810</v>
      </c>
      <c r="B16" s="19" t="s">
        <v>815</v>
      </c>
      <c r="C16" s="19">
        <v>19</v>
      </c>
      <c r="D16" s="19" t="s">
        <v>812</v>
      </c>
      <c r="E16" s="19" t="s">
        <v>813</v>
      </c>
      <c r="F16" s="126">
        <v>9.6530920060331802</v>
      </c>
      <c r="G16" s="126">
        <v>2.6569148936170199</v>
      </c>
    </row>
    <row r="17" spans="1:7">
      <c r="A17" s="19" t="s">
        <v>810</v>
      </c>
      <c r="B17" s="19" t="s">
        <v>815</v>
      </c>
      <c r="C17" s="19">
        <v>19</v>
      </c>
      <c r="D17" s="19" t="s">
        <v>812</v>
      </c>
      <c r="E17" s="19" t="s">
        <v>813</v>
      </c>
      <c r="F17" s="126">
        <v>7.1493212669683199</v>
      </c>
      <c r="G17" s="126">
        <v>3.16</v>
      </c>
    </row>
    <row r="18" spans="1:7">
      <c r="A18" s="19" t="s">
        <v>810</v>
      </c>
      <c r="B18" s="19" t="s">
        <v>815</v>
      </c>
      <c r="C18" s="19">
        <v>19</v>
      </c>
      <c r="D18" s="19" t="s">
        <v>812</v>
      </c>
      <c r="E18" s="19" t="s">
        <v>813</v>
      </c>
      <c r="F18" s="126">
        <v>5.6108597285067798</v>
      </c>
      <c r="G18" s="126">
        <v>3.68</v>
      </c>
    </row>
    <row r="19" spans="1:7">
      <c r="A19" s="19" t="s">
        <v>810</v>
      </c>
      <c r="B19" s="19" t="s">
        <v>815</v>
      </c>
      <c r="C19" s="19">
        <v>19</v>
      </c>
      <c r="D19" s="19" t="s">
        <v>812</v>
      </c>
      <c r="E19" s="19" t="s">
        <v>813</v>
      </c>
      <c r="F19" s="126">
        <v>1.44796380090497</v>
      </c>
      <c r="G19" s="126">
        <v>4.1861702127659504</v>
      </c>
    </row>
    <row r="20" spans="1:7">
      <c r="A20" s="19" t="s">
        <v>810</v>
      </c>
      <c r="B20" s="19" t="s">
        <v>815</v>
      </c>
      <c r="C20" s="19">
        <v>19</v>
      </c>
      <c r="D20" s="19" t="s">
        <v>812</v>
      </c>
      <c r="E20" s="19" t="s">
        <v>814</v>
      </c>
      <c r="F20" s="126">
        <v>2.83559577677224</v>
      </c>
      <c r="G20" s="126">
        <v>3.67</v>
      </c>
    </row>
    <row r="21" spans="1:7">
      <c r="A21" s="19" t="s">
        <v>810</v>
      </c>
      <c r="B21" s="19" t="s">
        <v>815</v>
      </c>
      <c r="C21" s="19">
        <v>19</v>
      </c>
      <c r="D21" s="19" t="s">
        <v>812</v>
      </c>
      <c r="E21" s="19" t="s">
        <v>814</v>
      </c>
      <c r="F21" s="126">
        <v>4.3</v>
      </c>
      <c r="G21" s="126">
        <v>4.18</v>
      </c>
    </row>
    <row r="22" spans="1:7">
      <c r="A22" s="19" t="s">
        <v>810</v>
      </c>
      <c r="B22" s="19" t="s">
        <v>815</v>
      </c>
      <c r="C22" s="19">
        <v>19</v>
      </c>
      <c r="D22" s="19" t="s">
        <v>812</v>
      </c>
      <c r="E22" s="19" t="s">
        <v>814</v>
      </c>
      <c r="F22" s="126">
        <v>4.2533936651583701</v>
      </c>
      <c r="G22" s="126">
        <v>4.6959219858156001</v>
      </c>
    </row>
    <row r="23" spans="1:7">
      <c r="A23" s="19" t="s">
        <v>810</v>
      </c>
      <c r="B23" s="19" t="s">
        <v>815</v>
      </c>
      <c r="C23" s="19">
        <v>19</v>
      </c>
      <c r="D23" s="19" t="s">
        <v>812</v>
      </c>
      <c r="E23" s="19" t="s">
        <v>814</v>
      </c>
      <c r="F23" s="126">
        <v>5.62</v>
      </c>
      <c r="G23" s="126">
        <v>5.19237588652482</v>
      </c>
    </row>
    <row r="24" spans="1:7">
      <c r="A24" s="19" t="s">
        <v>810</v>
      </c>
      <c r="B24" s="19" t="s">
        <v>815</v>
      </c>
      <c r="C24" s="19">
        <v>19</v>
      </c>
      <c r="D24" s="19" t="s">
        <v>812</v>
      </c>
      <c r="E24" s="19" t="s">
        <v>814</v>
      </c>
      <c r="F24" s="126">
        <v>5.8220211161387603</v>
      </c>
      <c r="G24" s="126">
        <v>5.69</v>
      </c>
    </row>
    <row r="25" spans="1:7">
      <c r="A25" s="19" t="s">
        <v>810</v>
      </c>
      <c r="B25" s="19" t="s">
        <v>815</v>
      </c>
      <c r="C25" s="19">
        <v>19</v>
      </c>
      <c r="D25" s="19" t="s">
        <v>812</v>
      </c>
      <c r="E25" s="19" t="s">
        <v>814</v>
      </c>
      <c r="F25" s="126">
        <v>10.1357466063348</v>
      </c>
      <c r="G25" s="126">
        <v>6.18</v>
      </c>
    </row>
    <row r="26" spans="1:7">
      <c r="A26" s="19" t="s">
        <v>816</v>
      </c>
      <c r="B26" s="19" t="s">
        <v>817</v>
      </c>
      <c r="C26" s="19">
        <v>19</v>
      </c>
      <c r="D26" s="19" t="s">
        <v>812</v>
      </c>
      <c r="E26" s="19" t="s">
        <v>813</v>
      </c>
      <c r="F26" s="126">
        <v>19</v>
      </c>
      <c r="G26" s="126">
        <v>1E-4</v>
      </c>
    </row>
    <row r="27" spans="1:7">
      <c r="A27" s="19" t="s">
        <v>816</v>
      </c>
      <c r="B27" s="19" t="s">
        <v>817</v>
      </c>
      <c r="C27" s="19">
        <v>19</v>
      </c>
      <c r="D27" s="19" t="s">
        <v>812</v>
      </c>
      <c r="E27" s="19" t="s">
        <v>813</v>
      </c>
      <c r="F27" s="126">
        <v>17.850000000000001</v>
      </c>
      <c r="G27" s="126">
        <v>0.54298642533936603</v>
      </c>
    </row>
    <row r="28" spans="1:7">
      <c r="A28" s="19" t="s">
        <v>816</v>
      </c>
      <c r="B28" s="19" t="s">
        <v>817</v>
      </c>
      <c r="C28" s="19">
        <v>19</v>
      </c>
      <c r="D28" s="19" t="s">
        <v>812</v>
      </c>
      <c r="E28" s="19" t="s">
        <v>813</v>
      </c>
      <c r="F28" s="126">
        <v>11.8</v>
      </c>
      <c r="G28" s="126">
        <v>1.07692307692307</v>
      </c>
    </row>
    <row r="29" spans="1:7">
      <c r="A29" s="19" t="s">
        <v>816</v>
      </c>
      <c r="B29" s="19" t="s">
        <v>817</v>
      </c>
      <c r="C29" s="19">
        <v>19</v>
      </c>
      <c r="D29" s="19" t="s">
        <v>812</v>
      </c>
      <c r="E29" s="19" t="s">
        <v>813</v>
      </c>
      <c r="F29" s="126">
        <v>2.9249999999999998</v>
      </c>
      <c r="G29" s="126">
        <v>1.605</v>
      </c>
    </row>
    <row r="30" spans="1:7">
      <c r="A30" s="19" t="s">
        <v>816</v>
      </c>
      <c r="B30" s="19" t="s">
        <v>817</v>
      </c>
      <c r="C30" s="19">
        <v>19</v>
      </c>
      <c r="D30" s="19" t="s">
        <v>812</v>
      </c>
      <c r="E30" s="19" t="s">
        <v>813</v>
      </c>
      <c r="F30" s="126">
        <v>1.425</v>
      </c>
      <c r="G30" s="126">
        <v>3.68778280542986</v>
      </c>
    </row>
    <row r="31" spans="1:7">
      <c r="A31" s="19" t="s">
        <v>816</v>
      </c>
      <c r="B31" s="19" t="s">
        <v>817</v>
      </c>
      <c r="C31" s="19">
        <v>19</v>
      </c>
      <c r="D31" s="19" t="s">
        <v>812</v>
      </c>
      <c r="E31" s="19" t="s">
        <v>814</v>
      </c>
      <c r="F31" s="126">
        <v>0.95</v>
      </c>
      <c r="G31" s="126">
        <v>1.61</v>
      </c>
    </row>
    <row r="32" spans="1:7">
      <c r="A32" s="19" t="s">
        <v>816</v>
      </c>
      <c r="B32" s="19" t="s">
        <v>817</v>
      </c>
      <c r="C32" s="19">
        <v>19</v>
      </c>
      <c r="D32" s="19" t="s">
        <v>812</v>
      </c>
      <c r="E32" s="19" t="s">
        <v>814</v>
      </c>
      <c r="F32" s="126">
        <v>1.4197530864197501</v>
      </c>
      <c r="G32" s="126">
        <v>2.1349999999999998</v>
      </c>
    </row>
    <row r="33" spans="1:7">
      <c r="A33" s="19" t="s">
        <v>816</v>
      </c>
      <c r="B33" s="19" t="s">
        <v>817</v>
      </c>
      <c r="C33" s="19">
        <v>19</v>
      </c>
      <c r="D33" s="19" t="s">
        <v>812</v>
      </c>
      <c r="E33" s="19" t="s">
        <v>814</v>
      </c>
      <c r="F33" s="126">
        <v>5.85</v>
      </c>
      <c r="G33" s="126">
        <v>2.66</v>
      </c>
    </row>
    <row r="34" spans="1:7">
      <c r="A34" s="19" t="s">
        <v>816</v>
      </c>
      <c r="B34" s="19" t="s">
        <v>817</v>
      </c>
      <c r="C34" s="19">
        <v>19</v>
      </c>
      <c r="D34" s="19" t="s">
        <v>812</v>
      </c>
      <c r="E34" s="19" t="s">
        <v>814</v>
      </c>
      <c r="F34" s="126">
        <v>18.899999999999999</v>
      </c>
      <c r="G34" s="126">
        <v>3.1764705882352899</v>
      </c>
    </row>
    <row r="35" spans="1:7">
      <c r="A35" s="19" t="s">
        <v>816</v>
      </c>
      <c r="B35" s="19" t="s">
        <v>817</v>
      </c>
      <c r="C35" s="19">
        <v>19</v>
      </c>
      <c r="D35" s="19" t="s">
        <v>812</v>
      </c>
      <c r="E35" s="19" t="s">
        <v>814</v>
      </c>
      <c r="F35" s="126">
        <v>0.5</v>
      </c>
      <c r="G35" s="126">
        <v>4.1950000000000003</v>
      </c>
    </row>
    <row r="36" spans="1:7">
      <c r="A36" s="19" t="s">
        <v>818</v>
      </c>
      <c r="B36" s="19" t="s">
        <v>819</v>
      </c>
      <c r="C36" s="19">
        <v>20</v>
      </c>
      <c r="D36" s="19" t="s">
        <v>812</v>
      </c>
      <c r="E36" s="19" t="s">
        <v>813</v>
      </c>
      <c r="F36" s="126">
        <v>20</v>
      </c>
      <c r="G36" s="126">
        <v>0.53717472118959098</v>
      </c>
    </row>
    <row r="37" spans="1:7">
      <c r="A37" s="19" t="s">
        <v>818</v>
      </c>
      <c r="B37" s="19" t="s">
        <v>819</v>
      </c>
      <c r="C37" s="19">
        <v>20</v>
      </c>
      <c r="D37" s="19" t="s">
        <v>812</v>
      </c>
      <c r="E37" s="19" t="s">
        <v>813</v>
      </c>
      <c r="F37" s="126">
        <v>19.100000000000001</v>
      </c>
      <c r="G37" s="126">
        <v>1.07156133828996</v>
      </c>
    </row>
    <row r="38" spans="1:7">
      <c r="A38" s="19" t="s">
        <v>818</v>
      </c>
      <c r="B38" s="19" t="s">
        <v>819</v>
      </c>
      <c r="C38" s="19">
        <v>20</v>
      </c>
      <c r="D38" s="19" t="s">
        <v>812</v>
      </c>
      <c r="E38" s="19" t="s">
        <v>813</v>
      </c>
      <c r="F38" s="126">
        <v>2.51582278481012</v>
      </c>
      <c r="G38" s="126">
        <v>1.6013011152416301</v>
      </c>
    </row>
    <row r="39" spans="1:7">
      <c r="A39" s="19" t="s">
        <v>818</v>
      </c>
      <c r="B39" s="19" t="s">
        <v>819</v>
      </c>
      <c r="C39" s="19">
        <v>20</v>
      </c>
      <c r="D39" s="19" t="s">
        <v>812</v>
      </c>
      <c r="E39" s="19" t="s">
        <v>813</v>
      </c>
      <c r="F39" s="126">
        <v>4.6993670886075902</v>
      </c>
      <c r="G39" s="126">
        <v>2.6514869888475801</v>
      </c>
    </row>
    <row r="40" spans="1:7">
      <c r="A40" s="19" t="s">
        <v>818</v>
      </c>
      <c r="B40" s="19" t="s">
        <v>819</v>
      </c>
      <c r="C40" s="19">
        <v>20</v>
      </c>
      <c r="D40" s="19" t="s">
        <v>812</v>
      </c>
      <c r="E40" s="19" t="s">
        <v>813</v>
      </c>
      <c r="F40" s="126">
        <v>6.2183544303797396</v>
      </c>
      <c r="G40" s="126">
        <v>3.7</v>
      </c>
    </row>
    <row r="41" spans="1:7">
      <c r="A41" s="19" t="s">
        <v>818</v>
      </c>
      <c r="B41" s="19" t="s">
        <v>819</v>
      </c>
      <c r="C41" s="19">
        <v>20</v>
      </c>
      <c r="D41" s="19" t="s">
        <v>812</v>
      </c>
      <c r="E41" s="19" t="s">
        <v>814</v>
      </c>
      <c r="F41" s="126">
        <v>1</v>
      </c>
      <c r="G41" s="126">
        <v>4.7</v>
      </c>
    </row>
    <row r="42" spans="1:7">
      <c r="A42" s="19" t="s">
        <v>818</v>
      </c>
      <c r="B42" s="19" t="s">
        <v>819</v>
      </c>
      <c r="C42" s="19">
        <v>20</v>
      </c>
      <c r="D42" s="19" t="s">
        <v>812</v>
      </c>
      <c r="E42" s="19" t="s">
        <v>814</v>
      </c>
      <c r="F42" s="126">
        <v>1.32911392405063</v>
      </c>
      <c r="G42" s="126">
        <v>5.2</v>
      </c>
    </row>
    <row r="43" spans="1:7">
      <c r="A43" s="19" t="s">
        <v>818</v>
      </c>
      <c r="B43" s="19" t="s">
        <v>819</v>
      </c>
      <c r="C43" s="19">
        <v>20</v>
      </c>
      <c r="D43" s="19" t="s">
        <v>812</v>
      </c>
      <c r="E43" s="19" t="s">
        <v>814</v>
      </c>
      <c r="F43" s="126">
        <v>3.70253164556962</v>
      </c>
      <c r="G43" s="126">
        <v>2.14</v>
      </c>
    </row>
    <row r="44" spans="1:7">
      <c r="A44" s="19" t="s">
        <v>818</v>
      </c>
      <c r="B44" s="19" t="s">
        <v>819</v>
      </c>
      <c r="C44" s="19">
        <v>20</v>
      </c>
      <c r="D44" s="19" t="s">
        <v>812</v>
      </c>
      <c r="E44" s="19" t="s">
        <v>814</v>
      </c>
      <c r="F44" s="126">
        <v>6.17088607594936</v>
      </c>
      <c r="G44" s="126">
        <v>3.1765799256505498</v>
      </c>
    </row>
    <row r="45" spans="1:7">
      <c r="A45" s="19" t="s">
        <v>818</v>
      </c>
      <c r="B45" s="19" t="s">
        <v>819</v>
      </c>
      <c r="C45" s="19">
        <v>20</v>
      </c>
      <c r="D45" s="19" t="s">
        <v>812</v>
      </c>
      <c r="E45" s="19" t="s">
        <v>814</v>
      </c>
      <c r="F45" s="126">
        <v>8.9715189873417707</v>
      </c>
      <c r="G45" s="126">
        <v>4.1942379182156104</v>
      </c>
    </row>
    <row r="46" spans="1:7">
      <c r="A46" s="19" t="s">
        <v>820</v>
      </c>
      <c r="B46" s="19" t="s">
        <v>821</v>
      </c>
      <c r="C46" s="19">
        <v>20</v>
      </c>
      <c r="D46" s="19" t="s">
        <v>812</v>
      </c>
      <c r="E46" s="19" t="s">
        <v>813</v>
      </c>
      <c r="F46" s="126">
        <v>20</v>
      </c>
      <c r="G46" s="126">
        <v>0.54</v>
      </c>
    </row>
    <row r="47" spans="1:7">
      <c r="A47" s="19" t="s">
        <v>820</v>
      </c>
      <c r="B47" s="19" t="s">
        <v>821</v>
      </c>
      <c r="C47" s="19">
        <v>20</v>
      </c>
      <c r="D47" s="19" t="s">
        <v>812</v>
      </c>
      <c r="E47" s="19" t="s">
        <v>813</v>
      </c>
      <c r="F47" s="126">
        <v>13.95</v>
      </c>
      <c r="G47" s="126">
        <v>1.08067375886524</v>
      </c>
    </row>
    <row r="48" spans="1:7">
      <c r="A48" s="19" t="s">
        <v>820</v>
      </c>
      <c r="B48" s="19" t="s">
        <v>821</v>
      </c>
      <c r="C48" s="19">
        <v>20</v>
      </c>
      <c r="D48" s="19" t="s">
        <v>812</v>
      </c>
      <c r="E48" s="19" t="s">
        <v>813</v>
      </c>
      <c r="F48" s="126">
        <v>7.55</v>
      </c>
      <c r="G48" s="126">
        <v>1.6</v>
      </c>
    </row>
    <row r="49" spans="1:7">
      <c r="A49" s="19" t="s">
        <v>820</v>
      </c>
      <c r="B49" s="19" t="s">
        <v>821</v>
      </c>
      <c r="C49" s="19">
        <v>20</v>
      </c>
      <c r="D49" s="19" t="s">
        <v>812</v>
      </c>
      <c r="E49" s="19" t="s">
        <v>813</v>
      </c>
      <c r="F49" s="126">
        <v>4.3</v>
      </c>
      <c r="G49" s="126">
        <v>2.1312056737588598</v>
      </c>
    </row>
    <row r="50" spans="1:7">
      <c r="A50" s="19" t="s">
        <v>820</v>
      </c>
      <c r="B50" s="19" t="s">
        <v>821</v>
      </c>
      <c r="C50" s="19">
        <v>20</v>
      </c>
      <c r="D50" s="19" t="s">
        <v>812</v>
      </c>
      <c r="E50" s="19" t="s">
        <v>813</v>
      </c>
      <c r="F50" s="126">
        <v>3.2980332829046901</v>
      </c>
      <c r="G50" s="126">
        <v>2.65868794326241</v>
      </c>
    </row>
    <row r="51" spans="1:7">
      <c r="A51" s="19" t="s">
        <v>820</v>
      </c>
      <c r="B51" s="19" t="s">
        <v>821</v>
      </c>
      <c r="C51" s="19">
        <v>20</v>
      </c>
      <c r="D51" s="19" t="s">
        <v>812</v>
      </c>
      <c r="E51" s="19" t="s">
        <v>813</v>
      </c>
      <c r="F51" s="126">
        <v>6.05</v>
      </c>
      <c r="G51" s="126">
        <v>3.6870567375886498</v>
      </c>
    </row>
    <row r="52" spans="1:7">
      <c r="A52" s="19" t="s">
        <v>820</v>
      </c>
      <c r="B52" s="19" t="s">
        <v>821</v>
      </c>
      <c r="C52" s="19">
        <v>20</v>
      </c>
      <c r="D52" s="19" t="s">
        <v>812</v>
      </c>
      <c r="E52" s="19" t="s">
        <v>814</v>
      </c>
      <c r="F52" s="126">
        <v>0.85</v>
      </c>
      <c r="G52" s="126">
        <v>3.6826241134751698</v>
      </c>
    </row>
    <row r="53" spans="1:7">
      <c r="A53" s="19" t="s">
        <v>820</v>
      </c>
      <c r="B53" s="19" t="s">
        <v>821</v>
      </c>
      <c r="C53" s="19">
        <v>20</v>
      </c>
      <c r="D53" s="19" t="s">
        <v>812</v>
      </c>
      <c r="E53" s="19" t="s">
        <v>814</v>
      </c>
      <c r="F53" s="126">
        <v>1.35</v>
      </c>
      <c r="G53" s="126">
        <v>4.19237588652482</v>
      </c>
    </row>
    <row r="54" spans="1:7">
      <c r="A54" s="19" t="s">
        <v>820</v>
      </c>
      <c r="B54" s="19" t="s">
        <v>821</v>
      </c>
      <c r="C54" s="19">
        <v>20</v>
      </c>
      <c r="D54" s="19" t="s">
        <v>812</v>
      </c>
      <c r="E54" s="19" t="s">
        <v>814</v>
      </c>
      <c r="F54" s="126">
        <v>1.85</v>
      </c>
      <c r="G54" s="126">
        <v>4.6932624113475097</v>
      </c>
    </row>
    <row r="55" spans="1:7">
      <c r="A55" s="19" t="s">
        <v>820</v>
      </c>
      <c r="B55" s="19" t="s">
        <v>821</v>
      </c>
      <c r="C55" s="19">
        <v>20</v>
      </c>
      <c r="D55" s="19" t="s">
        <v>812</v>
      </c>
      <c r="E55" s="19" t="s">
        <v>814</v>
      </c>
      <c r="F55" s="126">
        <v>2.85</v>
      </c>
      <c r="G55" s="126">
        <v>5.1985815602836798</v>
      </c>
    </row>
    <row r="56" spans="1:7">
      <c r="A56" s="19" t="s">
        <v>820</v>
      </c>
      <c r="B56" s="19" t="s">
        <v>821</v>
      </c>
      <c r="C56" s="19">
        <v>20</v>
      </c>
      <c r="D56" s="19" t="s">
        <v>812</v>
      </c>
      <c r="E56" s="19" t="s">
        <v>814</v>
      </c>
      <c r="F56" s="126">
        <v>3.7</v>
      </c>
      <c r="G56" s="126">
        <v>3.1749999999999998</v>
      </c>
    </row>
    <row r="57" spans="1:7">
      <c r="A57" s="19" t="s">
        <v>820</v>
      </c>
      <c r="B57" s="19" t="s">
        <v>821</v>
      </c>
      <c r="C57" s="19">
        <v>20</v>
      </c>
      <c r="D57" s="19" t="s">
        <v>812</v>
      </c>
      <c r="E57" s="19" t="s">
        <v>814</v>
      </c>
      <c r="F57" s="126">
        <v>8.65</v>
      </c>
      <c r="G57" s="126">
        <v>4.19237588652482</v>
      </c>
    </row>
    <row r="58" spans="1:7">
      <c r="A58" s="19" t="s">
        <v>822</v>
      </c>
      <c r="B58" s="19" t="s">
        <v>823</v>
      </c>
      <c r="C58" s="19">
        <v>21</v>
      </c>
      <c r="D58" s="19" t="s">
        <v>812</v>
      </c>
      <c r="E58" s="19" t="s">
        <v>813</v>
      </c>
      <c r="F58" s="126">
        <v>21</v>
      </c>
      <c r="G58" s="126">
        <v>0.54155124653739595</v>
      </c>
    </row>
    <row r="59" spans="1:7">
      <c r="A59" s="19" t="s">
        <v>822</v>
      </c>
      <c r="B59" s="19" t="s">
        <v>823</v>
      </c>
      <c r="C59" s="19">
        <v>21</v>
      </c>
      <c r="D59" s="19" t="s">
        <v>812</v>
      </c>
      <c r="E59" s="19" t="s">
        <v>813</v>
      </c>
      <c r="F59" s="126">
        <v>6.7</v>
      </c>
      <c r="G59" s="126">
        <v>1.0817174515235399</v>
      </c>
    </row>
    <row r="60" spans="1:7">
      <c r="A60" s="19" t="s">
        <v>822</v>
      </c>
      <c r="B60" s="19" t="s">
        <v>823</v>
      </c>
      <c r="C60" s="19">
        <v>21</v>
      </c>
      <c r="D60" s="19" t="s">
        <v>812</v>
      </c>
      <c r="E60" s="19" t="s">
        <v>813</v>
      </c>
      <c r="F60" s="126">
        <v>4.3642072213500702</v>
      </c>
      <c r="G60" s="126">
        <v>1.61265004616805</v>
      </c>
    </row>
    <row r="61" spans="1:7">
      <c r="A61" s="19" t="s">
        <v>822</v>
      </c>
      <c r="B61" s="19" t="s">
        <v>823</v>
      </c>
      <c r="C61" s="19">
        <v>21</v>
      </c>
      <c r="D61" s="19" t="s">
        <v>812</v>
      </c>
      <c r="E61" s="19" t="s">
        <v>813</v>
      </c>
      <c r="F61" s="126">
        <v>1.9780219780219701</v>
      </c>
      <c r="G61" s="126">
        <v>2.1343490304709101</v>
      </c>
    </row>
    <row r="62" spans="1:7">
      <c r="A62" s="19" t="s">
        <v>822</v>
      </c>
      <c r="B62" s="19" t="s">
        <v>823</v>
      </c>
      <c r="C62" s="19">
        <v>21</v>
      </c>
      <c r="D62" s="19" t="s">
        <v>812</v>
      </c>
      <c r="E62" s="19" t="s">
        <v>813</v>
      </c>
      <c r="F62" s="126">
        <v>0.97331240188382995</v>
      </c>
      <c r="G62" s="126">
        <v>2.6560480147737699</v>
      </c>
    </row>
    <row r="63" spans="1:7">
      <c r="A63" s="19" t="s">
        <v>822</v>
      </c>
      <c r="B63" s="19" t="s">
        <v>823</v>
      </c>
      <c r="C63" s="19">
        <v>21</v>
      </c>
      <c r="D63" s="19" t="s">
        <v>812</v>
      </c>
      <c r="E63" s="19" t="s">
        <v>814</v>
      </c>
      <c r="F63" s="126">
        <v>0.91051805337519598</v>
      </c>
      <c r="G63" s="126">
        <v>3.1777469990766298</v>
      </c>
    </row>
    <row r="64" spans="1:7">
      <c r="A64" s="19" t="s">
        <v>822</v>
      </c>
      <c r="B64" s="19" t="s">
        <v>823</v>
      </c>
      <c r="C64" s="19">
        <v>21</v>
      </c>
      <c r="D64" s="19" t="s">
        <v>812</v>
      </c>
      <c r="E64" s="19" t="s">
        <v>814</v>
      </c>
      <c r="F64" s="126">
        <v>1.8838304552590199</v>
      </c>
      <c r="G64" s="126">
        <v>3.6902123730378502</v>
      </c>
    </row>
    <row r="65" spans="1:7">
      <c r="A65" s="19" t="s">
        <v>822</v>
      </c>
      <c r="B65" s="19" t="s">
        <v>823</v>
      </c>
      <c r="C65" s="19">
        <v>21</v>
      </c>
      <c r="D65" s="19" t="s">
        <v>812</v>
      </c>
      <c r="E65" s="19" t="s">
        <v>814</v>
      </c>
      <c r="F65" s="126">
        <v>2.8257456828885399</v>
      </c>
      <c r="G65" s="126">
        <v>4.19806094182825</v>
      </c>
    </row>
    <row r="66" spans="1:7">
      <c r="A66" s="19" t="s">
        <v>822</v>
      </c>
      <c r="B66" s="19" t="s">
        <v>823</v>
      </c>
      <c r="C66" s="19">
        <v>21</v>
      </c>
      <c r="D66" s="19" t="s">
        <v>812</v>
      </c>
      <c r="E66" s="19" t="s">
        <v>814</v>
      </c>
      <c r="F66" s="126">
        <v>3.7990580847723701</v>
      </c>
      <c r="G66" s="126">
        <v>4.6966759002770004</v>
      </c>
    </row>
    <row r="67" spans="1:7">
      <c r="A67" s="19" t="s">
        <v>822</v>
      </c>
      <c r="B67" s="19" t="s">
        <v>823</v>
      </c>
      <c r="C67" s="19">
        <v>21</v>
      </c>
      <c r="D67" s="19" t="s">
        <v>812</v>
      </c>
      <c r="E67" s="19" t="s">
        <v>814</v>
      </c>
      <c r="F67" s="126">
        <v>9.8000000000000007</v>
      </c>
      <c r="G67" s="126">
        <v>5.19990766389658</v>
      </c>
    </row>
    <row r="68" spans="1:7">
      <c r="A68" s="19" t="s">
        <v>824</v>
      </c>
      <c r="B68" s="19" t="s">
        <v>825</v>
      </c>
      <c r="C68" s="19">
        <v>21</v>
      </c>
      <c r="D68" s="19" t="s">
        <v>812</v>
      </c>
      <c r="E68" s="19" t="s">
        <v>813</v>
      </c>
      <c r="F68" s="126">
        <v>21</v>
      </c>
      <c r="G68" s="126">
        <v>0.53500000000000003</v>
      </c>
    </row>
    <row r="69" spans="1:7">
      <c r="A69" s="19" t="s">
        <v>824</v>
      </c>
      <c r="B69" s="19" t="s">
        <v>825</v>
      </c>
      <c r="C69" s="19">
        <v>21</v>
      </c>
      <c r="D69" s="19" t="s">
        <v>812</v>
      </c>
      <c r="E69" s="19" t="s">
        <v>813</v>
      </c>
      <c r="F69" s="126">
        <v>19.05</v>
      </c>
      <c r="G69" s="126">
        <v>1.075</v>
      </c>
    </row>
    <row r="70" spans="1:7">
      <c r="A70" s="19" t="s">
        <v>824</v>
      </c>
      <c r="B70" s="19" t="s">
        <v>825</v>
      </c>
      <c r="C70" s="19">
        <v>21</v>
      </c>
      <c r="D70" s="19" t="s">
        <v>812</v>
      </c>
      <c r="E70" s="19" t="s">
        <v>813</v>
      </c>
      <c r="F70" s="126">
        <v>11.1</v>
      </c>
      <c r="G70" s="126">
        <v>1.6</v>
      </c>
    </row>
    <row r="71" spans="1:7">
      <c r="A71" s="19" t="s">
        <v>824</v>
      </c>
      <c r="B71" s="19" t="s">
        <v>825</v>
      </c>
      <c r="C71" s="19">
        <v>21</v>
      </c>
      <c r="D71" s="19" t="s">
        <v>812</v>
      </c>
      <c r="E71" s="19" t="s">
        <v>813</v>
      </c>
      <c r="F71" s="126">
        <v>2.4500000000000002</v>
      </c>
      <c r="G71" s="126">
        <v>2.6494042163153</v>
      </c>
    </row>
    <row r="72" spans="1:7">
      <c r="A72" s="19" t="s">
        <v>824</v>
      </c>
      <c r="B72" s="19" t="s">
        <v>825</v>
      </c>
      <c r="C72" s="19">
        <v>21</v>
      </c>
      <c r="D72" s="19" t="s">
        <v>812</v>
      </c>
      <c r="E72" s="19" t="s">
        <v>814</v>
      </c>
      <c r="F72" s="126">
        <v>0.95</v>
      </c>
      <c r="G72" s="126">
        <v>2.65</v>
      </c>
    </row>
    <row r="73" spans="1:7">
      <c r="A73" s="19" t="s">
        <v>824</v>
      </c>
      <c r="B73" s="19" t="s">
        <v>825</v>
      </c>
      <c r="C73" s="19">
        <v>21</v>
      </c>
      <c r="D73" s="19" t="s">
        <v>812</v>
      </c>
      <c r="E73" s="19" t="s">
        <v>814</v>
      </c>
      <c r="F73" s="126">
        <v>1.4</v>
      </c>
      <c r="G73" s="126">
        <v>3.1718606779999998</v>
      </c>
    </row>
    <row r="74" spans="1:7">
      <c r="A74" s="19" t="s">
        <v>824</v>
      </c>
      <c r="B74" s="19" t="s">
        <v>825</v>
      </c>
      <c r="C74" s="19">
        <v>21</v>
      </c>
      <c r="D74" s="19" t="s">
        <v>812</v>
      </c>
      <c r="E74" s="19" t="s">
        <v>814</v>
      </c>
      <c r="F74" s="126">
        <v>2.8125</v>
      </c>
      <c r="G74" s="126">
        <v>2.13</v>
      </c>
    </row>
    <row r="75" spans="1:7">
      <c r="A75" s="19" t="s">
        <v>824</v>
      </c>
      <c r="B75" s="19" t="s">
        <v>825</v>
      </c>
      <c r="C75" s="19">
        <v>21</v>
      </c>
      <c r="D75" s="19" t="s">
        <v>812</v>
      </c>
      <c r="E75" s="19" t="s">
        <v>814</v>
      </c>
      <c r="F75" s="126">
        <v>7.1</v>
      </c>
      <c r="G75" s="126">
        <v>3.17186067827681</v>
      </c>
    </row>
    <row r="76" spans="1:7">
      <c r="A76" s="19" t="s">
        <v>826</v>
      </c>
      <c r="B76" s="19" t="s">
        <v>810</v>
      </c>
      <c r="C76" s="19">
        <v>22</v>
      </c>
      <c r="D76" s="19" t="s">
        <v>812</v>
      </c>
      <c r="E76" s="19" t="s">
        <v>813</v>
      </c>
      <c r="F76" s="126">
        <v>22</v>
      </c>
      <c r="G76" s="126">
        <v>0.54464285714285698</v>
      </c>
    </row>
    <row r="77" spans="1:7">
      <c r="A77" s="19" t="s">
        <v>826</v>
      </c>
      <c r="B77" s="19" t="s">
        <v>810</v>
      </c>
      <c r="C77" s="19">
        <v>22</v>
      </c>
      <c r="D77" s="19" t="s">
        <v>812</v>
      </c>
      <c r="E77" s="19" t="s">
        <v>813</v>
      </c>
      <c r="F77" s="126">
        <v>9.75</v>
      </c>
      <c r="G77" s="126">
        <v>1.0803571428571399</v>
      </c>
    </row>
    <row r="78" spans="1:7">
      <c r="A78" s="19" t="s">
        <v>826</v>
      </c>
      <c r="B78" s="19" t="s">
        <v>810</v>
      </c>
      <c r="C78" s="19">
        <v>22</v>
      </c>
      <c r="D78" s="19" t="s">
        <v>812</v>
      </c>
      <c r="E78" s="19" t="s">
        <v>813</v>
      </c>
      <c r="F78" s="126">
        <v>4.3499999999999996</v>
      </c>
      <c r="G78" s="126">
        <v>1.6026785714285701</v>
      </c>
    </row>
    <row r="79" spans="1:7">
      <c r="A79" s="19" t="s">
        <v>826</v>
      </c>
      <c r="B79" s="19" t="s">
        <v>810</v>
      </c>
      <c r="C79" s="19">
        <v>22</v>
      </c>
      <c r="D79" s="19" t="s">
        <v>812</v>
      </c>
      <c r="E79" s="19" t="s">
        <v>813</v>
      </c>
      <c r="F79" s="126">
        <v>1.925</v>
      </c>
      <c r="G79" s="126">
        <v>2.1294642857142798</v>
      </c>
    </row>
    <row r="80" spans="1:7">
      <c r="A80" s="19" t="s">
        <v>826</v>
      </c>
      <c r="B80" s="19" t="s">
        <v>810</v>
      </c>
      <c r="C80" s="19">
        <v>22</v>
      </c>
      <c r="D80" s="19" t="s">
        <v>812</v>
      </c>
      <c r="E80" s="19" t="s">
        <v>813</v>
      </c>
      <c r="F80" s="126">
        <v>1.45</v>
      </c>
      <c r="G80" s="126">
        <v>2.6428571428571401</v>
      </c>
    </row>
    <row r="81" spans="1:7">
      <c r="A81" s="19" t="s">
        <v>826</v>
      </c>
      <c r="B81" s="19" t="s">
        <v>810</v>
      </c>
      <c r="C81" s="19">
        <v>22</v>
      </c>
      <c r="D81" s="19" t="s">
        <v>812</v>
      </c>
      <c r="E81" s="19" t="s">
        <v>814</v>
      </c>
      <c r="F81" s="126">
        <v>0.85496183206106802</v>
      </c>
      <c r="G81" s="126">
        <v>3.1749999999999998</v>
      </c>
    </row>
    <row r="82" spans="1:7">
      <c r="A82" s="19" t="s">
        <v>826</v>
      </c>
      <c r="B82" s="19" t="s">
        <v>810</v>
      </c>
      <c r="C82" s="19">
        <v>22</v>
      </c>
      <c r="D82" s="19" t="s">
        <v>812</v>
      </c>
      <c r="E82" s="19" t="s">
        <v>814</v>
      </c>
      <c r="F82" s="126">
        <v>1.89312977099236</v>
      </c>
      <c r="G82" s="126">
        <v>3.6850000000000001</v>
      </c>
    </row>
    <row r="83" spans="1:7">
      <c r="A83" s="19" t="s">
        <v>826</v>
      </c>
      <c r="B83" s="19" t="s">
        <v>810</v>
      </c>
      <c r="C83" s="19">
        <v>22</v>
      </c>
      <c r="D83" s="19" t="s">
        <v>812</v>
      </c>
      <c r="E83" s="19" t="s">
        <v>814</v>
      </c>
      <c r="F83" s="126">
        <v>3.2977099236641201</v>
      </c>
      <c r="G83" s="126">
        <v>4.1964285714285703</v>
      </c>
    </row>
    <row r="84" spans="1:7">
      <c r="A84" s="19" t="s">
        <v>826</v>
      </c>
      <c r="B84" s="19" t="s">
        <v>810</v>
      </c>
      <c r="C84" s="19">
        <v>22</v>
      </c>
      <c r="D84" s="19" t="s">
        <v>812</v>
      </c>
      <c r="E84" s="19" t="s">
        <v>814</v>
      </c>
      <c r="F84" s="126">
        <v>4.8244274809160297</v>
      </c>
      <c r="G84" s="126">
        <v>4.6950000000000003</v>
      </c>
    </row>
    <row r="85" spans="1:7">
      <c r="A85" s="19" t="s">
        <v>826</v>
      </c>
      <c r="B85" s="19" t="s">
        <v>810</v>
      </c>
      <c r="C85" s="19">
        <v>22</v>
      </c>
      <c r="D85" s="19" t="s">
        <v>812</v>
      </c>
      <c r="E85" s="19" t="s">
        <v>814</v>
      </c>
      <c r="F85" s="126">
        <v>15.5114503816793</v>
      </c>
      <c r="G85" s="126">
        <v>5.2050000000000001</v>
      </c>
    </row>
    <row r="86" spans="1:7">
      <c r="A86" s="19" t="s">
        <v>827</v>
      </c>
      <c r="B86" s="19" t="s">
        <v>828</v>
      </c>
      <c r="C86" s="19">
        <v>22</v>
      </c>
      <c r="D86" s="19" t="s">
        <v>812</v>
      </c>
      <c r="E86" s="19" t="s">
        <v>813</v>
      </c>
      <c r="F86" s="126">
        <v>22</v>
      </c>
      <c r="G86" s="126">
        <v>0.540946314831665</v>
      </c>
    </row>
    <row r="87" spans="1:7">
      <c r="A87" s="19" t="s">
        <v>827</v>
      </c>
      <c r="B87" s="19" t="s">
        <v>828</v>
      </c>
      <c r="C87" s="19">
        <v>22</v>
      </c>
      <c r="D87" s="19" t="s">
        <v>812</v>
      </c>
      <c r="E87" s="19" t="s">
        <v>813</v>
      </c>
      <c r="F87" s="126">
        <v>18.325581395348799</v>
      </c>
      <c r="G87" s="126">
        <v>1.07779799818016</v>
      </c>
    </row>
    <row r="88" spans="1:7">
      <c r="A88" s="19" t="s">
        <v>827</v>
      </c>
      <c r="B88" s="19" t="s">
        <v>828</v>
      </c>
      <c r="C88" s="19">
        <v>22</v>
      </c>
      <c r="D88" s="19" t="s">
        <v>812</v>
      </c>
      <c r="E88" s="19" t="s">
        <v>813</v>
      </c>
      <c r="F88" s="126">
        <v>11.968992248061999</v>
      </c>
      <c r="G88" s="126">
        <v>1.60555050045495</v>
      </c>
    </row>
    <row r="89" spans="1:7">
      <c r="A89" s="19" t="s">
        <v>827</v>
      </c>
      <c r="B89" s="19" t="s">
        <v>828</v>
      </c>
      <c r="C89" s="19">
        <v>22</v>
      </c>
      <c r="D89" s="19" t="s">
        <v>812</v>
      </c>
      <c r="E89" s="19" t="s">
        <v>813</v>
      </c>
      <c r="F89" s="126">
        <v>7.8449612403100701</v>
      </c>
      <c r="G89" s="126">
        <v>2.1242038216560499</v>
      </c>
    </row>
    <row r="90" spans="1:7">
      <c r="A90" s="19" t="s">
        <v>827</v>
      </c>
      <c r="B90" s="19" t="s">
        <v>828</v>
      </c>
      <c r="C90" s="19">
        <v>22</v>
      </c>
      <c r="D90" s="19" t="s">
        <v>812</v>
      </c>
      <c r="E90" s="19" t="s">
        <v>813</v>
      </c>
      <c r="F90" s="126">
        <v>4.8372093023255802</v>
      </c>
      <c r="G90" s="126">
        <v>4.1897179253867103</v>
      </c>
    </row>
    <row r="91" spans="1:7">
      <c r="A91" s="19" t="s">
        <v>827</v>
      </c>
      <c r="B91" s="19" t="s">
        <v>828</v>
      </c>
      <c r="C91" s="19">
        <v>22</v>
      </c>
      <c r="D91" s="19" t="s">
        <v>812</v>
      </c>
      <c r="E91" s="19" t="s">
        <v>814</v>
      </c>
      <c r="F91" s="126">
        <v>0.89922480620154999</v>
      </c>
      <c r="G91" s="126">
        <v>2.1151046405823402</v>
      </c>
    </row>
    <row r="92" spans="1:7">
      <c r="A92" s="19" t="s">
        <v>827</v>
      </c>
      <c r="B92" s="19" t="s">
        <v>828</v>
      </c>
      <c r="C92" s="19">
        <v>22</v>
      </c>
      <c r="D92" s="19" t="s">
        <v>812</v>
      </c>
      <c r="E92" s="19" t="s">
        <v>814</v>
      </c>
      <c r="F92" s="126">
        <v>1.86046511627906</v>
      </c>
      <c r="G92" s="126">
        <v>2.6428571428571401</v>
      </c>
    </row>
    <row r="93" spans="1:7">
      <c r="A93" s="19" t="s">
        <v>827</v>
      </c>
      <c r="B93" s="19" t="s">
        <v>828</v>
      </c>
      <c r="C93" s="19">
        <v>22</v>
      </c>
      <c r="D93" s="19" t="s">
        <v>812</v>
      </c>
      <c r="E93" s="19" t="s">
        <v>814</v>
      </c>
      <c r="F93" s="126">
        <v>4.3720930232558102</v>
      </c>
      <c r="G93" s="126">
        <v>3.1706096451319299</v>
      </c>
    </row>
    <row r="94" spans="1:7">
      <c r="A94" s="19" t="s">
        <v>827</v>
      </c>
      <c r="B94" s="19" t="s">
        <v>828</v>
      </c>
      <c r="C94" s="19">
        <v>22</v>
      </c>
      <c r="D94" s="19" t="s">
        <v>812</v>
      </c>
      <c r="E94" s="19" t="s">
        <v>814</v>
      </c>
      <c r="F94" s="126">
        <v>14.4806201550387</v>
      </c>
      <c r="G94" s="126">
        <v>3.6892629663330299</v>
      </c>
    </row>
    <row r="95" spans="1:7">
      <c r="A95" s="19" t="s">
        <v>827</v>
      </c>
      <c r="B95" s="19" t="s">
        <v>828</v>
      </c>
      <c r="C95" s="19">
        <v>22</v>
      </c>
      <c r="D95" s="19" t="s">
        <v>812</v>
      </c>
      <c r="E95" s="19" t="s">
        <v>814</v>
      </c>
      <c r="F95" s="126">
        <v>3.0077519379844899</v>
      </c>
      <c r="G95" s="126">
        <v>4.69472247497725</v>
      </c>
    </row>
    <row r="96" spans="1:7">
      <c r="A96" s="19" t="s">
        <v>829</v>
      </c>
      <c r="B96" s="19" t="s">
        <v>830</v>
      </c>
      <c r="C96" s="19">
        <v>23</v>
      </c>
      <c r="D96" s="19" t="s">
        <v>812</v>
      </c>
      <c r="E96" s="19" t="s">
        <v>813</v>
      </c>
      <c r="F96" s="126">
        <v>23</v>
      </c>
      <c r="G96" s="126">
        <v>0.53623188405797095</v>
      </c>
    </row>
    <row r="97" spans="1:7">
      <c r="A97" s="19" t="s">
        <v>829</v>
      </c>
      <c r="B97" s="19" t="s">
        <v>830</v>
      </c>
      <c r="C97" s="19">
        <v>23</v>
      </c>
      <c r="D97" s="19" t="s">
        <v>812</v>
      </c>
      <c r="E97" s="19" t="s">
        <v>813</v>
      </c>
      <c r="F97" s="126">
        <v>15.7</v>
      </c>
      <c r="G97" s="126">
        <v>1.07518115942029</v>
      </c>
    </row>
    <row r="98" spans="1:7">
      <c r="A98" s="19" t="s">
        <v>829</v>
      </c>
      <c r="B98" s="19" t="s">
        <v>830</v>
      </c>
      <c r="C98" s="19">
        <v>23</v>
      </c>
      <c r="D98" s="19" t="s">
        <v>812</v>
      </c>
      <c r="E98" s="19" t="s">
        <v>813</v>
      </c>
      <c r="F98" s="126">
        <v>10.1078582434514</v>
      </c>
      <c r="G98" s="126">
        <v>1.60507246376811</v>
      </c>
    </row>
    <row r="99" spans="1:7">
      <c r="A99" s="19" t="s">
        <v>829</v>
      </c>
      <c r="B99" s="19" t="s">
        <v>830</v>
      </c>
      <c r="C99" s="19">
        <v>23</v>
      </c>
      <c r="D99" s="19" t="s">
        <v>812</v>
      </c>
      <c r="E99" s="19" t="s">
        <v>813</v>
      </c>
      <c r="F99" s="126">
        <v>3.45</v>
      </c>
      <c r="G99" s="126">
        <v>2.13043478260869</v>
      </c>
    </row>
    <row r="100" spans="1:7">
      <c r="A100" s="19" t="s">
        <v>829</v>
      </c>
      <c r="B100" s="19" t="s">
        <v>830</v>
      </c>
      <c r="C100" s="19">
        <v>23</v>
      </c>
      <c r="D100" s="19" t="s">
        <v>812</v>
      </c>
      <c r="E100" s="19" t="s">
        <v>813</v>
      </c>
      <c r="F100" s="126">
        <v>1.95</v>
      </c>
      <c r="G100" s="126">
        <v>2.65</v>
      </c>
    </row>
    <row r="101" spans="1:7">
      <c r="A101" s="19" t="s">
        <v>829</v>
      </c>
      <c r="B101" s="19" t="s">
        <v>830</v>
      </c>
      <c r="C101" s="19">
        <v>23</v>
      </c>
      <c r="D101" s="19" t="s">
        <v>812</v>
      </c>
      <c r="E101" s="19" t="s">
        <v>814</v>
      </c>
      <c r="F101" s="126">
        <v>0.893682588597842</v>
      </c>
      <c r="G101" s="126">
        <v>3.1721014492753601</v>
      </c>
    </row>
    <row r="102" spans="1:7">
      <c r="A102" s="19" t="s">
        <v>829</v>
      </c>
      <c r="B102" s="19" t="s">
        <v>830</v>
      </c>
      <c r="C102" s="19">
        <v>23</v>
      </c>
      <c r="D102" s="19" t="s">
        <v>812</v>
      </c>
      <c r="E102" s="19" t="s">
        <v>814</v>
      </c>
      <c r="F102" s="126">
        <v>1.8798151001540799</v>
      </c>
      <c r="G102" s="126">
        <v>3.6884057971014399</v>
      </c>
    </row>
    <row r="103" spans="1:7">
      <c r="A103" s="19" t="s">
        <v>829</v>
      </c>
      <c r="B103" s="19" t="s">
        <v>830</v>
      </c>
      <c r="C103" s="19">
        <v>23</v>
      </c>
      <c r="D103" s="19" t="s">
        <v>812</v>
      </c>
      <c r="E103" s="19" t="s">
        <v>814</v>
      </c>
      <c r="F103" s="126">
        <v>2.86594761171032</v>
      </c>
      <c r="G103" s="126">
        <v>4.7</v>
      </c>
    </row>
    <row r="104" spans="1:7">
      <c r="A104" s="19" t="s">
        <v>829</v>
      </c>
      <c r="B104" s="19" t="s">
        <v>830</v>
      </c>
      <c r="C104" s="19">
        <v>23</v>
      </c>
      <c r="D104" s="19" t="s">
        <v>812</v>
      </c>
      <c r="E104" s="19" t="s">
        <v>814</v>
      </c>
      <c r="F104" s="126">
        <v>3.2973805855161702</v>
      </c>
      <c r="G104" s="126">
        <v>5.2050000000000001</v>
      </c>
    </row>
    <row r="105" spans="1:7">
      <c r="A105" s="19" t="s">
        <v>829</v>
      </c>
      <c r="B105" s="19" t="s">
        <v>830</v>
      </c>
      <c r="C105" s="19">
        <v>23</v>
      </c>
      <c r="D105" s="19" t="s">
        <v>812</v>
      </c>
      <c r="E105" s="19" t="s">
        <v>814</v>
      </c>
      <c r="F105" s="126">
        <v>4.77657935285053</v>
      </c>
      <c r="G105" s="126">
        <v>3.1749999999999998</v>
      </c>
    </row>
    <row r="106" spans="1:7">
      <c r="A106" s="19" t="s">
        <v>831</v>
      </c>
      <c r="B106" s="19" t="s">
        <v>832</v>
      </c>
      <c r="C106" s="19">
        <v>23</v>
      </c>
      <c r="D106" s="19" t="s">
        <v>812</v>
      </c>
      <c r="E106" s="19" t="s">
        <v>813</v>
      </c>
      <c r="F106" s="126">
        <v>23</v>
      </c>
      <c r="G106" s="126">
        <v>0.54</v>
      </c>
    </row>
    <row r="107" spans="1:7">
      <c r="A107" s="19" t="s">
        <v>831</v>
      </c>
      <c r="B107" s="19" t="s">
        <v>832</v>
      </c>
      <c r="C107" s="19">
        <v>23</v>
      </c>
      <c r="D107" s="19" t="s">
        <v>812</v>
      </c>
      <c r="E107" s="19" t="s">
        <v>813</v>
      </c>
      <c r="F107" s="126">
        <v>15.395</v>
      </c>
      <c r="G107" s="126">
        <v>1.08</v>
      </c>
    </row>
    <row r="108" spans="1:7">
      <c r="A108" s="19" t="s">
        <v>831</v>
      </c>
      <c r="B108" s="19" t="s">
        <v>832</v>
      </c>
      <c r="C108" s="19">
        <v>23</v>
      </c>
      <c r="D108" s="19" t="s">
        <v>812</v>
      </c>
      <c r="E108" s="19" t="s">
        <v>813</v>
      </c>
      <c r="F108" s="126">
        <v>5.4003139717425404</v>
      </c>
      <c r="G108" s="126">
        <v>1.61</v>
      </c>
    </row>
    <row r="109" spans="1:7">
      <c r="A109" s="19" t="s">
        <v>831</v>
      </c>
      <c r="B109" s="19" t="s">
        <v>832</v>
      </c>
      <c r="C109" s="19">
        <v>23</v>
      </c>
      <c r="D109" s="19" t="s">
        <v>812</v>
      </c>
      <c r="E109" s="19" t="s">
        <v>813</v>
      </c>
      <c r="F109" s="126">
        <v>2.9513343799057998</v>
      </c>
      <c r="G109" s="126">
        <v>2.6549999999999998</v>
      </c>
    </row>
    <row r="110" spans="1:7">
      <c r="A110" s="19" t="s">
        <v>831</v>
      </c>
      <c r="B110" s="19" t="s">
        <v>832</v>
      </c>
      <c r="C110" s="19">
        <v>23</v>
      </c>
      <c r="D110" s="19" t="s">
        <v>812</v>
      </c>
      <c r="E110" s="19" t="s">
        <v>813</v>
      </c>
      <c r="F110" s="126">
        <v>4.3328100470957596</v>
      </c>
      <c r="G110" s="126">
        <v>3.69</v>
      </c>
    </row>
    <row r="111" spans="1:7">
      <c r="A111" s="19" t="s">
        <v>831</v>
      </c>
      <c r="B111" s="19" t="s">
        <v>832</v>
      </c>
      <c r="C111" s="19">
        <v>23</v>
      </c>
      <c r="D111" s="19" t="s">
        <v>812</v>
      </c>
      <c r="E111" s="19" t="s">
        <v>813</v>
      </c>
      <c r="F111" s="126">
        <v>7.2841444270015696</v>
      </c>
      <c r="G111" s="126">
        <v>4.6950000000000003</v>
      </c>
    </row>
    <row r="112" spans="1:7">
      <c r="A112" s="19" t="s">
        <v>831</v>
      </c>
      <c r="B112" s="19" t="s">
        <v>832</v>
      </c>
      <c r="C112" s="19">
        <v>23</v>
      </c>
      <c r="D112" s="19" t="s">
        <v>812</v>
      </c>
      <c r="E112" s="19" t="s">
        <v>814</v>
      </c>
      <c r="F112" s="126">
        <v>0.97331240188382995</v>
      </c>
      <c r="G112" s="126">
        <v>4.6950321987120498</v>
      </c>
    </row>
    <row r="113" spans="1:7">
      <c r="A113" s="19" t="s">
        <v>831</v>
      </c>
      <c r="B113" s="19" t="s">
        <v>832</v>
      </c>
      <c r="C113" s="19">
        <v>23</v>
      </c>
      <c r="D113" s="19" t="s">
        <v>812</v>
      </c>
      <c r="E113" s="19" t="s">
        <v>814</v>
      </c>
      <c r="F113" s="126">
        <v>1.9780219780219701</v>
      </c>
      <c r="G113" s="126">
        <v>5.2</v>
      </c>
    </row>
    <row r="114" spans="1:7">
      <c r="A114" s="19" t="s">
        <v>831</v>
      </c>
      <c r="B114" s="19" t="s">
        <v>832</v>
      </c>
      <c r="C114" s="19">
        <v>23</v>
      </c>
      <c r="D114" s="19" t="s">
        <v>812</v>
      </c>
      <c r="E114" s="19" t="s">
        <v>814</v>
      </c>
      <c r="F114" s="126">
        <v>2.4803767660910498</v>
      </c>
      <c r="G114" s="126">
        <v>2.13</v>
      </c>
    </row>
    <row r="115" spans="1:7">
      <c r="A115" s="19" t="s">
        <v>831</v>
      </c>
      <c r="B115" s="19" t="s">
        <v>832</v>
      </c>
      <c r="C115" s="19">
        <v>23</v>
      </c>
      <c r="D115" s="19" t="s">
        <v>812</v>
      </c>
      <c r="E115" s="19" t="s">
        <v>814</v>
      </c>
      <c r="F115" s="126">
        <v>3.95604395604395</v>
      </c>
      <c r="G115" s="126">
        <v>3.1749999999999998</v>
      </c>
    </row>
    <row r="116" spans="1:7">
      <c r="A116" s="19" t="s">
        <v>831</v>
      </c>
      <c r="B116" s="19" t="s">
        <v>832</v>
      </c>
      <c r="C116" s="19">
        <v>23</v>
      </c>
      <c r="D116" s="19" t="s">
        <v>812</v>
      </c>
      <c r="E116" s="19" t="s">
        <v>814</v>
      </c>
      <c r="F116" s="126">
        <v>7.9120879120879097</v>
      </c>
      <c r="G116" s="126">
        <v>4.1982520699172001</v>
      </c>
    </row>
    <row r="117" spans="1:7">
      <c r="A117" s="19" t="s">
        <v>831</v>
      </c>
      <c r="B117" s="19" t="s">
        <v>832</v>
      </c>
      <c r="C117" s="19">
        <v>23</v>
      </c>
      <c r="D117" s="19" t="s">
        <v>812</v>
      </c>
      <c r="E117" s="19" t="s">
        <v>814</v>
      </c>
      <c r="F117" s="126">
        <v>9.6075353218210306</v>
      </c>
      <c r="G117" s="126">
        <v>5.2</v>
      </c>
    </row>
    <row r="118" spans="1:7">
      <c r="A118" s="19" t="s">
        <v>833</v>
      </c>
      <c r="B118" s="19" t="s">
        <v>816</v>
      </c>
      <c r="C118" s="19">
        <v>24</v>
      </c>
      <c r="D118" s="19" t="s">
        <v>812</v>
      </c>
      <c r="E118" s="19" t="s">
        <v>813</v>
      </c>
      <c r="F118" s="126">
        <v>24</v>
      </c>
      <c r="G118" s="126">
        <v>0.53693444136657398</v>
      </c>
    </row>
    <row r="119" spans="1:7">
      <c r="A119" s="19" t="s">
        <v>833</v>
      </c>
      <c r="B119" s="19" t="s">
        <v>816</v>
      </c>
      <c r="C119" s="19">
        <v>24</v>
      </c>
      <c r="D119" s="19" t="s">
        <v>812</v>
      </c>
      <c r="E119" s="19" t="s">
        <v>813</v>
      </c>
      <c r="F119" s="126">
        <v>12.2448979591836</v>
      </c>
      <c r="G119" s="126">
        <v>1.07710064635272</v>
      </c>
    </row>
    <row r="120" spans="1:7">
      <c r="A120" s="19" t="s">
        <v>833</v>
      </c>
      <c r="B120" s="19" t="s">
        <v>816</v>
      </c>
      <c r="C120" s="19">
        <v>24</v>
      </c>
      <c r="D120" s="19" t="s">
        <v>812</v>
      </c>
      <c r="E120" s="19" t="s">
        <v>813</v>
      </c>
      <c r="F120" s="126">
        <v>5.4317111459968599</v>
      </c>
      <c r="G120" s="126">
        <v>1.5987996306555801</v>
      </c>
    </row>
    <row r="121" spans="1:7">
      <c r="A121" s="19" t="s">
        <v>833</v>
      </c>
      <c r="B121" s="19" t="s">
        <v>816</v>
      </c>
      <c r="C121" s="19">
        <v>24</v>
      </c>
      <c r="D121" s="19" t="s">
        <v>812</v>
      </c>
      <c r="E121" s="19" t="s">
        <v>813</v>
      </c>
      <c r="F121" s="126">
        <v>2.9513343799057998</v>
      </c>
      <c r="G121" s="126">
        <v>2.1297322253000899</v>
      </c>
    </row>
    <row r="122" spans="1:7">
      <c r="A122" s="19" t="s">
        <v>833</v>
      </c>
      <c r="B122" s="19" t="s">
        <v>816</v>
      </c>
      <c r="C122" s="19">
        <v>24</v>
      </c>
      <c r="D122" s="19" t="s">
        <v>812</v>
      </c>
      <c r="E122" s="19" t="s">
        <v>813</v>
      </c>
      <c r="F122" s="126">
        <v>2.5117739403453601</v>
      </c>
      <c r="G122" s="126">
        <v>2.64681440443213</v>
      </c>
    </row>
    <row r="123" spans="1:7">
      <c r="A123" s="19" t="s">
        <v>833</v>
      </c>
      <c r="B123" s="19" t="s">
        <v>816</v>
      </c>
      <c r="C123" s="19">
        <v>24</v>
      </c>
      <c r="D123" s="19" t="s">
        <v>812</v>
      </c>
      <c r="E123" s="19" t="s">
        <v>814</v>
      </c>
      <c r="F123" s="126">
        <v>2.3861852433281001</v>
      </c>
      <c r="G123" s="126">
        <v>3.1731301939058101</v>
      </c>
    </row>
    <row r="124" spans="1:7">
      <c r="A124" s="19" t="s">
        <v>833</v>
      </c>
      <c r="B124" s="19" t="s">
        <v>816</v>
      </c>
      <c r="C124" s="19">
        <v>24</v>
      </c>
      <c r="D124" s="19" t="s">
        <v>812</v>
      </c>
      <c r="E124" s="19" t="s">
        <v>814</v>
      </c>
      <c r="F124" s="126">
        <v>2.9513343799057998</v>
      </c>
      <c r="G124" s="126">
        <v>3.69482917820867</v>
      </c>
    </row>
    <row r="125" spans="1:7">
      <c r="A125" s="19" t="s">
        <v>833</v>
      </c>
      <c r="B125" s="19" t="s">
        <v>816</v>
      </c>
      <c r="C125" s="19">
        <v>24</v>
      </c>
      <c r="D125" s="19" t="s">
        <v>812</v>
      </c>
      <c r="E125" s="19" t="s">
        <v>814</v>
      </c>
      <c r="F125" s="126">
        <v>5.2747252747252702</v>
      </c>
      <c r="G125" s="126">
        <v>4.19806094182825</v>
      </c>
    </row>
    <row r="126" spans="1:7">
      <c r="A126" s="19" t="s">
        <v>833</v>
      </c>
      <c r="B126" s="19" t="s">
        <v>816</v>
      </c>
      <c r="C126" s="19">
        <v>24</v>
      </c>
      <c r="D126" s="19" t="s">
        <v>812</v>
      </c>
      <c r="E126" s="19" t="s">
        <v>814</v>
      </c>
      <c r="F126" s="126">
        <v>7.3155416012558803</v>
      </c>
      <c r="G126" s="126">
        <v>4.6966759002770004</v>
      </c>
    </row>
    <row r="127" spans="1:7">
      <c r="A127" s="19" t="s">
        <v>833</v>
      </c>
      <c r="B127" s="19" t="s">
        <v>816</v>
      </c>
      <c r="C127" s="19">
        <v>24</v>
      </c>
      <c r="D127" s="19" t="s">
        <v>812</v>
      </c>
      <c r="E127" s="19" t="s">
        <v>814</v>
      </c>
      <c r="F127" s="126">
        <v>13.5007849293563</v>
      </c>
      <c r="G127" s="126">
        <v>5.1952908587257598</v>
      </c>
    </row>
    <row r="128" spans="1:7">
      <c r="A128" s="19" t="s">
        <v>834</v>
      </c>
      <c r="B128" s="19" t="s">
        <v>818</v>
      </c>
      <c r="C128" s="19">
        <v>24</v>
      </c>
      <c r="D128" s="19" t="s">
        <v>812</v>
      </c>
      <c r="E128" s="19" t="s">
        <v>813</v>
      </c>
      <c r="F128" s="126">
        <v>24</v>
      </c>
      <c r="G128" s="126">
        <v>0.54317789291882501</v>
      </c>
    </row>
    <row r="129" spans="1:7">
      <c r="A129" s="19" t="s">
        <v>834</v>
      </c>
      <c r="B129" s="19" t="s">
        <v>818</v>
      </c>
      <c r="C129" s="19">
        <v>24</v>
      </c>
      <c r="D129" s="19" t="s">
        <v>812</v>
      </c>
      <c r="E129" s="19" t="s">
        <v>813</v>
      </c>
      <c r="F129" s="126">
        <v>6.3235294117647003</v>
      </c>
      <c r="G129" s="126">
        <v>1.0785837651122601</v>
      </c>
    </row>
    <row r="130" spans="1:7">
      <c r="A130" s="19" t="s">
        <v>834</v>
      </c>
      <c r="B130" s="19" t="s">
        <v>818</v>
      </c>
      <c r="C130" s="19">
        <v>24</v>
      </c>
      <c r="D130" s="19" t="s">
        <v>812</v>
      </c>
      <c r="E130" s="19" t="s">
        <v>813</v>
      </c>
      <c r="F130" s="126">
        <v>3.8823529411764701</v>
      </c>
      <c r="G130" s="126">
        <v>1.6053540587219299</v>
      </c>
    </row>
    <row r="131" spans="1:7">
      <c r="A131" s="19" t="s">
        <v>834</v>
      </c>
      <c r="B131" s="19" t="s">
        <v>818</v>
      </c>
      <c r="C131" s="19">
        <v>24</v>
      </c>
      <c r="D131" s="19" t="s">
        <v>812</v>
      </c>
      <c r="E131" s="19" t="s">
        <v>813</v>
      </c>
      <c r="F131" s="126">
        <v>1.97058823529411</v>
      </c>
      <c r="G131" s="126">
        <v>2.1278065630397198</v>
      </c>
    </row>
    <row r="132" spans="1:7">
      <c r="A132" s="19" t="s">
        <v>834</v>
      </c>
      <c r="B132" s="19" t="s">
        <v>818</v>
      </c>
      <c r="C132" s="19">
        <v>24</v>
      </c>
      <c r="D132" s="19" t="s">
        <v>812</v>
      </c>
      <c r="E132" s="19" t="s">
        <v>813</v>
      </c>
      <c r="F132" s="126">
        <v>1.47058823529411</v>
      </c>
      <c r="G132" s="126">
        <v>4.6925734024179597</v>
      </c>
    </row>
    <row r="133" spans="1:7">
      <c r="A133" s="19" t="s">
        <v>834</v>
      </c>
      <c r="B133" s="19" t="s">
        <v>818</v>
      </c>
      <c r="C133" s="19">
        <v>24</v>
      </c>
      <c r="D133" s="19" t="s">
        <v>812</v>
      </c>
      <c r="E133" s="19" t="s">
        <v>814</v>
      </c>
      <c r="F133" s="126">
        <v>2.9411764705882302</v>
      </c>
      <c r="G133" s="126">
        <v>2.6502590673575099</v>
      </c>
    </row>
    <row r="134" spans="1:7">
      <c r="A134" s="19" t="s">
        <v>834</v>
      </c>
      <c r="B134" s="19" t="s">
        <v>818</v>
      </c>
      <c r="C134" s="19">
        <v>24</v>
      </c>
      <c r="D134" s="19" t="s">
        <v>812</v>
      </c>
      <c r="E134" s="19" t="s">
        <v>814</v>
      </c>
      <c r="F134" s="126">
        <v>3.8235294117646998</v>
      </c>
      <c r="G134" s="126">
        <v>3.1727115716753</v>
      </c>
    </row>
    <row r="135" spans="1:7">
      <c r="A135" s="19" t="s">
        <v>834</v>
      </c>
      <c r="B135" s="19" t="s">
        <v>818</v>
      </c>
      <c r="C135" s="19">
        <v>24</v>
      </c>
      <c r="D135" s="19" t="s">
        <v>812</v>
      </c>
      <c r="E135" s="19" t="s">
        <v>814</v>
      </c>
      <c r="F135" s="126">
        <v>5.8823529411764701</v>
      </c>
      <c r="G135" s="126">
        <v>3.6908462867012002</v>
      </c>
    </row>
    <row r="136" spans="1:7">
      <c r="A136" s="19" t="s">
        <v>834</v>
      </c>
      <c r="B136" s="19" t="s">
        <v>818</v>
      </c>
      <c r="C136" s="19">
        <v>24</v>
      </c>
      <c r="D136" s="19" t="s">
        <v>812</v>
      </c>
      <c r="E136" s="19" t="s">
        <v>814</v>
      </c>
      <c r="F136" s="126">
        <v>16.029411764705799</v>
      </c>
      <c r="G136" s="126">
        <v>4.1960276338514602</v>
      </c>
    </row>
    <row r="137" spans="1:7">
      <c r="A137" s="19" t="s">
        <v>834</v>
      </c>
      <c r="B137" s="19" t="s">
        <v>818</v>
      </c>
      <c r="C137" s="19">
        <v>24</v>
      </c>
      <c r="D137" s="19" t="s">
        <v>812</v>
      </c>
      <c r="E137" s="19" t="s">
        <v>814</v>
      </c>
      <c r="F137" s="126">
        <v>1</v>
      </c>
      <c r="G137" s="126">
        <v>5.2063903281519801</v>
      </c>
    </row>
    <row r="138" spans="1:7">
      <c r="A138" s="19" t="s">
        <v>835</v>
      </c>
      <c r="B138" s="19" t="s">
        <v>820</v>
      </c>
      <c r="C138" s="19">
        <v>25</v>
      </c>
      <c r="D138" s="19" t="s">
        <v>812</v>
      </c>
      <c r="E138" s="19" t="s">
        <v>813</v>
      </c>
      <c r="F138" s="126">
        <v>25</v>
      </c>
      <c r="G138" s="126">
        <v>29</v>
      </c>
    </row>
    <row r="139" spans="1:7">
      <c r="A139" s="19" t="s">
        <v>835</v>
      </c>
      <c r="B139" s="19" t="s">
        <v>820</v>
      </c>
      <c r="C139" s="19">
        <v>25</v>
      </c>
      <c r="D139" s="19" t="s">
        <v>812</v>
      </c>
      <c r="E139" s="19" t="s">
        <v>813</v>
      </c>
      <c r="F139" s="126">
        <v>3.6879496402877598</v>
      </c>
      <c r="G139" s="126">
        <v>11.029185867895499</v>
      </c>
    </row>
    <row r="140" spans="1:7">
      <c r="A140" s="19" t="s">
        <v>835</v>
      </c>
      <c r="B140" s="19" t="s">
        <v>820</v>
      </c>
      <c r="C140" s="19">
        <v>25</v>
      </c>
      <c r="D140" s="19" t="s">
        <v>812</v>
      </c>
      <c r="E140" s="19" t="s">
        <v>813</v>
      </c>
      <c r="F140" s="126">
        <v>4.1915467625899199</v>
      </c>
      <c r="G140" s="126">
        <v>7.3732718894009199</v>
      </c>
    </row>
    <row r="141" spans="1:7">
      <c r="A141" s="19" t="s">
        <v>835</v>
      </c>
      <c r="B141" s="19" t="s">
        <v>820</v>
      </c>
      <c r="C141" s="19">
        <v>25</v>
      </c>
      <c r="D141" s="19" t="s">
        <v>812</v>
      </c>
      <c r="E141" s="19" t="s">
        <v>813</v>
      </c>
      <c r="F141" s="126">
        <v>4.6951438848920803</v>
      </c>
      <c r="G141" s="126">
        <v>4.8540706605222699</v>
      </c>
    </row>
    <row r="142" spans="1:7">
      <c r="A142" s="19" t="s">
        <v>835</v>
      </c>
      <c r="B142" s="19" t="s">
        <v>820</v>
      </c>
      <c r="C142" s="19">
        <v>25</v>
      </c>
      <c r="D142" s="19" t="s">
        <v>812</v>
      </c>
      <c r="E142" s="19" t="s">
        <v>813</v>
      </c>
      <c r="F142" s="126">
        <v>5.1987410071942399</v>
      </c>
      <c r="G142" s="126">
        <v>2.9800307219661999</v>
      </c>
    </row>
    <row r="143" spans="1:7">
      <c r="A143" s="19" t="s">
        <v>835</v>
      </c>
      <c r="B143" s="19" t="s">
        <v>820</v>
      </c>
      <c r="C143" s="19">
        <v>25</v>
      </c>
      <c r="D143" s="19" t="s">
        <v>812</v>
      </c>
      <c r="E143" s="19" t="s">
        <v>813</v>
      </c>
      <c r="F143" s="126">
        <v>3.1798561151079099</v>
      </c>
      <c r="G143" s="126">
        <v>8.8786482334869401</v>
      </c>
    </row>
    <row r="144" spans="1:7">
      <c r="A144" s="19" t="s">
        <v>835</v>
      </c>
      <c r="B144" s="19" t="s">
        <v>820</v>
      </c>
      <c r="C144" s="19">
        <v>25</v>
      </c>
      <c r="D144" s="19" t="s">
        <v>812</v>
      </c>
      <c r="E144" s="19" t="s">
        <v>814</v>
      </c>
      <c r="F144" s="126">
        <v>0.54946043165467595</v>
      </c>
      <c r="G144" s="126">
        <v>1.99692780337941</v>
      </c>
    </row>
    <row r="145" spans="1:7">
      <c r="A145" s="19" t="s">
        <v>835</v>
      </c>
      <c r="B145" s="19" t="s">
        <v>820</v>
      </c>
      <c r="C145" s="19">
        <v>25</v>
      </c>
      <c r="D145" s="19" t="s">
        <v>812</v>
      </c>
      <c r="E145" s="19" t="s">
        <v>814</v>
      </c>
      <c r="F145" s="126">
        <v>1.08453237410071</v>
      </c>
      <c r="G145" s="126">
        <v>3.4408602150537599</v>
      </c>
    </row>
    <row r="146" spans="1:7">
      <c r="A146" s="19" t="s">
        <v>835</v>
      </c>
      <c r="B146" s="19" t="s">
        <v>820</v>
      </c>
      <c r="C146" s="19">
        <v>25</v>
      </c>
      <c r="D146" s="19" t="s">
        <v>812</v>
      </c>
      <c r="E146" s="19" t="s">
        <v>814</v>
      </c>
      <c r="F146" s="126">
        <v>1.6106115107913599</v>
      </c>
      <c r="G146" s="126">
        <v>3.4101382488479199</v>
      </c>
    </row>
    <row r="147" spans="1:7">
      <c r="A147" s="19" t="s">
        <v>835</v>
      </c>
      <c r="B147" s="19" t="s">
        <v>820</v>
      </c>
      <c r="C147" s="19">
        <v>25</v>
      </c>
      <c r="D147" s="19" t="s">
        <v>812</v>
      </c>
      <c r="E147" s="19" t="s">
        <v>814</v>
      </c>
      <c r="F147" s="126">
        <v>2.1321942446043098</v>
      </c>
      <c r="G147" s="126">
        <v>4.8540706605222699</v>
      </c>
    </row>
    <row r="148" spans="1:7">
      <c r="A148" s="19" t="s">
        <v>835</v>
      </c>
      <c r="B148" s="19" t="s">
        <v>820</v>
      </c>
      <c r="C148" s="19">
        <v>25</v>
      </c>
      <c r="D148" s="19" t="s">
        <v>812</v>
      </c>
      <c r="E148" s="19" t="s">
        <v>814</v>
      </c>
      <c r="F148" s="126">
        <v>2.6582733812949599</v>
      </c>
      <c r="G148" s="126">
        <v>4.7926267281105899</v>
      </c>
    </row>
    <row r="149" spans="1:7">
      <c r="A149" s="19" t="s">
        <v>835</v>
      </c>
      <c r="B149" s="19" t="s">
        <v>820</v>
      </c>
      <c r="C149" s="19">
        <v>25</v>
      </c>
      <c r="D149" s="19" t="s">
        <v>812</v>
      </c>
      <c r="E149" s="19" t="s">
        <v>814</v>
      </c>
      <c r="F149" s="126">
        <v>3.6879496402877598</v>
      </c>
      <c r="G149" s="126">
        <v>14.009216589861699</v>
      </c>
    </row>
    <row r="150" spans="1:7">
      <c r="A150" s="19" t="s">
        <v>836</v>
      </c>
      <c r="B150" s="19" t="s">
        <v>822</v>
      </c>
      <c r="C150" s="19">
        <v>25</v>
      </c>
      <c r="D150" s="19" t="s">
        <v>812</v>
      </c>
      <c r="E150" s="19" t="s">
        <v>813</v>
      </c>
      <c r="F150" s="126">
        <v>25</v>
      </c>
      <c r="G150" s="126">
        <v>0.54440497335701599</v>
      </c>
    </row>
    <row r="151" spans="1:7">
      <c r="A151" s="19" t="s">
        <v>836</v>
      </c>
      <c r="B151" s="19" t="s">
        <v>822</v>
      </c>
      <c r="C151" s="19">
        <v>25</v>
      </c>
      <c r="D151" s="19" t="s">
        <v>812</v>
      </c>
      <c r="E151" s="19" t="s">
        <v>813</v>
      </c>
      <c r="F151" s="126">
        <v>13.1818181818181</v>
      </c>
      <c r="G151" s="126">
        <v>1.0817051509769</v>
      </c>
    </row>
    <row r="152" spans="1:7">
      <c r="A152" s="19" t="s">
        <v>836</v>
      </c>
      <c r="B152" s="19" t="s">
        <v>822</v>
      </c>
      <c r="C152" s="19">
        <v>25</v>
      </c>
      <c r="D152" s="19" t="s">
        <v>812</v>
      </c>
      <c r="E152" s="19" t="s">
        <v>813</v>
      </c>
      <c r="F152" s="126">
        <v>5.39393939393939</v>
      </c>
      <c r="G152" s="126">
        <v>1.6101243339253899</v>
      </c>
    </row>
    <row r="153" spans="1:7">
      <c r="A153" s="19" t="s">
        <v>836</v>
      </c>
      <c r="B153" s="19" t="s">
        <v>822</v>
      </c>
      <c r="C153" s="19">
        <v>25</v>
      </c>
      <c r="D153" s="19" t="s">
        <v>812</v>
      </c>
      <c r="E153" s="19" t="s">
        <v>813</v>
      </c>
      <c r="F153" s="126">
        <v>4.39393939393939</v>
      </c>
      <c r="G153" s="126">
        <v>2.6580817051509702</v>
      </c>
    </row>
    <row r="154" spans="1:7">
      <c r="A154" s="19" t="s">
        <v>836</v>
      </c>
      <c r="B154" s="19" t="s">
        <v>822</v>
      </c>
      <c r="C154" s="19">
        <v>25</v>
      </c>
      <c r="D154" s="19" t="s">
        <v>812</v>
      </c>
      <c r="E154" s="19" t="s">
        <v>813</v>
      </c>
      <c r="F154" s="126">
        <v>6.1818181818181799</v>
      </c>
      <c r="G154" s="126">
        <v>3.69271758436944</v>
      </c>
    </row>
    <row r="155" spans="1:7">
      <c r="A155" s="19" t="s">
        <v>836</v>
      </c>
      <c r="B155" s="19" t="s">
        <v>822</v>
      </c>
      <c r="C155" s="19">
        <v>25</v>
      </c>
      <c r="D155" s="19" t="s">
        <v>812</v>
      </c>
      <c r="E155" s="19" t="s">
        <v>814</v>
      </c>
      <c r="F155" s="126">
        <v>2.39393939393939</v>
      </c>
      <c r="G155" s="126">
        <v>4.6918294849022999</v>
      </c>
    </row>
    <row r="156" spans="1:7">
      <c r="A156" s="19" t="s">
        <v>836</v>
      </c>
      <c r="B156" s="19" t="s">
        <v>822</v>
      </c>
      <c r="C156" s="19">
        <v>25</v>
      </c>
      <c r="D156" s="19" t="s">
        <v>812</v>
      </c>
      <c r="E156" s="19" t="s">
        <v>814</v>
      </c>
      <c r="F156" s="126">
        <v>3.3636363636363602</v>
      </c>
      <c r="G156" s="126">
        <v>5.1980461811722902</v>
      </c>
    </row>
    <row r="157" spans="1:7">
      <c r="A157" s="19" t="s">
        <v>836</v>
      </c>
      <c r="B157" s="19" t="s">
        <v>822</v>
      </c>
      <c r="C157" s="19">
        <v>25</v>
      </c>
      <c r="D157" s="19" t="s">
        <v>812</v>
      </c>
      <c r="E157" s="19" t="s">
        <v>814</v>
      </c>
      <c r="F157" s="126">
        <v>2.87878787878787</v>
      </c>
      <c r="G157" s="126">
        <v>2.13854351687388</v>
      </c>
    </row>
    <row r="158" spans="1:7">
      <c r="A158" s="19" t="s">
        <v>836</v>
      </c>
      <c r="B158" s="19" t="s">
        <v>822</v>
      </c>
      <c r="C158" s="19">
        <v>25</v>
      </c>
      <c r="D158" s="19" t="s">
        <v>812</v>
      </c>
      <c r="E158" s="19" t="s">
        <v>814</v>
      </c>
      <c r="F158" s="126">
        <v>5.8484848484848397</v>
      </c>
      <c r="G158" s="126">
        <v>3.1776198934280599</v>
      </c>
    </row>
    <row r="159" spans="1:7">
      <c r="A159" s="19" t="s">
        <v>836</v>
      </c>
      <c r="B159" s="19" t="s">
        <v>822</v>
      </c>
      <c r="C159" s="19">
        <v>25</v>
      </c>
      <c r="D159" s="19" t="s">
        <v>812</v>
      </c>
      <c r="E159" s="19" t="s">
        <v>814</v>
      </c>
      <c r="F159" s="126">
        <v>9.3333333333333304</v>
      </c>
      <c r="G159" s="126">
        <v>4.1989342806394303</v>
      </c>
    </row>
    <row r="160" spans="1:7">
      <c r="A160" s="19" t="s">
        <v>837</v>
      </c>
      <c r="B160" s="19" t="s">
        <v>838</v>
      </c>
      <c r="C160" s="19">
        <v>26</v>
      </c>
      <c r="D160" s="19" t="s">
        <v>812</v>
      </c>
      <c r="E160" s="19" t="s">
        <v>813</v>
      </c>
      <c r="F160" s="126">
        <v>26</v>
      </c>
      <c r="G160" s="126">
        <v>0.54432624113475103</v>
      </c>
    </row>
    <row r="161" spans="1:7">
      <c r="A161" s="19" t="s">
        <v>837</v>
      </c>
      <c r="B161" s="19" t="s">
        <v>838</v>
      </c>
      <c r="C161" s="19">
        <v>26</v>
      </c>
      <c r="D161" s="19" t="s">
        <v>812</v>
      </c>
      <c r="E161" s="19" t="s">
        <v>813</v>
      </c>
      <c r="F161" s="126">
        <v>15.319148936170199</v>
      </c>
      <c r="G161" s="126">
        <v>1.08067375886524</v>
      </c>
    </row>
    <row r="162" spans="1:7">
      <c r="A162" s="19" t="s">
        <v>837</v>
      </c>
      <c r="B162" s="19" t="s">
        <v>838</v>
      </c>
      <c r="C162" s="19">
        <v>26</v>
      </c>
      <c r="D162" s="19" t="s">
        <v>812</v>
      </c>
      <c r="E162" s="19" t="s">
        <v>813</v>
      </c>
      <c r="F162" s="126">
        <v>6.3221884498480199</v>
      </c>
      <c r="G162" s="126">
        <v>1.6081560283687899</v>
      </c>
    </row>
    <row r="163" spans="1:7">
      <c r="A163" s="19" t="s">
        <v>837</v>
      </c>
      <c r="B163" s="19" t="s">
        <v>838</v>
      </c>
      <c r="C163" s="19">
        <v>26</v>
      </c>
      <c r="D163" s="19" t="s">
        <v>812</v>
      </c>
      <c r="E163" s="19" t="s">
        <v>813</v>
      </c>
      <c r="F163" s="126">
        <v>4.8024316109422402</v>
      </c>
      <c r="G163" s="126">
        <v>2.1356382978723398</v>
      </c>
    </row>
    <row r="164" spans="1:7">
      <c r="A164" s="19" t="s">
        <v>837</v>
      </c>
      <c r="B164" s="19" t="s">
        <v>838</v>
      </c>
      <c r="C164" s="19">
        <v>26</v>
      </c>
      <c r="D164" s="19" t="s">
        <v>812</v>
      </c>
      <c r="E164" s="19" t="s">
        <v>813</v>
      </c>
      <c r="F164" s="126">
        <v>3.93</v>
      </c>
      <c r="G164" s="126">
        <v>2.65868794326241</v>
      </c>
    </row>
    <row r="165" spans="1:7">
      <c r="A165" s="19" t="s">
        <v>837</v>
      </c>
      <c r="B165" s="19" t="s">
        <v>838</v>
      </c>
      <c r="C165" s="19">
        <v>26</v>
      </c>
      <c r="D165" s="19" t="s">
        <v>812</v>
      </c>
      <c r="E165" s="19" t="s">
        <v>814</v>
      </c>
      <c r="F165" s="126">
        <v>2.43161094224924</v>
      </c>
      <c r="G165" s="126">
        <v>3.1684397163120499</v>
      </c>
    </row>
    <row r="166" spans="1:7">
      <c r="A166" s="19" t="s">
        <v>837</v>
      </c>
      <c r="B166" s="19" t="s">
        <v>838</v>
      </c>
      <c r="C166" s="19">
        <v>26</v>
      </c>
      <c r="D166" s="19" t="s">
        <v>812</v>
      </c>
      <c r="E166" s="19" t="s">
        <v>814</v>
      </c>
      <c r="F166" s="126">
        <v>3.3434650455927</v>
      </c>
      <c r="G166" s="126">
        <v>4.19237588652482</v>
      </c>
    </row>
    <row r="167" spans="1:7">
      <c r="A167" s="19" t="s">
        <v>837</v>
      </c>
      <c r="B167" s="19" t="s">
        <v>838</v>
      </c>
      <c r="C167" s="19">
        <v>26</v>
      </c>
      <c r="D167" s="19" t="s">
        <v>812</v>
      </c>
      <c r="E167" s="19" t="s">
        <v>814</v>
      </c>
      <c r="F167" s="126">
        <v>4.8936170212765902</v>
      </c>
      <c r="G167" s="126">
        <v>4.6950000000000003</v>
      </c>
    </row>
    <row r="168" spans="1:7">
      <c r="A168" s="19" t="s">
        <v>837</v>
      </c>
      <c r="B168" s="19" t="s">
        <v>838</v>
      </c>
      <c r="C168" s="19">
        <v>26</v>
      </c>
      <c r="D168" s="19" t="s">
        <v>812</v>
      </c>
      <c r="E168" s="19" t="s">
        <v>814</v>
      </c>
      <c r="F168" s="126">
        <v>5.25835866261398</v>
      </c>
      <c r="G168" s="126">
        <v>5.2</v>
      </c>
    </row>
    <row r="169" spans="1:7">
      <c r="A169" s="19" t="s">
        <v>837</v>
      </c>
      <c r="B169" s="19" t="s">
        <v>838</v>
      </c>
      <c r="C169" s="19">
        <v>26</v>
      </c>
      <c r="D169" s="19" t="s">
        <v>812</v>
      </c>
      <c r="E169" s="19" t="s">
        <v>814</v>
      </c>
      <c r="F169" s="126">
        <v>7.2948328267477196</v>
      </c>
      <c r="G169" s="126">
        <v>3.1773049645390001</v>
      </c>
    </row>
    <row r="170" spans="1:7">
      <c r="A170" s="19" t="s">
        <v>839</v>
      </c>
      <c r="B170" s="19" t="s">
        <v>840</v>
      </c>
      <c r="C170" s="19">
        <v>26</v>
      </c>
      <c r="D170" s="19" t="s">
        <v>812</v>
      </c>
      <c r="E170" s="19" t="s">
        <v>813</v>
      </c>
      <c r="F170" s="126">
        <v>26</v>
      </c>
      <c r="G170" s="126">
        <v>0.53978779840848801</v>
      </c>
    </row>
    <row r="171" spans="1:7">
      <c r="A171" s="19" t="s">
        <v>839</v>
      </c>
      <c r="B171" s="19" t="s">
        <v>840</v>
      </c>
      <c r="C171" s="19">
        <v>26</v>
      </c>
      <c r="D171" s="19" t="s">
        <v>812</v>
      </c>
      <c r="E171" s="19" t="s">
        <v>813</v>
      </c>
      <c r="F171" s="126">
        <v>11.649016639999999</v>
      </c>
      <c r="G171" s="126">
        <v>1.07471264367816</v>
      </c>
    </row>
    <row r="172" spans="1:7">
      <c r="A172" s="19" t="s">
        <v>839</v>
      </c>
      <c r="B172" s="19" t="s">
        <v>840</v>
      </c>
      <c r="C172" s="19">
        <v>26</v>
      </c>
      <c r="D172" s="19" t="s">
        <v>812</v>
      </c>
      <c r="E172" s="19" t="s">
        <v>813</v>
      </c>
      <c r="F172" s="126">
        <v>6.8381240539999997</v>
      </c>
      <c r="G172" s="126">
        <v>1.60079575596816</v>
      </c>
    </row>
    <row r="173" spans="1:7">
      <c r="A173" s="19" t="s">
        <v>839</v>
      </c>
      <c r="B173" s="19" t="s">
        <v>840</v>
      </c>
      <c r="C173" s="19">
        <v>26</v>
      </c>
      <c r="D173" s="19" t="s">
        <v>812</v>
      </c>
      <c r="E173" s="19" t="s">
        <v>813</v>
      </c>
      <c r="F173" s="126">
        <v>3.963691377</v>
      </c>
      <c r="G173" s="126">
        <v>2.1268788682581699</v>
      </c>
    </row>
    <row r="174" spans="1:7">
      <c r="A174" s="19" t="s">
        <v>839</v>
      </c>
      <c r="B174" s="19" t="s">
        <v>840</v>
      </c>
      <c r="C174" s="19">
        <v>26</v>
      </c>
      <c r="D174" s="19" t="s">
        <v>812</v>
      </c>
      <c r="E174" s="19" t="s">
        <v>813</v>
      </c>
      <c r="F174" s="126">
        <v>1.55</v>
      </c>
      <c r="G174" s="126">
        <v>2.6485411140583501</v>
      </c>
    </row>
    <row r="175" spans="1:7">
      <c r="A175" s="19" t="s">
        <v>839</v>
      </c>
      <c r="B175" s="19" t="s">
        <v>840</v>
      </c>
      <c r="C175" s="19">
        <v>26</v>
      </c>
      <c r="D175" s="19" t="s">
        <v>812</v>
      </c>
      <c r="E175" s="19" t="s">
        <v>814</v>
      </c>
      <c r="F175" s="126">
        <v>1.90620272314674</v>
      </c>
      <c r="G175" s="126">
        <v>2.65</v>
      </c>
    </row>
    <row r="176" spans="1:7">
      <c r="A176" s="19" t="s">
        <v>839</v>
      </c>
      <c r="B176" s="19" t="s">
        <v>840</v>
      </c>
      <c r="C176" s="19">
        <v>26</v>
      </c>
      <c r="D176" s="19" t="s">
        <v>812</v>
      </c>
      <c r="E176" s="19" t="s">
        <v>814</v>
      </c>
      <c r="F176" s="126">
        <v>4.3570347957639903</v>
      </c>
      <c r="G176" s="126">
        <v>3.1702033599999999</v>
      </c>
    </row>
    <row r="177" spans="1:7">
      <c r="A177" s="19" t="s">
        <v>839</v>
      </c>
      <c r="B177" s="19" t="s">
        <v>840</v>
      </c>
      <c r="C177" s="19">
        <v>26</v>
      </c>
      <c r="D177" s="19" t="s">
        <v>812</v>
      </c>
      <c r="E177" s="19" t="s">
        <v>814</v>
      </c>
      <c r="F177" s="126">
        <v>6.4145234493192103</v>
      </c>
      <c r="G177" s="126">
        <v>3.69</v>
      </c>
    </row>
    <row r="178" spans="1:7">
      <c r="A178" s="19" t="s">
        <v>839</v>
      </c>
      <c r="B178" s="19" t="s">
        <v>840</v>
      </c>
      <c r="C178" s="19">
        <v>26</v>
      </c>
      <c r="D178" s="19" t="s">
        <v>812</v>
      </c>
      <c r="E178" s="19" t="s">
        <v>814</v>
      </c>
      <c r="F178" s="126">
        <v>9.7730711043872898</v>
      </c>
      <c r="G178" s="126">
        <v>4.2</v>
      </c>
    </row>
    <row r="179" spans="1:7">
      <c r="A179" s="19" t="s">
        <v>839</v>
      </c>
      <c r="B179" s="19" t="s">
        <v>840</v>
      </c>
      <c r="C179" s="19">
        <v>26</v>
      </c>
      <c r="D179" s="19" t="s">
        <v>812</v>
      </c>
      <c r="E179" s="19" t="s">
        <v>814</v>
      </c>
      <c r="F179" s="126">
        <v>15.9757942511346</v>
      </c>
      <c r="G179" s="126">
        <v>4.7</v>
      </c>
    </row>
    <row r="180" spans="1:7">
      <c r="A180" s="19" t="s">
        <v>841</v>
      </c>
      <c r="B180" s="19" t="s">
        <v>842</v>
      </c>
      <c r="C180" s="19">
        <v>27</v>
      </c>
      <c r="D180" s="19" t="s">
        <v>812</v>
      </c>
      <c r="E180" s="19" t="s">
        <v>813</v>
      </c>
      <c r="F180" s="126">
        <v>27</v>
      </c>
      <c r="G180" s="126">
        <v>0.54113345521023704</v>
      </c>
    </row>
    <row r="181" spans="1:7">
      <c r="A181" s="19" t="s">
        <v>841</v>
      </c>
      <c r="B181" s="19" t="s">
        <v>842</v>
      </c>
      <c r="C181" s="19">
        <v>27</v>
      </c>
      <c r="D181" s="19" t="s">
        <v>812</v>
      </c>
      <c r="E181" s="19" t="s">
        <v>813</v>
      </c>
      <c r="F181" s="126">
        <v>10.031152647975</v>
      </c>
      <c r="G181" s="126">
        <v>1.0758683729433201</v>
      </c>
    </row>
    <row r="182" spans="1:7">
      <c r="A182" s="19" t="s">
        <v>841</v>
      </c>
      <c r="B182" s="19" t="s">
        <v>842</v>
      </c>
      <c r="C182" s="19">
        <v>27</v>
      </c>
      <c r="D182" s="19" t="s">
        <v>812</v>
      </c>
      <c r="E182" s="19" t="s">
        <v>813</v>
      </c>
      <c r="F182" s="126">
        <v>5.0778816199376902</v>
      </c>
      <c r="G182" s="126">
        <v>1.6014625228519099</v>
      </c>
    </row>
    <row r="183" spans="1:7">
      <c r="A183" s="19" t="s">
        <v>841</v>
      </c>
      <c r="B183" s="19" t="s">
        <v>842</v>
      </c>
      <c r="C183" s="19">
        <v>27</v>
      </c>
      <c r="D183" s="19" t="s">
        <v>812</v>
      </c>
      <c r="E183" s="19" t="s">
        <v>813</v>
      </c>
      <c r="F183" s="126">
        <v>2.5545171339563799</v>
      </c>
      <c r="G183" s="126">
        <v>2.1316270566727602</v>
      </c>
    </row>
    <row r="184" spans="1:7">
      <c r="A184" s="19" t="s">
        <v>841</v>
      </c>
      <c r="B184" s="19" t="s">
        <v>842</v>
      </c>
      <c r="C184" s="19">
        <v>27</v>
      </c>
      <c r="D184" s="19" t="s">
        <v>812</v>
      </c>
      <c r="E184" s="19" t="s">
        <v>814</v>
      </c>
      <c r="F184" s="126">
        <v>3.8940809968847301</v>
      </c>
      <c r="G184" s="126">
        <v>2.65</v>
      </c>
    </row>
    <row r="185" spans="1:7">
      <c r="A185" s="19" t="s">
        <v>841</v>
      </c>
      <c r="B185" s="19" t="s">
        <v>842</v>
      </c>
      <c r="C185" s="19">
        <v>27</v>
      </c>
      <c r="D185" s="19" t="s">
        <v>812</v>
      </c>
      <c r="E185" s="19" t="s">
        <v>814</v>
      </c>
      <c r="F185" s="126">
        <v>4.4859813084112101</v>
      </c>
      <c r="G185" s="126">
        <v>3.1736745886654401</v>
      </c>
    </row>
    <row r="186" spans="1:7">
      <c r="A186" s="19" t="s">
        <v>841</v>
      </c>
      <c r="B186" s="19" t="s">
        <v>842</v>
      </c>
      <c r="C186" s="19">
        <v>27</v>
      </c>
      <c r="D186" s="19" t="s">
        <v>812</v>
      </c>
      <c r="E186" s="19" t="s">
        <v>814</v>
      </c>
      <c r="F186" s="126">
        <v>6.5109034267912698</v>
      </c>
      <c r="G186" s="126">
        <v>4.1900000000000004</v>
      </c>
    </row>
    <row r="187" spans="1:7">
      <c r="A187" s="19" t="s">
        <v>841</v>
      </c>
      <c r="B187" s="19" t="s">
        <v>842</v>
      </c>
      <c r="C187" s="19">
        <v>27</v>
      </c>
      <c r="D187" s="19" t="s">
        <v>812</v>
      </c>
      <c r="E187" s="19" t="s">
        <v>814</v>
      </c>
      <c r="F187" s="126">
        <v>12.056074766355099</v>
      </c>
      <c r="G187" s="126">
        <v>4.6900000000000004</v>
      </c>
    </row>
    <row r="188" spans="1:7">
      <c r="A188" s="19" t="s">
        <v>843</v>
      </c>
      <c r="B188" s="19" t="s">
        <v>824</v>
      </c>
      <c r="C188" s="19">
        <v>27</v>
      </c>
      <c r="D188" s="19" t="s">
        <v>812</v>
      </c>
      <c r="E188" s="19" t="s">
        <v>813</v>
      </c>
      <c r="F188" s="126">
        <v>27</v>
      </c>
      <c r="G188" s="126">
        <v>0.53</v>
      </c>
    </row>
    <row r="189" spans="1:7">
      <c r="A189" s="19" t="s">
        <v>843</v>
      </c>
      <c r="B189" s="19" t="s">
        <v>824</v>
      </c>
      <c r="C189" s="19">
        <v>27</v>
      </c>
      <c r="D189" s="19" t="s">
        <v>812</v>
      </c>
      <c r="E189" s="19" t="s">
        <v>813</v>
      </c>
      <c r="F189" s="126">
        <v>18.11</v>
      </c>
      <c r="G189" s="126">
        <v>1.0649999999999999</v>
      </c>
    </row>
    <row r="190" spans="1:7">
      <c r="A190" s="19" t="s">
        <v>843</v>
      </c>
      <c r="B190" s="19" t="s">
        <v>824</v>
      </c>
      <c r="C190" s="19">
        <v>27</v>
      </c>
      <c r="D190" s="19" t="s">
        <v>812</v>
      </c>
      <c r="E190" s="19" t="s">
        <v>813</v>
      </c>
      <c r="F190" s="126">
        <v>5.89</v>
      </c>
      <c r="G190" s="126">
        <v>1.60424028268551</v>
      </c>
    </row>
    <row r="191" spans="1:7">
      <c r="A191" s="19" t="s">
        <v>843</v>
      </c>
      <c r="B191" s="19" t="s">
        <v>824</v>
      </c>
      <c r="C191" s="19">
        <v>27</v>
      </c>
      <c r="D191" s="19" t="s">
        <v>812</v>
      </c>
      <c r="E191" s="19" t="s">
        <v>813</v>
      </c>
      <c r="F191" s="126">
        <v>3.3</v>
      </c>
      <c r="G191" s="126">
        <v>2.12</v>
      </c>
    </row>
    <row r="192" spans="1:7">
      <c r="A192" s="19" t="s">
        <v>843</v>
      </c>
      <c r="B192" s="19" t="s">
        <v>824</v>
      </c>
      <c r="C192" s="19">
        <v>27</v>
      </c>
      <c r="D192" s="19" t="s">
        <v>812</v>
      </c>
      <c r="E192" s="19" t="s">
        <v>813</v>
      </c>
      <c r="F192" s="126">
        <v>1.2951807228915599</v>
      </c>
      <c r="G192" s="126">
        <v>4.20141342756183</v>
      </c>
    </row>
    <row r="193" spans="1:7">
      <c r="A193" s="19" t="s">
        <v>843</v>
      </c>
      <c r="B193" s="19" t="s">
        <v>824</v>
      </c>
      <c r="C193" s="19">
        <v>27</v>
      </c>
      <c r="D193" s="19" t="s">
        <v>812</v>
      </c>
      <c r="E193" s="19" t="s">
        <v>814</v>
      </c>
      <c r="F193" s="126">
        <v>1.28</v>
      </c>
      <c r="G193" s="126">
        <v>2.12</v>
      </c>
    </row>
    <row r="194" spans="1:7">
      <c r="A194" s="19" t="s">
        <v>843</v>
      </c>
      <c r="B194" s="19" t="s">
        <v>824</v>
      </c>
      <c r="C194" s="19">
        <v>27</v>
      </c>
      <c r="D194" s="19" t="s">
        <v>812</v>
      </c>
      <c r="E194" s="19" t="s">
        <v>814</v>
      </c>
      <c r="F194" s="126">
        <v>1.9578313253012001</v>
      </c>
      <c r="G194" s="126">
        <v>2.64</v>
      </c>
    </row>
    <row r="195" spans="1:7">
      <c r="A195" s="19" t="s">
        <v>843</v>
      </c>
      <c r="B195" s="19" t="s">
        <v>824</v>
      </c>
      <c r="C195" s="19">
        <v>27</v>
      </c>
      <c r="D195" s="19" t="s">
        <v>812</v>
      </c>
      <c r="E195" s="19" t="s">
        <v>814</v>
      </c>
      <c r="F195" s="126">
        <v>7.0783132530120403</v>
      </c>
      <c r="G195" s="126">
        <v>3.17</v>
      </c>
    </row>
    <row r="196" spans="1:7">
      <c r="A196" s="19" t="s">
        <v>843</v>
      </c>
      <c r="B196" s="19" t="s">
        <v>824</v>
      </c>
      <c r="C196" s="19">
        <v>27</v>
      </c>
      <c r="D196" s="19" t="s">
        <v>812</v>
      </c>
      <c r="E196" s="19" t="s">
        <v>814</v>
      </c>
      <c r="F196" s="126">
        <v>15.5722891566265</v>
      </c>
      <c r="G196" s="126">
        <v>3.6934628975265</v>
      </c>
    </row>
    <row r="197" spans="1:7">
      <c r="A197" s="19" t="s">
        <v>843</v>
      </c>
      <c r="B197" s="19" t="s">
        <v>824</v>
      </c>
      <c r="C197" s="19">
        <v>27</v>
      </c>
      <c r="D197" s="19" t="s">
        <v>812</v>
      </c>
      <c r="E197" s="19" t="s">
        <v>814</v>
      </c>
      <c r="F197" s="126">
        <v>0.66265060240963802</v>
      </c>
      <c r="G197" s="126">
        <v>4.7</v>
      </c>
    </row>
    <row r="198" spans="1:7">
      <c r="A198" s="19" t="s">
        <v>844</v>
      </c>
      <c r="B198" s="19" t="s">
        <v>826</v>
      </c>
      <c r="C198" s="19">
        <v>28</v>
      </c>
      <c r="D198" s="19" t="s">
        <v>812</v>
      </c>
      <c r="E198" s="19" t="s">
        <v>813</v>
      </c>
      <c r="F198" s="126">
        <v>28</v>
      </c>
      <c r="G198" s="126">
        <v>0.54587155963302703</v>
      </c>
    </row>
    <row r="199" spans="1:7">
      <c r="A199" s="19" t="s">
        <v>844</v>
      </c>
      <c r="B199" s="19" t="s">
        <v>826</v>
      </c>
      <c r="C199" s="19">
        <v>28</v>
      </c>
      <c r="D199" s="19" t="s">
        <v>812</v>
      </c>
      <c r="E199" s="19" t="s">
        <v>813</v>
      </c>
      <c r="F199" s="126">
        <v>29.719188767550701</v>
      </c>
      <c r="G199" s="126">
        <v>1.08</v>
      </c>
    </row>
    <row r="200" spans="1:7">
      <c r="A200" s="19" t="s">
        <v>844</v>
      </c>
      <c r="B200" s="19" t="s">
        <v>826</v>
      </c>
      <c r="C200" s="19">
        <v>28</v>
      </c>
      <c r="D200" s="19" t="s">
        <v>812</v>
      </c>
      <c r="E200" s="19" t="s">
        <v>813</v>
      </c>
      <c r="F200" s="126">
        <v>15.7254290171606</v>
      </c>
      <c r="G200" s="126">
        <v>1.6055045871559599</v>
      </c>
    </row>
    <row r="201" spans="1:7">
      <c r="A201" s="19" t="s">
        <v>844</v>
      </c>
      <c r="B201" s="19" t="s">
        <v>826</v>
      </c>
      <c r="C201" s="19">
        <v>28</v>
      </c>
      <c r="D201" s="19" t="s">
        <v>812</v>
      </c>
      <c r="E201" s="19" t="s">
        <v>813</v>
      </c>
      <c r="F201" s="126">
        <v>9.7815912636505402</v>
      </c>
      <c r="G201" s="126">
        <v>2.1330275229357798</v>
      </c>
    </row>
    <row r="202" spans="1:7">
      <c r="A202" s="19" t="s">
        <v>844</v>
      </c>
      <c r="B202" s="19" t="s">
        <v>826</v>
      </c>
      <c r="C202" s="19">
        <v>28</v>
      </c>
      <c r="D202" s="19" t="s">
        <v>812</v>
      </c>
      <c r="E202" s="19" t="s">
        <v>813</v>
      </c>
      <c r="F202" s="126">
        <v>6.0374414976599002</v>
      </c>
      <c r="G202" s="126">
        <v>4.1972477064220097</v>
      </c>
    </row>
    <row r="203" spans="1:7">
      <c r="A203" s="19" t="s">
        <v>844</v>
      </c>
      <c r="B203" s="19" t="s">
        <v>826</v>
      </c>
      <c r="C203" s="19">
        <v>28</v>
      </c>
      <c r="D203" s="19" t="s">
        <v>812</v>
      </c>
      <c r="E203" s="19" t="s">
        <v>814</v>
      </c>
      <c r="F203" s="126">
        <v>2.0124804992199601</v>
      </c>
      <c r="G203" s="126">
        <v>2.1284403669724701</v>
      </c>
    </row>
    <row r="204" spans="1:7">
      <c r="A204" s="19" t="s">
        <v>844</v>
      </c>
      <c r="B204" s="19" t="s">
        <v>826</v>
      </c>
      <c r="C204" s="19">
        <v>28</v>
      </c>
      <c r="D204" s="19" t="s">
        <v>812</v>
      </c>
      <c r="E204" s="19" t="s">
        <v>814</v>
      </c>
      <c r="F204" s="126">
        <v>7.95</v>
      </c>
      <c r="G204" s="126">
        <v>2.6467889908256801</v>
      </c>
    </row>
    <row r="205" spans="1:7">
      <c r="A205" s="19" t="s">
        <v>844</v>
      </c>
      <c r="B205" s="19" t="s">
        <v>826</v>
      </c>
      <c r="C205" s="19">
        <v>28</v>
      </c>
      <c r="D205" s="19" t="s">
        <v>812</v>
      </c>
      <c r="E205" s="19" t="s">
        <v>814</v>
      </c>
      <c r="F205" s="126">
        <v>13.806552262090401</v>
      </c>
      <c r="G205" s="126">
        <v>3.1697247706421998</v>
      </c>
    </row>
    <row r="206" spans="1:7">
      <c r="A206" s="19" t="s">
        <v>844</v>
      </c>
      <c r="B206" s="19" t="s">
        <v>826</v>
      </c>
      <c r="C206" s="19">
        <v>28</v>
      </c>
      <c r="D206" s="19" t="s">
        <v>812</v>
      </c>
      <c r="E206" s="19" t="s">
        <v>814</v>
      </c>
      <c r="F206" s="126">
        <v>27.659906396255799</v>
      </c>
      <c r="G206" s="126">
        <v>3.6972477064220102</v>
      </c>
    </row>
    <row r="207" spans="1:7">
      <c r="A207" s="19" t="s">
        <v>844</v>
      </c>
      <c r="B207" s="19" t="s">
        <v>826</v>
      </c>
      <c r="C207" s="19">
        <v>28</v>
      </c>
      <c r="D207" s="19" t="s">
        <v>812</v>
      </c>
      <c r="E207" s="19" t="s">
        <v>814</v>
      </c>
      <c r="F207" s="126">
        <v>5.8970358814352499</v>
      </c>
      <c r="G207" s="126">
        <v>4.7018348623853203</v>
      </c>
    </row>
    <row r="208" spans="1:7">
      <c r="A208" s="19" t="s">
        <v>845</v>
      </c>
      <c r="B208" s="19" t="s">
        <v>827</v>
      </c>
      <c r="C208" s="19">
        <v>28</v>
      </c>
      <c r="D208" s="19" t="s">
        <v>812</v>
      </c>
      <c r="E208" s="19" t="s">
        <v>813</v>
      </c>
      <c r="F208" s="126">
        <v>28</v>
      </c>
      <c r="G208" s="126">
        <v>0.53558718861209897</v>
      </c>
    </row>
    <row r="209" spans="1:7">
      <c r="A209" s="19" t="s">
        <v>845</v>
      </c>
      <c r="B209" s="19" t="s">
        <v>827</v>
      </c>
      <c r="C209" s="19">
        <v>28</v>
      </c>
      <c r="D209" s="19" t="s">
        <v>812</v>
      </c>
      <c r="E209" s="19" t="s">
        <v>813</v>
      </c>
      <c r="F209" s="126">
        <v>11.3981762917933</v>
      </c>
      <c r="G209" s="126">
        <v>1.0738434163701001</v>
      </c>
    </row>
    <row r="210" spans="1:7">
      <c r="A210" s="19" t="s">
        <v>845</v>
      </c>
      <c r="B210" s="19" t="s">
        <v>827</v>
      </c>
      <c r="C210" s="19">
        <v>28</v>
      </c>
      <c r="D210" s="19" t="s">
        <v>812</v>
      </c>
      <c r="E210" s="19" t="s">
        <v>813</v>
      </c>
      <c r="F210" s="126">
        <v>5.8662613981762899</v>
      </c>
      <c r="G210" s="126">
        <v>1.6032028469750801</v>
      </c>
    </row>
    <row r="211" spans="1:7">
      <c r="A211" s="19" t="s">
        <v>845</v>
      </c>
      <c r="B211" s="19" t="s">
        <v>827</v>
      </c>
      <c r="C211" s="19">
        <v>28</v>
      </c>
      <c r="D211" s="19" t="s">
        <v>812</v>
      </c>
      <c r="E211" s="19" t="s">
        <v>813</v>
      </c>
      <c r="F211" s="126">
        <v>4.3161094224924001</v>
      </c>
      <c r="G211" s="126">
        <v>2.6530249110320199</v>
      </c>
    </row>
    <row r="212" spans="1:7">
      <c r="A212" s="19" t="s">
        <v>845</v>
      </c>
      <c r="B212" s="19" t="s">
        <v>827</v>
      </c>
      <c r="C212" s="19">
        <v>28</v>
      </c>
      <c r="D212" s="19" t="s">
        <v>812</v>
      </c>
      <c r="E212" s="19" t="s">
        <v>813</v>
      </c>
      <c r="F212" s="126">
        <v>6.2917933130699</v>
      </c>
      <c r="G212" s="126">
        <v>3.6895017793594298</v>
      </c>
    </row>
    <row r="213" spans="1:7">
      <c r="A213" s="19" t="s">
        <v>845</v>
      </c>
      <c r="B213" s="19" t="s">
        <v>827</v>
      </c>
      <c r="C213" s="19">
        <v>28</v>
      </c>
      <c r="D213" s="19" t="s">
        <v>812</v>
      </c>
      <c r="E213" s="19" t="s">
        <v>814</v>
      </c>
      <c r="F213" s="126">
        <v>0.88145896656534894</v>
      </c>
      <c r="G213" s="126">
        <v>4.6814946619217004</v>
      </c>
    </row>
    <row r="214" spans="1:7">
      <c r="A214" s="19" t="s">
        <v>845</v>
      </c>
      <c r="B214" s="19" t="s">
        <v>827</v>
      </c>
      <c r="C214" s="19">
        <v>28</v>
      </c>
      <c r="D214" s="19" t="s">
        <v>812</v>
      </c>
      <c r="E214" s="19" t="s">
        <v>814</v>
      </c>
      <c r="F214" s="126">
        <v>2.4620060790273501</v>
      </c>
      <c r="G214" s="126">
        <v>5.1975088967971503</v>
      </c>
    </row>
    <row r="215" spans="1:7">
      <c r="A215" s="19" t="s">
        <v>845</v>
      </c>
      <c r="B215" s="19" t="s">
        <v>827</v>
      </c>
      <c r="C215" s="19">
        <v>28</v>
      </c>
      <c r="D215" s="19" t="s">
        <v>812</v>
      </c>
      <c r="E215" s="19" t="s">
        <v>814</v>
      </c>
      <c r="F215" s="126">
        <v>2.88753799392097</v>
      </c>
      <c r="G215" s="126">
        <v>2.1281138790035499</v>
      </c>
    </row>
    <row r="216" spans="1:7">
      <c r="A216" s="19" t="s">
        <v>845</v>
      </c>
      <c r="B216" s="19" t="s">
        <v>827</v>
      </c>
      <c r="C216" s="19">
        <v>28</v>
      </c>
      <c r="D216" s="19" t="s">
        <v>812</v>
      </c>
      <c r="E216" s="19" t="s">
        <v>814</v>
      </c>
      <c r="F216" s="126">
        <v>5.18</v>
      </c>
      <c r="G216" s="126">
        <v>3.1645907473309598</v>
      </c>
    </row>
    <row r="217" spans="1:7">
      <c r="A217" s="19" t="s">
        <v>845</v>
      </c>
      <c r="B217" s="19" t="s">
        <v>827</v>
      </c>
      <c r="C217" s="19">
        <v>28</v>
      </c>
      <c r="D217" s="19" t="s">
        <v>812</v>
      </c>
      <c r="E217" s="19" t="s">
        <v>814</v>
      </c>
      <c r="F217" s="126">
        <v>7.9939209726443696</v>
      </c>
      <c r="G217" s="126">
        <v>4.1877224199288197</v>
      </c>
    </row>
    <row r="218" spans="1:7">
      <c r="A218" s="19" t="s">
        <v>846</v>
      </c>
      <c r="B218" s="19" t="s">
        <v>829</v>
      </c>
      <c r="C218" s="19">
        <v>29</v>
      </c>
      <c r="D218" s="19" t="s">
        <v>812</v>
      </c>
      <c r="E218" s="19" t="s">
        <v>813</v>
      </c>
      <c r="F218" s="126">
        <v>29</v>
      </c>
      <c r="G218" s="126">
        <v>0.54520795660036103</v>
      </c>
    </row>
    <row r="219" spans="1:7">
      <c r="A219" s="19" t="s">
        <v>846</v>
      </c>
      <c r="B219" s="19" t="s">
        <v>829</v>
      </c>
      <c r="C219" s="19">
        <v>29</v>
      </c>
      <c r="D219" s="19" t="s">
        <v>812</v>
      </c>
      <c r="E219" s="19" t="s">
        <v>813</v>
      </c>
      <c r="F219" s="126">
        <v>17.100000000000001</v>
      </c>
      <c r="G219" s="126">
        <v>1.08318264014466</v>
      </c>
    </row>
    <row r="220" spans="1:7">
      <c r="A220" s="19" t="s">
        <v>846</v>
      </c>
      <c r="B220" s="19" t="s">
        <v>829</v>
      </c>
      <c r="C220" s="19">
        <v>29</v>
      </c>
      <c r="D220" s="19" t="s">
        <v>812</v>
      </c>
      <c r="E220" s="19" t="s">
        <v>813</v>
      </c>
      <c r="F220" s="126">
        <v>9.6199999999999992</v>
      </c>
      <c r="G220" s="126">
        <v>1.62</v>
      </c>
    </row>
    <row r="221" spans="1:7">
      <c r="A221" s="19" t="s">
        <v>846</v>
      </c>
      <c r="B221" s="19" t="s">
        <v>829</v>
      </c>
      <c r="C221" s="19">
        <v>29</v>
      </c>
      <c r="D221" s="19" t="s">
        <v>812</v>
      </c>
      <c r="E221" s="19" t="s">
        <v>813</v>
      </c>
      <c r="F221" s="126">
        <v>4.8499999999999996</v>
      </c>
      <c r="G221" s="126">
        <v>2.14</v>
      </c>
    </row>
    <row r="222" spans="1:7">
      <c r="A222" s="19" t="s">
        <v>846</v>
      </c>
      <c r="B222" s="19" t="s">
        <v>829</v>
      </c>
      <c r="C222" s="19">
        <v>29</v>
      </c>
      <c r="D222" s="19" t="s">
        <v>812</v>
      </c>
      <c r="E222" s="19" t="s">
        <v>813</v>
      </c>
      <c r="F222" s="126">
        <v>3.9</v>
      </c>
      <c r="G222" s="126">
        <v>2.66</v>
      </c>
    </row>
    <row r="223" spans="1:7">
      <c r="A223" s="19" t="s">
        <v>846</v>
      </c>
      <c r="B223" s="19" t="s">
        <v>829</v>
      </c>
      <c r="C223" s="19">
        <v>29</v>
      </c>
      <c r="D223" s="19" t="s">
        <v>812</v>
      </c>
      <c r="E223" s="19" t="s">
        <v>813</v>
      </c>
      <c r="F223" s="126">
        <v>2.4</v>
      </c>
      <c r="G223" s="126">
        <v>3.18</v>
      </c>
    </row>
    <row r="224" spans="1:7">
      <c r="A224" s="19" t="s">
        <v>846</v>
      </c>
      <c r="B224" s="19" t="s">
        <v>829</v>
      </c>
      <c r="C224" s="19">
        <v>29</v>
      </c>
      <c r="D224" s="19" t="s">
        <v>812</v>
      </c>
      <c r="E224" s="19" t="s">
        <v>814</v>
      </c>
      <c r="F224" s="126">
        <v>2.37</v>
      </c>
      <c r="G224" s="126">
        <v>3.1749999999999998</v>
      </c>
    </row>
    <row r="225" spans="1:7">
      <c r="A225" s="19" t="s">
        <v>846</v>
      </c>
      <c r="B225" s="19" t="s">
        <v>829</v>
      </c>
      <c r="C225" s="19">
        <v>29</v>
      </c>
      <c r="D225" s="19" t="s">
        <v>812</v>
      </c>
      <c r="E225" s="19" t="s">
        <v>814</v>
      </c>
      <c r="F225" s="126">
        <v>3.9</v>
      </c>
      <c r="G225" s="126">
        <v>3.6909999999999998</v>
      </c>
    </row>
    <row r="226" spans="1:7">
      <c r="A226" s="19" t="s">
        <v>846</v>
      </c>
      <c r="B226" s="19" t="s">
        <v>829</v>
      </c>
      <c r="C226" s="19">
        <v>29</v>
      </c>
      <c r="D226" s="19" t="s">
        <v>812</v>
      </c>
      <c r="E226" s="19" t="s">
        <v>814</v>
      </c>
      <c r="F226" s="126">
        <v>5.31</v>
      </c>
      <c r="G226" s="126">
        <v>4.2</v>
      </c>
    </row>
    <row r="227" spans="1:7">
      <c r="A227" s="19" t="s">
        <v>846</v>
      </c>
      <c r="B227" s="19" t="s">
        <v>829</v>
      </c>
      <c r="C227" s="19">
        <v>29</v>
      </c>
      <c r="D227" s="19" t="s">
        <v>812</v>
      </c>
      <c r="E227" s="19" t="s">
        <v>814</v>
      </c>
      <c r="F227" s="126">
        <v>7.15</v>
      </c>
      <c r="G227" s="126">
        <v>4.7</v>
      </c>
    </row>
    <row r="228" spans="1:7">
      <c r="A228" s="19" t="s">
        <v>846</v>
      </c>
      <c r="B228" s="19" t="s">
        <v>829</v>
      </c>
      <c r="C228" s="19">
        <v>29</v>
      </c>
      <c r="D228" s="19" t="s">
        <v>812</v>
      </c>
      <c r="E228" s="19" t="s">
        <v>814</v>
      </c>
      <c r="F228" s="126">
        <v>10.4923076923076</v>
      </c>
      <c r="G228" s="126">
        <v>5.2050000000000001</v>
      </c>
    </row>
    <row r="229" spans="1:7">
      <c r="A229" s="19" t="s">
        <v>846</v>
      </c>
      <c r="B229" s="19" t="s">
        <v>829</v>
      </c>
      <c r="C229" s="19">
        <v>29</v>
      </c>
      <c r="D229" s="19" t="s">
        <v>812</v>
      </c>
      <c r="E229" s="19" t="s">
        <v>814</v>
      </c>
      <c r="F229" s="126">
        <v>13.7846153846153</v>
      </c>
      <c r="G229" s="126">
        <v>3.6949999999999998</v>
      </c>
    </row>
    <row r="230" spans="1:7">
      <c r="A230" s="19" t="s">
        <v>847</v>
      </c>
      <c r="B230" s="19" t="s">
        <v>831</v>
      </c>
      <c r="C230" s="19">
        <v>29</v>
      </c>
      <c r="D230" s="19" t="s">
        <v>812</v>
      </c>
      <c r="E230" s="19" t="s">
        <v>813</v>
      </c>
      <c r="F230" s="126">
        <v>29</v>
      </c>
      <c r="G230" s="126">
        <v>0.53533568904593598</v>
      </c>
    </row>
    <row r="231" spans="1:7">
      <c r="A231" s="19" t="s">
        <v>847</v>
      </c>
      <c r="B231" s="19" t="s">
        <v>831</v>
      </c>
      <c r="C231" s="19">
        <v>29</v>
      </c>
      <c r="D231" s="19" t="s">
        <v>812</v>
      </c>
      <c r="E231" s="19" t="s">
        <v>813</v>
      </c>
      <c r="F231" s="126">
        <v>16.936936936936899</v>
      </c>
      <c r="G231" s="126">
        <v>1.0786219081271999</v>
      </c>
    </row>
    <row r="232" spans="1:7">
      <c r="A232" s="19" t="s">
        <v>847</v>
      </c>
      <c r="B232" s="19" t="s">
        <v>831</v>
      </c>
      <c r="C232" s="19">
        <v>29</v>
      </c>
      <c r="D232" s="19" t="s">
        <v>812</v>
      </c>
      <c r="E232" s="19" t="s">
        <v>813</v>
      </c>
      <c r="F232" s="126">
        <v>8.7837837837837807</v>
      </c>
      <c r="G232" s="126">
        <v>1.5998233215547699</v>
      </c>
    </row>
    <row r="233" spans="1:7">
      <c r="A233" s="19" t="s">
        <v>847</v>
      </c>
      <c r="B233" s="19" t="s">
        <v>831</v>
      </c>
      <c r="C233" s="19">
        <v>29</v>
      </c>
      <c r="D233" s="19" t="s">
        <v>812</v>
      </c>
      <c r="E233" s="19" t="s">
        <v>813</v>
      </c>
      <c r="F233" s="126">
        <v>4.7297297297297298</v>
      </c>
      <c r="G233" s="126">
        <v>2.1342756183745499</v>
      </c>
    </row>
    <row r="234" spans="1:7">
      <c r="A234" s="19" t="s">
        <v>847</v>
      </c>
      <c r="B234" s="19" t="s">
        <v>831</v>
      </c>
      <c r="C234" s="19">
        <v>29</v>
      </c>
      <c r="D234" s="19" t="s">
        <v>812</v>
      </c>
      <c r="E234" s="19" t="s">
        <v>813</v>
      </c>
      <c r="F234" s="126">
        <v>3.91891891891891</v>
      </c>
      <c r="G234" s="126">
        <v>2.6554770318021199</v>
      </c>
    </row>
    <row r="235" spans="1:7">
      <c r="A235" s="19" t="s">
        <v>847</v>
      </c>
      <c r="B235" s="19" t="s">
        <v>831</v>
      </c>
      <c r="C235" s="19">
        <v>29</v>
      </c>
      <c r="D235" s="19" t="s">
        <v>812</v>
      </c>
      <c r="E235" s="19" t="s">
        <v>813</v>
      </c>
      <c r="F235" s="126">
        <v>1.9819819819819799</v>
      </c>
      <c r="G235" s="126">
        <v>3.1678445229681902</v>
      </c>
    </row>
    <row r="236" spans="1:7">
      <c r="A236" s="19" t="s">
        <v>847</v>
      </c>
      <c r="B236" s="19" t="s">
        <v>831</v>
      </c>
      <c r="C236" s="19">
        <v>29</v>
      </c>
      <c r="D236" s="19" t="s">
        <v>812</v>
      </c>
      <c r="E236" s="19" t="s">
        <v>814</v>
      </c>
      <c r="F236" s="126">
        <v>4.7297297297297298</v>
      </c>
      <c r="G236" s="126">
        <v>2.64664310954063</v>
      </c>
    </row>
    <row r="237" spans="1:7">
      <c r="A237" s="19" t="s">
        <v>847</v>
      </c>
      <c r="B237" s="19" t="s">
        <v>831</v>
      </c>
      <c r="C237" s="19">
        <v>29</v>
      </c>
      <c r="D237" s="19" t="s">
        <v>812</v>
      </c>
      <c r="E237" s="19" t="s">
        <v>814</v>
      </c>
      <c r="F237" s="126">
        <v>5.6306306306306304</v>
      </c>
      <c r="G237" s="126">
        <v>3.1678445229681902</v>
      </c>
    </row>
    <row r="238" spans="1:7">
      <c r="A238" s="19" t="s">
        <v>847</v>
      </c>
      <c r="B238" s="19" t="s">
        <v>831</v>
      </c>
      <c r="C238" s="19">
        <v>29</v>
      </c>
      <c r="D238" s="19" t="s">
        <v>812</v>
      </c>
      <c r="E238" s="19" t="s">
        <v>814</v>
      </c>
      <c r="F238" s="126">
        <v>9.6846846846846795</v>
      </c>
      <c r="G238" s="126">
        <v>3.6846289752650101</v>
      </c>
    </row>
    <row r="239" spans="1:7">
      <c r="A239" s="19" t="s">
        <v>847</v>
      </c>
      <c r="B239" s="19" t="s">
        <v>831</v>
      </c>
      <c r="C239" s="19">
        <v>29</v>
      </c>
      <c r="D239" s="19" t="s">
        <v>812</v>
      </c>
      <c r="E239" s="19" t="s">
        <v>814</v>
      </c>
      <c r="F239" s="126">
        <v>10.495495495495399</v>
      </c>
      <c r="G239" s="126">
        <v>4.1925795053003503</v>
      </c>
    </row>
    <row r="240" spans="1:7">
      <c r="A240" s="19" t="s">
        <v>847</v>
      </c>
      <c r="B240" s="19" t="s">
        <v>831</v>
      </c>
      <c r="C240" s="19">
        <v>29</v>
      </c>
      <c r="D240" s="19" t="s">
        <v>812</v>
      </c>
      <c r="E240" s="19" t="s">
        <v>814</v>
      </c>
      <c r="F240" s="126">
        <v>15</v>
      </c>
      <c r="G240" s="126">
        <v>4.6916961130742001</v>
      </c>
    </row>
    <row r="241" spans="1:7">
      <c r="A241" s="19" t="s">
        <v>847</v>
      </c>
      <c r="B241" s="19" t="s">
        <v>831</v>
      </c>
      <c r="C241" s="19">
        <v>29</v>
      </c>
      <c r="D241" s="19" t="s">
        <v>812</v>
      </c>
      <c r="E241" s="19" t="s">
        <v>814</v>
      </c>
      <c r="F241" s="126">
        <v>25.270270270270199</v>
      </c>
      <c r="G241" s="126">
        <v>5.1952296819787902</v>
      </c>
    </row>
    <row r="242" spans="1:7">
      <c r="A242" s="19" t="s">
        <v>848</v>
      </c>
      <c r="B242" s="19" t="s">
        <v>833</v>
      </c>
      <c r="C242" s="19">
        <v>30</v>
      </c>
      <c r="D242" s="19" t="s">
        <v>812</v>
      </c>
      <c r="E242" s="19" t="s">
        <v>813</v>
      </c>
      <c r="F242" s="126">
        <v>30</v>
      </c>
      <c r="G242" s="126">
        <v>0.531222123104371</v>
      </c>
    </row>
    <row r="243" spans="1:7">
      <c r="A243" s="19" t="s">
        <v>848</v>
      </c>
      <c r="B243" s="19" t="s">
        <v>833</v>
      </c>
      <c r="C243" s="19">
        <v>30</v>
      </c>
      <c r="D243" s="19" t="s">
        <v>812</v>
      </c>
      <c r="E243" s="19" t="s">
        <v>813</v>
      </c>
      <c r="F243" s="126">
        <v>17.350000000000001</v>
      </c>
      <c r="G243" s="126">
        <v>1.07091882247992</v>
      </c>
    </row>
    <row r="244" spans="1:7">
      <c r="A244" s="19" t="s">
        <v>848</v>
      </c>
      <c r="B244" s="19" t="s">
        <v>833</v>
      </c>
      <c r="C244" s="19">
        <v>30</v>
      </c>
      <c r="D244" s="19" t="s">
        <v>812</v>
      </c>
      <c r="E244" s="19" t="s">
        <v>813</v>
      </c>
      <c r="F244" s="126">
        <v>11.5</v>
      </c>
      <c r="G244" s="126">
        <v>1.59277430865298</v>
      </c>
    </row>
    <row r="245" spans="1:7">
      <c r="A245" s="19" t="s">
        <v>848</v>
      </c>
      <c r="B245" s="19" t="s">
        <v>833</v>
      </c>
      <c r="C245" s="19">
        <v>30</v>
      </c>
      <c r="D245" s="19" t="s">
        <v>812</v>
      </c>
      <c r="E245" s="19" t="s">
        <v>813</v>
      </c>
      <c r="F245" s="126">
        <v>7.6255707762557003</v>
      </c>
      <c r="G245" s="126">
        <v>2.1235504014272899</v>
      </c>
    </row>
    <row r="246" spans="1:7">
      <c r="A246" s="19" t="s">
        <v>848</v>
      </c>
      <c r="B246" s="19" t="s">
        <v>833</v>
      </c>
      <c r="C246" s="19">
        <v>30</v>
      </c>
      <c r="D246" s="19" t="s">
        <v>812</v>
      </c>
      <c r="E246" s="19" t="s">
        <v>813</v>
      </c>
      <c r="F246" s="126">
        <v>5.93607305936073</v>
      </c>
      <c r="G246" s="126">
        <v>4.6882247992863499</v>
      </c>
    </row>
    <row r="247" spans="1:7">
      <c r="A247" s="19" t="s">
        <v>848</v>
      </c>
      <c r="B247" s="19" t="s">
        <v>833</v>
      </c>
      <c r="C247" s="19">
        <v>30</v>
      </c>
      <c r="D247" s="19" t="s">
        <v>812</v>
      </c>
      <c r="E247" s="19" t="s">
        <v>814</v>
      </c>
      <c r="F247" s="126">
        <v>9.6347031963470293</v>
      </c>
      <c r="G247" s="126">
        <v>2.65</v>
      </c>
    </row>
    <row r="248" spans="1:7">
      <c r="A248" s="19" t="s">
        <v>848</v>
      </c>
      <c r="B248" s="19" t="s">
        <v>833</v>
      </c>
      <c r="C248" s="19">
        <v>30</v>
      </c>
      <c r="D248" s="19" t="s">
        <v>812</v>
      </c>
      <c r="E248" s="19" t="s">
        <v>814</v>
      </c>
      <c r="F248" s="126">
        <v>11.324200913242001</v>
      </c>
      <c r="G248" s="126">
        <v>3.1749999999999998</v>
      </c>
    </row>
    <row r="249" spans="1:7">
      <c r="A249" s="19" t="s">
        <v>848</v>
      </c>
      <c r="B249" s="19" t="s">
        <v>833</v>
      </c>
      <c r="C249" s="19">
        <v>30</v>
      </c>
      <c r="D249" s="19" t="s">
        <v>812</v>
      </c>
      <c r="E249" s="19" t="s">
        <v>814</v>
      </c>
      <c r="F249" s="126">
        <v>15.570776255707701</v>
      </c>
      <c r="G249" s="126">
        <v>3.6891168599464699</v>
      </c>
    </row>
    <row r="250" spans="1:7">
      <c r="A250" s="19" t="s">
        <v>848</v>
      </c>
      <c r="B250" s="19" t="s">
        <v>833</v>
      </c>
      <c r="C250" s="19">
        <v>30</v>
      </c>
      <c r="D250" s="19" t="s">
        <v>812</v>
      </c>
      <c r="E250" s="19" t="s">
        <v>814</v>
      </c>
      <c r="F250" s="126">
        <v>19.1324200913242</v>
      </c>
      <c r="G250" s="126">
        <v>4.1931311329170304</v>
      </c>
    </row>
    <row r="251" spans="1:7">
      <c r="A251" s="19" t="s">
        <v>848</v>
      </c>
      <c r="B251" s="19" t="s">
        <v>833</v>
      </c>
      <c r="C251" s="19">
        <v>30</v>
      </c>
      <c r="D251" s="19" t="s">
        <v>812</v>
      </c>
      <c r="E251" s="19" t="s">
        <v>814</v>
      </c>
      <c r="F251" s="126">
        <v>4.0639269406392602</v>
      </c>
      <c r="G251" s="126">
        <v>5.2011596788581604</v>
      </c>
    </row>
    <row r="252" spans="1:7">
      <c r="A252" s="19" t="s">
        <v>849</v>
      </c>
      <c r="B252" s="19" t="s">
        <v>834</v>
      </c>
      <c r="C252" s="19">
        <v>30</v>
      </c>
      <c r="D252" s="19" t="s">
        <v>812</v>
      </c>
      <c r="E252" s="19" t="s">
        <v>813</v>
      </c>
      <c r="F252" s="126">
        <v>30</v>
      </c>
      <c r="G252" s="126">
        <v>0.53913043478260803</v>
      </c>
    </row>
    <row r="253" spans="1:7">
      <c r="A253" s="19" t="s">
        <v>849</v>
      </c>
      <c r="B253" s="19" t="s">
        <v>834</v>
      </c>
      <c r="C253" s="19">
        <v>30</v>
      </c>
      <c r="D253" s="19" t="s">
        <v>812</v>
      </c>
      <c r="E253" s="19" t="s">
        <v>813</v>
      </c>
      <c r="F253" s="126">
        <v>8.1008902077151301</v>
      </c>
      <c r="G253" s="126">
        <v>1.0782608695652101</v>
      </c>
    </row>
    <row r="254" spans="1:7">
      <c r="A254" s="19" t="s">
        <v>849</v>
      </c>
      <c r="B254" s="19" t="s">
        <v>834</v>
      </c>
      <c r="C254" s="19">
        <v>30</v>
      </c>
      <c r="D254" s="19" t="s">
        <v>812</v>
      </c>
      <c r="E254" s="19" t="s">
        <v>813</v>
      </c>
      <c r="F254" s="126">
        <v>5.8160237388724001</v>
      </c>
      <c r="G254" s="126">
        <v>1.6</v>
      </c>
    </row>
    <row r="255" spans="1:7">
      <c r="A255" s="19" t="s">
        <v>849</v>
      </c>
      <c r="B255" s="19" t="s">
        <v>834</v>
      </c>
      <c r="C255" s="19">
        <v>30</v>
      </c>
      <c r="D255" s="19" t="s">
        <v>812</v>
      </c>
      <c r="E255" s="19" t="s">
        <v>813</v>
      </c>
      <c r="F255" s="126">
        <v>3.7388724035608298</v>
      </c>
      <c r="G255" s="126">
        <v>2.64782608695652</v>
      </c>
    </row>
    <row r="256" spans="1:7">
      <c r="A256" s="19" t="s">
        <v>849</v>
      </c>
      <c r="B256" s="19" t="s">
        <v>834</v>
      </c>
      <c r="C256" s="19">
        <v>30</v>
      </c>
      <c r="D256" s="19" t="s">
        <v>812</v>
      </c>
      <c r="E256" s="19" t="s">
        <v>813</v>
      </c>
      <c r="F256" s="126">
        <v>1.5133531157269999</v>
      </c>
      <c r="G256" s="126">
        <v>3.6956521739130399</v>
      </c>
    </row>
    <row r="257" spans="1:10">
      <c r="A257" s="19" t="s">
        <v>849</v>
      </c>
      <c r="B257" s="19" t="s">
        <v>834</v>
      </c>
      <c r="C257" s="19">
        <v>30</v>
      </c>
      <c r="D257" s="19" t="s">
        <v>812</v>
      </c>
      <c r="E257" s="19" t="s">
        <v>813</v>
      </c>
      <c r="F257" s="126">
        <v>0.53412462908011804</v>
      </c>
      <c r="G257" s="126">
        <v>4.6956521739130404</v>
      </c>
    </row>
    <row r="258" spans="1:10">
      <c r="A258" s="19" t="s">
        <v>849</v>
      </c>
      <c r="B258" s="19" t="s">
        <v>834</v>
      </c>
      <c r="C258" s="19">
        <v>30</v>
      </c>
      <c r="D258" s="19" t="s">
        <v>812</v>
      </c>
      <c r="E258" s="19" t="s">
        <v>814</v>
      </c>
      <c r="F258" s="126">
        <v>5.7566765578635</v>
      </c>
      <c r="G258" s="126">
        <v>1.07391304347826</v>
      </c>
    </row>
    <row r="259" spans="1:10">
      <c r="A259" s="19" t="s">
        <v>849</v>
      </c>
      <c r="B259" s="19" t="s">
        <v>834</v>
      </c>
      <c r="C259" s="19">
        <v>30</v>
      </c>
      <c r="D259" s="19" t="s">
        <v>812</v>
      </c>
      <c r="E259" s="19" t="s">
        <v>814</v>
      </c>
      <c r="F259" s="126">
        <v>7.1513353115726996</v>
      </c>
      <c r="G259" s="126">
        <v>1.6</v>
      </c>
    </row>
    <row r="260" spans="1:10">
      <c r="A260" s="19" t="s">
        <v>849</v>
      </c>
      <c r="B260" s="19" t="s">
        <v>834</v>
      </c>
      <c r="C260" s="19">
        <v>30</v>
      </c>
      <c r="D260" s="19" t="s">
        <v>812</v>
      </c>
      <c r="E260" s="19" t="s">
        <v>814</v>
      </c>
      <c r="F260" s="126">
        <v>11.1275964391691</v>
      </c>
      <c r="G260" s="126">
        <v>2.1217391304347801</v>
      </c>
    </row>
    <row r="261" spans="1:10">
      <c r="A261" s="19" t="s">
        <v>849</v>
      </c>
      <c r="B261" s="19" t="s">
        <v>834</v>
      </c>
      <c r="C261" s="19">
        <v>30</v>
      </c>
      <c r="D261" s="19" t="s">
        <v>812</v>
      </c>
      <c r="E261" s="19" t="s">
        <v>814</v>
      </c>
      <c r="F261" s="126">
        <v>3.79821958456973</v>
      </c>
      <c r="G261" s="126">
        <v>3.1739130434782599</v>
      </c>
    </row>
    <row r="262" spans="1:10">
      <c r="A262" s="19" t="s">
        <v>849</v>
      </c>
      <c r="B262" s="19" t="s">
        <v>834</v>
      </c>
      <c r="C262" s="19">
        <v>30</v>
      </c>
      <c r="D262" s="19" t="s">
        <v>812</v>
      </c>
      <c r="E262" s="19" t="s">
        <v>814</v>
      </c>
      <c r="F262" s="126">
        <v>0.53412462908011804</v>
      </c>
      <c r="G262" s="126">
        <v>4.2</v>
      </c>
    </row>
    <row r="263" spans="1:10">
      <c r="A263" s="19" t="s">
        <v>849</v>
      </c>
      <c r="B263" s="19" t="s">
        <v>834</v>
      </c>
      <c r="C263" s="19">
        <v>30</v>
      </c>
      <c r="D263" s="19" t="s">
        <v>812</v>
      </c>
      <c r="E263" s="19" t="s">
        <v>814</v>
      </c>
      <c r="F263" s="126">
        <v>0.56379821958456899</v>
      </c>
      <c r="G263" s="126">
        <v>5.2043478260869502</v>
      </c>
    </row>
    <row r="264" spans="1:10">
      <c r="A264" s="19" t="s">
        <v>819</v>
      </c>
      <c r="B264" s="19" t="s">
        <v>850</v>
      </c>
      <c r="C264" s="19">
        <v>17</v>
      </c>
      <c r="E264" s="19" t="s">
        <v>813</v>
      </c>
      <c r="F264" s="126">
        <v>17</v>
      </c>
      <c r="G264" s="126">
        <v>0.5</v>
      </c>
      <c r="H264" s="19">
        <v>4.9000000000000004</v>
      </c>
      <c r="I264" s="19">
        <v>3.9</v>
      </c>
      <c r="J264" s="19">
        <v>5.5</v>
      </c>
    </row>
    <row r="265" spans="1:10">
      <c r="A265" s="19" t="s">
        <v>819</v>
      </c>
      <c r="B265" s="19" t="s">
        <v>850</v>
      </c>
      <c r="C265" s="19">
        <v>17</v>
      </c>
      <c r="E265" s="19" t="s">
        <v>813</v>
      </c>
      <c r="F265" s="126">
        <v>8.1999999999999993</v>
      </c>
      <c r="G265" s="126">
        <v>1.1000000000000001</v>
      </c>
      <c r="H265" s="19">
        <v>4.9000000000000004</v>
      </c>
      <c r="I265" s="19">
        <v>3.9</v>
      </c>
      <c r="J265" s="19">
        <v>5.5</v>
      </c>
    </row>
    <row r="266" spans="1:10">
      <c r="A266" s="19" t="s">
        <v>819</v>
      </c>
      <c r="B266" s="19" t="s">
        <v>850</v>
      </c>
      <c r="C266" s="19">
        <v>17</v>
      </c>
      <c r="E266" s="19" t="s">
        <v>813</v>
      </c>
      <c r="F266" s="126">
        <v>19</v>
      </c>
      <c r="G266" s="126">
        <v>1.6</v>
      </c>
      <c r="H266" s="19">
        <v>4.9000000000000004</v>
      </c>
      <c r="I266" s="19">
        <v>3.9</v>
      </c>
      <c r="J266" s="19">
        <v>5.5</v>
      </c>
    </row>
    <row r="267" spans="1:10">
      <c r="A267" s="19" t="s">
        <v>819</v>
      </c>
      <c r="B267" s="19" t="s">
        <v>850</v>
      </c>
      <c r="C267" s="19">
        <v>17</v>
      </c>
      <c r="E267" s="19" t="s">
        <v>813</v>
      </c>
      <c r="F267" s="126">
        <v>6</v>
      </c>
      <c r="G267" s="126">
        <v>2.1</v>
      </c>
      <c r="H267" s="19">
        <v>4.9000000000000004</v>
      </c>
      <c r="I267" s="19">
        <v>3.9</v>
      </c>
      <c r="J267" s="19">
        <v>5.5</v>
      </c>
    </row>
    <row r="268" spans="1:10">
      <c r="A268" s="19" t="s">
        <v>819</v>
      </c>
      <c r="B268" s="19" t="s">
        <v>850</v>
      </c>
      <c r="C268" s="19">
        <v>17</v>
      </c>
      <c r="E268" s="19" t="s">
        <v>813</v>
      </c>
      <c r="F268" s="126">
        <v>2.5</v>
      </c>
      <c r="G268" s="126">
        <v>3.2</v>
      </c>
      <c r="H268" s="19">
        <v>4.9000000000000004</v>
      </c>
      <c r="I268" s="19">
        <v>3.9</v>
      </c>
      <c r="J268" s="19">
        <v>5.5</v>
      </c>
    </row>
    <row r="269" spans="1:10">
      <c r="A269" s="19" t="s">
        <v>819</v>
      </c>
      <c r="B269" s="19" t="s">
        <v>850</v>
      </c>
      <c r="C269" s="19">
        <v>17</v>
      </c>
      <c r="E269" s="19" t="s">
        <v>813</v>
      </c>
      <c r="F269" s="126">
        <v>3.9</v>
      </c>
      <c r="G269" s="126">
        <v>4.2</v>
      </c>
      <c r="H269" s="19">
        <v>4.9000000000000004</v>
      </c>
      <c r="I269" s="19">
        <v>3.9</v>
      </c>
      <c r="J269" s="19">
        <v>5.5</v>
      </c>
    </row>
    <row r="270" spans="1:10">
      <c r="A270" s="19" t="s">
        <v>819</v>
      </c>
      <c r="B270" s="19" t="s">
        <v>850</v>
      </c>
      <c r="C270" s="19">
        <v>17</v>
      </c>
      <c r="E270" s="19" t="s">
        <v>813</v>
      </c>
      <c r="F270" s="126">
        <v>9.5</v>
      </c>
      <c r="G270" s="126">
        <v>5.2</v>
      </c>
      <c r="H270" s="19">
        <v>4.9000000000000004</v>
      </c>
      <c r="I270" s="19">
        <v>3.9</v>
      </c>
      <c r="J270" s="19">
        <v>5.5</v>
      </c>
    </row>
    <row r="271" spans="1:10">
      <c r="A271" s="19" t="s">
        <v>819</v>
      </c>
      <c r="B271" s="19" t="s">
        <v>850</v>
      </c>
      <c r="C271" s="19">
        <v>17</v>
      </c>
      <c r="E271" s="19" t="s">
        <v>813</v>
      </c>
      <c r="F271" s="126">
        <v>13</v>
      </c>
      <c r="G271" s="126">
        <v>0</v>
      </c>
      <c r="H271" s="19">
        <v>4.9000000000000004</v>
      </c>
      <c r="I271" s="19">
        <v>3.9</v>
      </c>
      <c r="J271" s="19">
        <v>5.5</v>
      </c>
    </row>
    <row r="272" spans="1:10">
      <c r="A272" s="19" t="s">
        <v>819</v>
      </c>
      <c r="B272" s="19" t="s">
        <v>850</v>
      </c>
      <c r="C272" s="19">
        <v>17</v>
      </c>
      <c r="E272" s="19" t="s">
        <v>814</v>
      </c>
      <c r="F272" s="126">
        <v>0.1</v>
      </c>
      <c r="G272" s="126">
        <v>5.2</v>
      </c>
      <c r="H272" s="19">
        <v>4.9000000000000004</v>
      </c>
      <c r="I272" s="19">
        <v>3.9</v>
      </c>
      <c r="J272" s="19">
        <v>5.5</v>
      </c>
    </row>
    <row r="273" spans="1:10">
      <c r="A273" s="19" t="s">
        <v>819</v>
      </c>
      <c r="B273" s="19" t="s">
        <v>850</v>
      </c>
      <c r="C273" s="19">
        <v>17</v>
      </c>
      <c r="E273" s="19" t="s">
        <v>814</v>
      </c>
      <c r="F273" s="126">
        <v>0.2</v>
      </c>
      <c r="G273" s="126">
        <v>4.7</v>
      </c>
      <c r="H273" s="19">
        <v>4.9000000000000004</v>
      </c>
      <c r="I273" s="19">
        <v>3.9</v>
      </c>
      <c r="J273" s="19">
        <v>5.5</v>
      </c>
    </row>
    <row r="274" spans="1:10">
      <c r="A274" s="19" t="s">
        <v>819</v>
      </c>
      <c r="B274" s="19" t="s">
        <v>850</v>
      </c>
      <c r="C274" s="19">
        <v>17</v>
      </c>
      <c r="E274" s="19" t="s">
        <v>814</v>
      </c>
      <c r="F274" s="126">
        <v>1</v>
      </c>
      <c r="G274" s="126">
        <v>5.5</v>
      </c>
      <c r="H274" s="19">
        <v>4.9000000000000004</v>
      </c>
      <c r="I274" s="19">
        <v>3.9</v>
      </c>
      <c r="J274" s="19">
        <v>5.5</v>
      </c>
    </row>
    <row r="275" spans="1:10">
      <c r="A275" s="19" t="s">
        <v>819</v>
      </c>
      <c r="B275" s="19" t="s">
        <v>850</v>
      </c>
      <c r="C275" s="19">
        <v>17</v>
      </c>
      <c r="E275" s="19" t="s">
        <v>814</v>
      </c>
      <c r="F275" s="126">
        <v>1.8</v>
      </c>
      <c r="G275" s="126">
        <v>2.7</v>
      </c>
      <c r="H275" s="19">
        <v>4.9000000000000004</v>
      </c>
      <c r="I275" s="19">
        <v>3.9</v>
      </c>
      <c r="J275" s="19">
        <v>5.5</v>
      </c>
    </row>
    <row r="276" spans="1:10">
      <c r="A276" s="19" t="s">
        <v>819</v>
      </c>
      <c r="B276" s="19" t="s">
        <v>850</v>
      </c>
      <c r="C276" s="19">
        <v>17</v>
      </c>
      <c r="E276" s="19" t="s">
        <v>814</v>
      </c>
      <c r="F276" s="126">
        <v>2.6</v>
      </c>
      <c r="G276" s="126">
        <v>3.7</v>
      </c>
      <c r="H276" s="19">
        <v>4.9000000000000004</v>
      </c>
      <c r="I276" s="19">
        <v>3.9</v>
      </c>
      <c r="J276" s="19">
        <v>5.5</v>
      </c>
    </row>
    <row r="277" spans="1:10">
      <c r="A277" s="19" t="s">
        <v>819</v>
      </c>
      <c r="B277" s="19" t="s">
        <v>850</v>
      </c>
      <c r="C277" s="19">
        <v>17</v>
      </c>
      <c r="E277" s="19" t="s">
        <v>814</v>
      </c>
      <c r="F277" s="126">
        <v>5.8</v>
      </c>
      <c r="G277" s="126">
        <v>4.7</v>
      </c>
      <c r="H277" s="19">
        <v>4.9000000000000004</v>
      </c>
      <c r="I277" s="19">
        <v>3.9</v>
      </c>
      <c r="J277" s="19">
        <v>5.5</v>
      </c>
    </row>
    <row r="278" spans="1:10">
      <c r="A278" s="19" t="s">
        <v>819</v>
      </c>
      <c r="B278" s="19" t="s">
        <v>850</v>
      </c>
      <c r="C278" s="19">
        <v>17</v>
      </c>
      <c r="E278" s="19" t="s">
        <v>814</v>
      </c>
      <c r="F278" s="126">
        <v>13.9</v>
      </c>
      <c r="G278" s="126">
        <v>0</v>
      </c>
      <c r="H278" s="19">
        <v>4.9000000000000004</v>
      </c>
      <c r="I278" s="19">
        <v>3.9</v>
      </c>
      <c r="J278" s="19">
        <v>5.5</v>
      </c>
    </row>
    <row r="279" spans="1:10">
      <c r="A279" s="19" t="s">
        <v>819</v>
      </c>
      <c r="B279" s="19" t="s">
        <v>850</v>
      </c>
      <c r="C279" s="19">
        <v>17</v>
      </c>
      <c r="E279" s="19" t="s">
        <v>814</v>
      </c>
      <c r="F279" s="126">
        <v>20</v>
      </c>
      <c r="G279" s="126">
        <v>0</v>
      </c>
      <c r="H279" s="19">
        <v>4.9000000000000004</v>
      </c>
      <c r="I279" s="19">
        <v>3.9</v>
      </c>
      <c r="J279" s="19">
        <v>5.5</v>
      </c>
    </row>
    <row r="280" spans="1:10">
      <c r="A280" s="19" t="s">
        <v>823</v>
      </c>
      <c r="B280" s="19" t="s">
        <v>851</v>
      </c>
      <c r="C280" s="19">
        <v>18</v>
      </c>
      <c r="E280" s="19" t="s">
        <v>813</v>
      </c>
      <c r="F280" s="126">
        <v>18</v>
      </c>
      <c r="G280" s="126">
        <v>0.5</v>
      </c>
    </row>
    <row r="281" spans="1:10">
      <c r="A281" s="19" t="s">
        <v>823</v>
      </c>
      <c r="B281" s="19" t="s">
        <v>851</v>
      </c>
      <c r="C281" s="19">
        <v>18</v>
      </c>
      <c r="E281" s="19" t="s">
        <v>813</v>
      </c>
      <c r="F281" s="126">
        <v>11</v>
      </c>
      <c r="G281" s="126">
        <v>1.1000000000000001</v>
      </c>
    </row>
    <row r="282" spans="1:10">
      <c r="A282" s="19" t="s">
        <v>823</v>
      </c>
      <c r="B282" s="19" t="s">
        <v>851</v>
      </c>
      <c r="C282" s="19">
        <v>18</v>
      </c>
      <c r="E282" s="19" t="s">
        <v>813</v>
      </c>
      <c r="F282" s="126">
        <v>7</v>
      </c>
      <c r="G282" s="126">
        <v>1.6</v>
      </c>
    </row>
    <row r="283" spans="1:10">
      <c r="A283" s="19" t="s">
        <v>823</v>
      </c>
      <c r="B283" s="19" t="s">
        <v>851</v>
      </c>
      <c r="C283" s="19">
        <v>18</v>
      </c>
      <c r="E283" s="19" t="s">
        <v>813</v>
      </c>
      <c r="F283" s="126">
        <v>5</v>
      </c>
      <c r="G283" s="126">
        <v>2.1</v>
      </c>
    </row>
    <row r="284" spans="1:10">
      <c r="A284" s="19" t="s">
        <v>823</v>
      </c>
      <c r="B284" s="19" t="s">
        <v>851</v>
      </c>
      <c r="C284" s="19">
        <v>18</v>
      </c>
      <c r="E284" s="19" t="s">
        <v>813</v>
      </c>
      <c r="F284" s="126">
        <v>2.5</v>
      </c>
      <c r="G284" s="126">
        <v>2.7</v>
      </c>
    </row>
    <row r="285" spans="1:10">
      <c r="A285" s="19" t="s">
        <v>823</v>
      </c>
      <c r="B285" s="19" t="s">
        <v>851</v>
      </c>
      <c r="C285" s="19">
        <v>18</v>
      </c>
      <c r="E285" s="19" t="s">
        <v>813</v>
      </c>
      <c r="F285" s="126">
        <v>1.5</v>
      </c>
      <c r="G285" s="126">
        <v>4.7</v>
      </c>
    </row>
    <row r="286" spans="1:10">
      <c r="A286" s="19" t="s">
        <v>823</v>
      </c>
      <c r="B286" s="19" t="s">
        <v>851</v>
      </c>
      <c r="C286" s="19">
        <v>18</v>
      </c>
      <c r="E286" s="19" t="s">
        <v>814</v>
      </c>
      <c r="F286" s="126">
        <v>3</v>
      </c>
      <c r="G286" s="126">
        <v>2.1</v>
      </c>
    </row>
    <row r="287" spans="1:10">
      <c r="A287" s="19" t="s">
        <v>823</v>
      </c>
      <c r="B287" s="19" t="s">
        <v>851</v>
      </c>
      <c r="C287" s="19">
        <v>18</v>
      </c>
      <c r="E287" s="19" t="s">
        <v>814</v>
      </c>
      <c r="F287" s="126">
        <v>4.5</v>
      </c>
      <c r="G287" s="126">
        <v>2.6</v>
      </c>
    </row>
    <row r="288" spans="1:10">
      <c r="A288" s="19" t="s">
        <v>823</v>
      </c>
      <c r="B288" s="19" t="s">
        <v>851</v>
      </c>
      <c r="C288" s="19">
        <v>18</v>
      </c>
      <c r="E288" s="19" t="s">
        <v>814</v>
      </c>
      <c r="F288" s="126">
        <v>6.5</v>
      </c>
      <c r="G288" s="126">
        <v>3.2</v>
      </c>
    </row>
    <row r="289" spans="1:7">
      <c r="A289" s="19" t="s">
        <v>823</v>
      </c>
      <c r="B289" s="19" t="s">
        <v>851</v>
      </c>
      <c r="C289" s="19">
        <v>18</v>
      </c>
      <c r="E289" s="19" t="s">
        <v>814</v>
      </c>
      <c r="F289" s="126">
        <v>11</v>
      </c>
      <c r="G289" s="126">
        <v>3.7</v>
      </c>
    </row>
    <row r="290" spans="1:7">
      <c r="A290" s="19" t="s">
        <v>823</v>
      </c>
      <c r="B290" s="19" t="s">
        <v>851</v>
      </c>
      <c r="C290" s="19">
        <v>18</v>
      </c>
      <c r="E290" s="19" t="s">
        <v>814</v>
      </c>
      <c r="F290" s="126">
        <v>14</v>
      </c>
      <c r="G290" s="126">
        <v>4.2</v>
      </c>
    </row>
    <row r="291" spans="1:7">
      <c r="A291" s="19" t="s">
        <v>823</v>
      </c>
      <c r="B291" s="19" t="s">
        <v>851</v>
      </c>
      <c r="C291" s="19">
        <v>18</v>
      </c>
      <c r="E291" s="19" t="s">
        <v>814</v>
      </c>
      <c r="F291" s="126">
        <v>1</v>
      </c>
      <c r="G291" s="126">
        <v>5.2</v>
      </c>
    </row>
  </sheetData>
  <pageMargins left="0.75" right="0.75" top="1" bottom="1" header="0.5" footer="0.5"/>
  <headerFooter>
    <oddHeader>&amp;C&amp;"Aptos"&amp;10&amp;K0078D7 [Open]&amp;1#_x000D_</oddHead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FD324-005C-442F-8927-0594D7075BB6}">
  <dimension ref="A2:AI511"/>
  <sheetViews>
    <sheetView topLeftCell="B1" zoomScale="104" zoomScaleNormal="100" workbookViewId="0">
      <selection activeCell="E47" sqref="E47"/>
    </sheetView>
  </sheetViews>
  <sheetFormatPr defaultRowHeight="14"/>
  <cols>
    <col min="1" max="1" width="8.6640625" style="37"/>
    <col min="2" max="2" width="18.33203125" style="37" customWidth="1"/>
    <col min="3" max="3" width="34.08203125" style="37" customWidth="1"/>
    <col min="4" max="4" width="26.08203125" style="37" customWidth="1"/>
    <col min="5" max="5" width="31.08203125" style="37" bestFit="1" customWidth="1"/>
    <col min="6" max="6" width="31.33203125" style="37" customWidth="1"/>
    <col min="7" max="8" width="26.75" style="37" customWidth="1"/>
    <col min="9" max="16384" width="8.6640625" style="37"/>
  </cols>
  <sheetData>
    <row r="2" spans="1:32">
      <c r="A2" s="130"/>
      <c r="B2" s="130"/>
      <c r="C2" s="131" t="s">
        <v>855</v>
      </c>
      <c r="D2" s="130"/>
      <c r="E2" s="130"/>
      <c r="F2" s="130"/>
    </row>
    <row r="3" spans="1:32">
      <c r="C3" s="132" t="s">
        <v>856</v>
      </c>
      <c r="D3" s="132" t="s">
        <v>856</v>
      </c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3"/>
      <c r="AF3" s="133"/>
    </row>
    <row r="4" spans="1:32" ht="14.5" thickBot="1">
      <c r="C4" s="134" t="s">
        <v>813</v>
      </c>
      <c r="D4" s="134" t="s">
        <v>813</v>
      </c>
      <c r="E4" s="135" t="s">
        <v>857</v>
      </c>
      <c r="F4" s="135" t="s">
        <v>857</v>
      </c>
      <c r="G4" s="133"/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  <c r="AA4" s="133"/>
      <c r="AB4" s="133"/>
      <c r="AC4" s="133"/>
      <c r="AD4" s="133"/>
      <c r="AE4" s="133"/>
      <c r="AF4" s="133"/>
    </row>
    <row r="5" spans="1:32">
      <c r="C5" s="136" t="s">
        <v>858</v>
      </c>
      <c r="D5" s="137" t="s">
        <v>859</v>
      </c>
      <c r="E5" s="136" t="s">
        <v>858</v>
      </c>
      <c r="F5" s="137" t="s">
        <v>859</v>
      </c>
      <c r="G5" s="133"/>
      <c r="H5" s="133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  <c r="AA5" s="133"/>
      <c r="AB5" s="133"/>
      <c r="AC5" s="133"/>
      <c r="AD5" s="133"/>
      <c r="AE5" s="133"/>
      <c r="AF5" s="133"/>
    </row>
    <row r="6" spans="1:32" ht="14.5" thickBot="1">
      <c r="A6" s="138" t="s">
        <v>860</v>
      </c>
      <c r="B6" s="139" t="s">
        <v>861</v>
      </c>
      <c r="C6" s="140" t="s">
        <v>862</v>
      </c>
      <c r="D6" s="141" t="s">
        <v>863</v>
      </c>
      <c r="E6" s="142" t="s">
        <v>862</v>
      </c>
      <c r="F6" s="143" t="s">
        <v>863</v>
      </c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3"/>
      <c r="T6" s="133"/>
      <c r="U6" s="133"/>
      <c r="V6" s="133"/>
      <c r="W6" s="133"/>
      <c r="X6" s="133"/>
      <c r="Y6" s="133"/>
      <c r="Z6" s="133"/>
      <c r="AA6" s="133"/>
      <c r="AB6" s="133"/>
      <c r="AC6" s="133"/>
      <c r="AD6" s="133"/>
      <c r="AE6" s="133"/>
      <c r="AF6" s="133"/>
    </row>
    <row r="7" spans="1:32">
      <c r="A7" s="144">
        <v>17</v>
      </c>
      <c r="B7" s="145" t="s">
        <v>864</v>
      </c>
      <c r="C7" s="146">
        <v>0.5</v>
      </c>
      <c r="D7" s="147">
        <v>0.1</v>
      </c>
      <c r="E7" s="148">
        <v>5.2</v>
      </c>
      <c r="F7" s="149">
        <v>8.1999999999999993</v>
      </c>
      <c r="G7" s="133"/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  <c r="AA7" s="133"/>
      <c r="AB7" s="133"/>
      <c r="AC7" s="133"/>
      <c r="AD7" s="133"/>
      <c r="AE7" s="133"/>
      <c r="AF7" s="133"/>
    </row>
    <row r="8" spans="1:32">
      <c r="A8" s="150"/>
      <c r="B8" s="151"/>
      <c r="C8" s="146">
        <v>1.1000000000000001</v>
      </c>
      <c r="D8" s="147">
        <v>0.2</v>
      </c>
      <c r="E8" s="152">
        <v>4.7</v>
      </c>
      <c r="F8" s="153">
        <v>19</v>
      </c>
      <c r="G8" s="133"/>
      <c r="H8" s="133"/>
      <c r="I8" s="133"/>
      <c r="J8" s="133"/>
      <c r="K8" s="133"/>
      <c r="L8" s="133"/>
      <c r="M8" s="133"/>
      <c r="N8" s="133"/>
      <c r="O8" s="133"/>
      <c r="P8" s="133"/>
      <c r="Q8" s="133"/>
      <c r="R8" s="133"/>
      <c r="S8" s="133"/>
      <c r="T8" s="133"/>
      <c r="U8" s="133"/>
      <c r="V8" s="133"/>
      <c r="W8" s="133"/>
      <c r="X8" s="133"/>
      <c r="Y8" s="133"/>
      <c r="Z8" s="133"/>
      <c r="AA8" s="133"/>
      <c r="AB8" s="133"/>
      <c r="AC8" s="133"/>
      <c r="AD8" s="133"/>
      <c r="AE8" s="133"/>
      <c r="AF8" s="133"/>
    </row>
    <row r="9" spans="1:32" ht="14.5" thickBot="1">
      <c r="A9" s="150"/>
      <c r="B9" s="151"/>
      <c r="C9" s="146">
        <v>1.6</v>
      </c>
      <c r="D9" s="147">
        <v>1</v>
      </c>
      <c r="E9" s="154">
        <v>5.5</v>
      </c>
      <c r="F9" s="155">
        <v>6</v>
      </c>
      <c r="G9" s="133"/>
      <c r="H9" s="133"/>
      <c r="I9" s="133"/>
      <c r="J9" s="133"/>
      <c r="K9" s="133"/>
      <c r="L9" s="133"/>
      <c r="M9" s="133"/>
      <c r="N9" s="133"/>
      <c r="O9" s="133"/>
      <c r="P9" s="133"/>
      <c r="Q9" s="133"/>
      <c r="R9" s="133"/>
      <c r="S9" s="133"/>
      <c r="T9" s="133"/>
      <c r="U9" s="133"/>
      <c r="V9" s="133"/>
      <c r="W9" s="133"/>
      <c r="X9" s="133"/>
      <c r="Y9" s="133"/>
      <c r="Z9" s="133"/>
      <c r="AA9" s="133"/>
      <c r="AB9" s="133"/>
      <c r="AC9" s="133"/>
      <c r="AD9" s="133"/>
      <c r="AE9" s="133"/>
      <c r="AF9" s="133"/>
    </row>
    <row r="10" spans="1:32">
      <c r="A10" s="150"/>
      <c r="B10" s="151"/>
      <c r="C10" s="146">
        <v>2.1</v>
      </c>
      <c r="D10" s="147">
        <v>1.8</v>
      </c>
      <c r="E10" s="156"/>
      <c r="F10" s="157"/>
      <c r="G10" s="133"/>
      <c r="H10" s="133"/>
      <c r="I10" s="133"/>
      <c r="J10" s="133"/>
      <c r="K10" s="133"/>
      <c r="L10" s="133"/>
      <c r="M10" s="133"/>
      <c r="N10" s="133"/>
      <c r="O10" s="133"/>
      <c r="P10" s="133"/>
      <c r="Q10" s="133"/>
      <c r="R10" s="133"/>
      <c r="S10" s="133"/>
      <c r="T10" s="133"/>
      <c r="U10" s="133"/>
      <c r="V10" s="133"/>
      <c r="W10" s="133"/>
      <c r="X10" s="133"/>
      <c r="Y10" s="133"/>
      <c r="Z10" s="133"/>
      <c r="AA10" s="133"/>
      <c r="AB10" s="133"/>
      <c r="AC10" s="133"/>
      <c r="AD10" s="133"/>
      <c r="AE10" s="133"/>
      <c r="AF10" s="133"/>
    </row>
    <row r="11" spans="1:32">
      <c r="A11" s="150"/>
      <c r="B11" s="151"/>
      <c r="C11" s="146">
        <v>2.7</v>
      </c>
      <c r="D11" s="147">
        <v>2.5</v>
      </c>
      <c r="E11" s="156"/>
      <c r="F11" s="157"/>
      <c r="G11" s="133"/>
      <c r="H11" s="133"/>
      <c r="I11" s="133"/>
      <c r="J11" s="133"/>
      <c r="K11" s="133"/>
      <c r="L11" s="133"/>
      <c r="M11" s="133"/>
      <c r="N11" s="133"/>
      <c r="O11" s="133"/>
      <c r="P11" s="133"/>
      <c r="Q11" s="133"/>
      <c r="R11" s="133"/>
      <c r="S11" s="133"/>
      <c r="T11" s="133"/>
      <c r="U11" s="133"/>
      <c r="V11" s="133"/>
      <c r="W11" s="133"/>
      <c r="X11" s="133"/>
      <c r="Y11" s="133"/>
      <c r="Z11" s="133"/>
      <c r="AA11" s="133"/>
      <c r="AB11" s="133"/>
      <c r="AC11" s="133"/>
      <c r="AD11" s="133"/>
      <c r="AE11" s="133"/>
      <c r="AF11" s="133"/>
    </row>
    <row r="12" spans="1:32">
      <c r="A12" s="150"/>
      <c r="B12" s="151"/>
      <c r="C12" s="146">
        <v>3.2</v>
      </c>
      <c r="D12" s="158">
        <v>2.6</v>
      </c>
      <c r="E12" s="156"/>
      <c r="F12" s="157"/>
      <c r="G12" s="133"/>
      <c r="H12" s="133"/>
      <c r="I12" s="133"/>
      <c r="J12" s="133"/>
      <c r="K12" s="133"/>
      <c r="L12" s="133"/>
      <c r="M12" s="133"/>
      <c r="N12" s="133"/>
      <c r="O12" s="133"/>
      <c r="P12" s="133"/>
      <c r="Q12" s="133"/>
      <c r="R12" s="133"/>
      <c r="S12" s="133"/>
      <c r="T12" s="133"/>
      <c r="U12" s="133"/>
      <c r="V12" s="133"/>
      <c r="W12" s="133"/>
      <c r="X12" s="133"/>
      <c r="Y12" s="133"/>
      <c r="Z12" s="133"/>
      <c r="AA12" s="133"/>
      <c r="AB12" s="133"/>
      <c r="AC12" s="133"/>
      <c r="AD12" s="133"/>
      <c r="AE12" s="133"/>
      <c r="AF12" s="133"/>
    </row>
    <row r="13" spans="1:32">
      <c r="A13" s="150"/>
      <c r="B13" s="151"/>
      <c r="C13" s="146">
        <v>3.7</v>
      </c>
      <c r="D13" s="147">
        <v>3.9</v>
      </c>
      <c r="E13" s="156"/>
      <c r="F13" s="157"/>
      <c r="G13" s="133"/>
      <c r="H13" s="133"/>
      <c r="I13" s="133"/>
      <c r="J13" s="133"/>
      <c r="K13" s="133"/>
      <c r="L13" s="133"/>
      <c r="M13" s="133"/>
      <c r="N13" s="133"/>
      <c r="O13" s="133"/>
      <c r="P13" s="133"/>
      <c r="Q13" s="133"/>
      <c r="R13" s="133"/>
      <c r="S13" s="133"/>
      <c r="T13" s="133"/>
      <c r="U13" s="133"/>
      <c r="V13" s="133"/>
      <c r="W13" s="133"/>
      <c r="X13" s="133"/>
      <c r="Y13" s="133"/>
      <c r="Z13" s="133"/>
      <c r="AA13" s="133"/>
      <c r="AB13" s="133"/>
      <c r="AC13" s="133"/>
      <c r="AD13" s="133"/>
      <c r="AE13" s="133"/>
      <c r="AF13" s="133"/>
    </row>
    <row r="14" spans="1:32">
      <c r="A14" s="150"/>
      <c r="B14" s="151"/>
      <c r="C14" s="146">
        <v>4.2</v>
      </c>
      <c r="D14" s="147">
        <v>5.8</v>
      </c>
      <c r="E14" s="156"/>
      <c r="F14" s="157"/>
      <c r="G14" s="133"/>
      <c r="H14" s="133"/>
      <c r="I14" s="133"/>
      <c r="J14" s="133"/>
      <c r="K14" s="133"/>
      <c r="L14" s="133"/>
      <c r="M14" s="133"/>
      <c r="N14" s="133"/>
      <c r="O14" s="133"/>
      <c r="P14" s="133"/>
      <c r="Q14" s="133"/>
      <c r="R14" s="133"/>
      <c r="S14" s="133"/>
      <c r="T14" s="133"/>
      <c r="U14" s="133"/>
      <c r="V14" s="133"/>
      <c r="W14" s="133"/>
      <c r="X14" s="133"/>
      <c r="Y14" s="133"/>
      <c r="Z14" s="133"/>
      <c r="AA14" s="133"/>
      <c r="AB14" s="133"/>
      <c r="AC14" s="133"/>
      <c r="AD14" s="133"/>
      <c r="AE14" s="133"/>
      <c r="AF14" s="133"/>
    </row>
    <row r="15" spans="1:32">
      <c r="A15" s="150"/>
      <c r="B15" s="151"/>
      <c r="C15" s="146">
        <v>4.7</v>
      </c>
      <c r="D15" s="147">
        <v>9.5</v>
      </c>
      <c r="E15" s="156"/>
      <c r="F15" s="157"/>
      <c r="G15" s="133"/>
      <c r="H15" s="133"/>
      <c r="I15" s="133"/>
      <c r="J15" s="133"/>
      <c r="K15" s="133"/>
      <c r="L15" s="133"/>
      <c r="M15" s="133"/>
      <c r="N15" s="133"/>
      <c r="O15" s="133"/>
      <c r="P15" s="133"/>
      <c r="Q15" s="133"/>
      <c r="R15" s="133"/>
      <c r="S15" s="133"/>
      <c r="T15" s="133"/>
      <c r="U15" s="133"/>
      <c r="V15" s="133"/>
      <c r="W15" s="133"/>
      <c r="X15" s="133"/>
      <c r="Y15" s="133"/>
      <c r="Z15" s="133"/>
      <c r="AA15" s="133"/>
      <c r="AB15" s="133"/>
      <c r="AC15" s="133"/>
      <c r="AD15" s="133"/>
      <c r="AE15" s="133"/>
      <c r="AF15" s="133"/>
    </row>
    <row r="16" spans="1:32" ht="14.5" thickBot="1">
      <c r="A16" s="159"/>
      <c r="B16" s="160"/>
      <c r="C16" s="161">
        <v>5.2</v>
      </c>
      <c r="D16" s="162">
        <v>13.9</v>
      </c>
      <c r="E16" s="163"/>
      <c r="F16" s="164"/>
      <c r="G16" s="133"/>
      <c r="H16" s="133"/>
      <c r="I16" s="133"/>
      <c r="J16" s="133"/>
      <c r="K16" s="133"/>
      <c r="L16" s="133"/>
      <c r="M16" s="133"/>
      <c r="N16" s="133"/>
      <c r="O16" s="133"/>
      <c r="P16" s="133"/>
      <c r="Q16" s="133"/>
      <c r="R16" s="133"/>
      <c r="S16" s="133"/>
      <c r="T16" s="133"/>
      <c r="U16" s="133"/>
      <c r="V16" s="133"/>
      <c r="W16" s="133"/>
      <c r="X16" s="133"/>
      <c r="Y16" s="133"/>
      <c r="Z16" s="133"/>
      <c r="AA16" s="133"/>
      <c r="AB16" s="133"/>
      <c r="AC16" s="133"/>
      <c r="AD16" s="133"/>
      <c r="AE16" s="133"/>
      <c r="AF16" s="133"/>
    </row>
    <row r="17" spans="1:32">
      <c r="A17" s="144"/>
      <c r="B17" s="165" t="s">
        <v>800</v>
      </c>
      <c r="C17" s="166">
        <v>4.9000000000000004</v>
      </c>
      <c r="D17" s="166">
        <v>0</v>
      </c>
      <c r="E17" s="167"/>
      <c r="F17" s="149"/>
      <c r="G17" s="133"/>
      <c r="H17" s="133"/>
      <c r="I17" s="133"/>
      <c r="J17" s="133"/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33"/>
      <c r="V17" s="133"/>
      <c r="W17" s="133"/>
      <c r="X17" s="133"/>
      <c r="Y17" s="133"/>
      <c r="Z17" s="133"/>
      <c r="AA17" s="133"/>
      <c r="AB17" s="133"/>
      <c r="AC17" s="133"/>
      <c r="AD17" s="133"/>
      <c r="AE17" s="133"/>
      <c r="AF17" s="133"/>
    </row>
    <row r="18" spans="1:32" ht="14.5" thickBot="1">
      <c r="A18" s="159"/>
      <c r="B18" s="168" t="s">
        <v>800</v>
      </c>
      <c r="C18" s="169">
        <v>4.9000000000000004</v>
      </c>
      <c r="D18" s="169">
        <v>13</v>
      </c>
      <c r="E18" s="170"/>
      <c r="F18" s="155"/>
      <c r="G18" s="133"/>
      <c r="H18" s="133"/>
      <c r="I18" s="133"/>
      <c r="J18" s="133"/>
      <c r="K18" s="133"/>
      <c r="L18" s="133"/>
      <c r="M18" s="133"/>
      <c r="N18" s="133"/>
      <c r="O18" s="133"/>
      <c r="P18" s="133"/>
      <c r="Q18" s="133"/>
      <c r="R18" s="133"/>
      <c r="S18" s="133"/>
      <c r="T18" s="133"/>
      <c r="U18" s="133"/>
      <c r="V18" s="133"/>
      <c r="W18" s="133"/>
      <c r="X18" s="133"/>
      <c r="Y18" s="133"/>
      <c r="Z18" s="133"/>
      <c r="AA18" s="133"/>
      <c r="AB18" s="133"/>
      <c r="AC18" s="133"/>
      <c r="AD18" s="133"/>
      <c r="AE18" s="133"/>
      <c r="AF18" s="133"/>
    </row>
    <row r="19" spans="1:32">
      <c r="B19" s="171" t="s">
        <v>865</v>
      </c>
      <c r="C19" s="172">
        <v>3.9</v>
      </c>
      <c r="D19" s="172">
        <v>0</v>
      </c>
      <c r="E19" s="118"/>
      <c r="F19" s="118"/>
      <c r="G19" s="133"/>
      <c r="H19" s="133"/>
      <c r="I19" s="133"/>
      <c r="J19" s="133"/>
      <c r="K19" s="133"/>
      <c r="L19" s="133"/>
      <c r="M19" s="133"/>
      <c r="N19" s="133"/>
      <c r="O19" s="133"/>
      <c r="P19" s="133"/>
      <c r="Q19" s="133"/>
      <c r="R19" s="133"/>
      <c r="S19" s="133"/>
      <c r="T19" s="133"/>
      <c r="U19" s="133"/>
      <c r="V19" s="133"/>
      <c r="W19" s="133"/>
      <c r="X19" s="133"/>
      <c r="Y19" s="133"/>
      <c r="Z19" s="133"/>
      <c r="AA19" s="133"/>
      <c r="AB19" s="133"/>
      <c r="AC19" s="133"/>
      <c r="AD19" s="133"/>
      <c r="AE19" s="133"/>
      <c r="AF19" s="133"/>
    </row>
    <row r="20" spans="1:32">
      <c r="B20" s="171" t="s">
        <v>865</v>
      </c>
      <c r="C20" s="172">
        <v>3.9</v>
      </c>
      <c r="D20" s="172">
        <v>20</v>
      </c>
      <c r="E20" s="118"/>
      <c r="F20" s="118"/>
      <c r="G20" s="133"/>
      <c r="H20" s="133"/>
      <c r="I20" s="133"/>
      <c r="J20" s="133"/>
      <c r="K20" s="133"/>
      <c r="L20" s="133"/>
      <c r="M20" s="133"/>
      <c r="N20" s="133"/>
      <c r="O20" s="133"/>
      <c r="P20" s="133"/>
      <c r="Q20" s="133"/>
      <c r="R20" s="133"/>
      <c r="S20" s="133"/>
      <c r="T20" s="133"/>
      <c r="U20" s="133"/>
      <c r="V20" s="133"/>
      <c r="W20" s="133"/>
      <c r="X20" s="133"/>
      <c r="Y20" s="133"/>
      <c r="Z20" s="133"/>
      <c r="AA20" s="133"/>
      <c r="AB20" s="133"/>
      <c r="AC20" s="133"/>
      <c r="AD20" s="133"/>
      <c r="AE20" s="133"/>
      <c r="AF20" s="133"/>
    </row>
    <row r="21" spans="1:32">
      <c r="B21" s="171" t="s">
        <v>866</v>
      </c>
      <c r="C21" s="172">
        <v>5.5</v>
      </c>
      <c r="D21" s="172">
        <v>0</v>
      </c>
      <c r="E21" s="118"/>
      <c r="F21" s="118"/>
      <c r="G21" s="133"/>
      <c r="H21" s="133"/>
      <c r="I21" s="133"/>
      <c r="J21" s="133"/>
      <c r="K21" s="133"/>
      <c r="L21" s="133"/>
      <c r="M21" s="133"/>
      <c r="N21" s="133"/>
      <c r="O21" s="133"/>
      <c r="P21" s="133"/>
      <c r="Q21" s="133"/>
      <c r="R21" s="133"/>
      <c r="S21" s="133"/>
      <c r="T21" s="133"/>
      <c r="U21" s="133"/>
      <c r="V21" s="133"/>
      <c r="W21" s="133"/>
      <c r="X21" s="133"/>
      <c r="Y21" s="133"/>
      <c r="Z21" s="133"/>
      <c r="AA21" s="133"/>
      <c r="AB21" s="133"/>
      <c r="AC21" s="133"/>
      <c r="AD21" s="133"/>
      <c r="AE21" s="133"/>
      <c r="AF21" s="133"/>
    </row>
    <row r="22" spans="1:32">
      <c r="B22" s="171" t="s">
        <v>866</v>
      </c>
      <c r="C22" s="172">
        <v>5.5</v>
      </c>
      <c r="D22" s="172">
        <v>20</v>
      </c>
      <c r="E22" s="118"/>
      <c r="F22" s="118"/>
      <c r="G22" s="133"/>
      <c r="H22" s="133"/>
      <c r="I22" s="133"/>
      <c r="J22" s="133"/>
      <c r="K22" s="133"/>
      <c r="L22" s="133"/>
      <c r="M22" s="133"/>
      <c r="N22" s="133"/>
      <c r="O22" s="133"/>
      <c r="P22" s="133"/>
      <c r="Q22" s="133"/>
      <c r="R22" s="133"/>
      <c r="S22" s="133"/>
      <c r="T22" s="133"/>
      <c r="U22" s="133"/>
      <c r="V22" s="133"/>
      <c r="W22" s="133"/>
      <c r="X22" s="133"/>
      <c r="Y22" s="133"/>
      <c r="Z22" s="133"/>
      <c r="AA22" s="133"/>
      <c r="AB22" s="133"/>
      <c r="AC22" s="133"/>
      <c r="AD22" s="133"/>
      <c r="AE22" s="133"/>
      <c r="AF22" s="133"/>
    </row>
    <row r="23" spans="1:32">
      <c r="G23" s="133"/>
      <c r="H23" s="133"/>
      <c r="I23" s="133"/>
      <c r="J23" s="133"/>
      <c r="K23" s="133"/>
      <c r="L23" s="133"/>
      <c r="M23" s="133"/>
      <c r="N23" s="133"/>
      <c r="O23" s="133"/>
      <c r="P23" s="133"/>
      <c r="Q23" s="133"/>
      <c r="R23" s="133"/>
      <c r="S23" s="133"/>
      <c r="T23" s="133"/>
      <c r="U23" s="133"/>
      <c r="V23" s="133"/>
      <c r="W23" s="133"/>
      <c r="X23" s="133"/>
      <c r="Y23" s="133"/>
      <c r="Z23" s="133"/>
      <c r="AA23" s="133"/>
      <c r="AB23" s="133"/>
      <c r="AC23" s="133"/>
      <c r="AD23" s="133"/>
      <c r="AE23" s="133"/>
      <c r="AF23" s="133"/>
    </row>
    <row r="24" spans="1:32">
      <c r="A24" s="130"/>
      <c r="B24" s="130"/>
      <c r="C24" s="131" t="s">
        <v>867</v>
      </c>
      <c r="D24" s="130"/>
      <c r="E24" s="130"/>
      <c r="F24" s="130"/>
      <c r="G24" s="133"/>
      <c r="H24" s="133"/>
      <c r="I24" s="133"/>
      <c r="J24" s="133"/>
      <c r="K24" s="133"/>
      <c r="L24" s="133"/>
      <c r="M24" s="133"/>
      <c r="N24" s="133"/>
      <c r="O24" s="133"/>
      <c r="P24" s="133"/>
      <c r="Q24" s="133"/>
      <c r="R24" s="133"/>
      <c r="S24" s="133"/>
      <c r="T24" s="133"/>
      <c r="U24" s="133"/>
      <c r="V24" s="133"/>
      <c r="W24" s="133"/>
      <c r="X24" s="133"/>
      <c r="Y24" s="133"/>
      <c r="Z24" s="133"/>
      <c r="AA24" s="133"/>
      <c r="AB24" s="133"/>
      <c r="AC24" s="133"/>
      <c r="AD24" s="133"/>
      <c r="AE24" s="133"/>
      <c r="AF24" s="133"/>
    </row>
    <row r="25" spans="1:32">
      <c r="C25" s="132" t="s">
        <v>856</v>
      </c>
      <c r="D25" s="132" t="s">
        <v>856</v>
      </c>
      <c r="G25" s="133"/>
      <c r="H25" s="133"/>
      <c r="I25" s="133"/>
      <c r="J25" s="133"/>
      <c r="K25" s="133"/>
      <c r="L25" s="133"/>
      <c r="M25" s="133"/>
      <c r="N25" s="133"/>
      <c r="O25" s="133"/>
      <c r="P25" s="133"/>
      <c r="Q25" s="133"/>
      <c r="R25" s="133"/>
      <c r="S25" s="133"/>
      <c r="T25" s="133"/>
      <c r="U25" s="133"/>
      <c r="V25" s="133"/>
      <c r="W25" s="133"/>
      <c r="X25" s="133"/>
      <c r="Y25" s="133"/>
      <c r="Z25" s="133"/>
      <c r="AA25" s="133"/>
      <c r="AB25" s="133"/>
      <c r="AC25" s="133"/>
      <c r="AD25" s="133"/>
      <c r="AE25" s="133"/>
      <c r="AF25" s="133"/>
    </row>
    <row r="26" spans="1:32" ht="14.5" thickBot="1">
      <c r="C26" s="134" t="s">
        <v>813</v>
      </c>
      <c r="D26" s="134" t="s">
        <v>813</v>
      </c>
      <c r="E26" s="135" t="s">
        <v>857</v>
      </c>
      <c r="F26" s="135" t="s">
        <v>857</v>
      </c>
      <c r="G26" s="133"/>
      <c r="H26" s="133"/>
      <c r="I26" s="133"/>
      <c r="J26" s="133"/>
      <c r="K26" s="133"/>
      <c r="L26" s="133"/>
      <c r="M26" s="133"/>
      <c r="N26" s="133"/>
      <c r="O26" s="133"/>
      <c r="P26" s="133"/>
      <c r="Q26" s="133"/>
      <c r="R26" s="133"/>
      <c r="S26" s="133"/>
      <c r="T26" s="133"/>
      <c r="U26" s="133"/>
      <c r="V26" s="133"/>
      <c r="W26" s="133"/>
      <c r="X26" s="133"/>
      <c r="Y26" s="133"/>
      <c r="Z26" s="133"/>
      <c r="AA26" s="133"/>
      <c r="AB26" s="133"/>
      <c r="AC26" s="133"/>
      <c r="AD26" s="133"/>
      <c r="AE26" s="133"/>
      <c r="AF26" s="133"/>
    </row>
    <row r="27" spans="1:32" ht="14.5" thickBot="1">
      <c r="C27" s="136" t="s">
        <v>858</v>
      </c>
      <c r="D27" s="137" t="s">
        <v>859</v>
      </c>
      <c r="E27" s="136" t="s">
        <v>858</v>
      </c>
      <c r="F27" s="137" t="s">
        <v>859</v>
      </c>
      <c r="G27" s="133"/>
      <c r="H27" s="133"/>
      <c r="I27" s="133"/>
      <c r="J27" s="133"/>
      <c r="K27" s="133"/>
      <c r="L27" s="133"/>
      <c r="M27" s="133"/>
      <c r="N27" s="133"/>
      <c r="O27" s="133"/>
      <c r="P27" s="133"/>
      <c r="Q27" s="133"/>
      <c r="R27" s="133"/>
      <c r="S27" s="133"/>
      <c r="T27" s="133"/>
      <c r="U27" s="133"/>
      <c r="V27" s="133"/>
      <c r="W27" s="133"/>
      <c r="X27" s="133"/>
      <c r="Y27" s="133"/>
      <c r="Z27" s="133"/>
      <c r="AA27" s="133"/>
      <c r="AB27" s="133"/>
      <c r="AC27" s="133"/>
      <c r="AD27" s="133"/>
      <c r="AE27" s="133"/>
      <c r="AF27" s="133"/>
    </row>
    <row r="28" spans="1:32" ht="14.5" thickBot="1">
      <c r="A28" s="173" t="s">
        <v>860</v>
      </c>
      <c r="B28" s="174" t="s">
        <v>861</v>
      </c>
      <c r="C28" s="175" t="s">
        <v>862</v>
      </c>
      <c r="D28" s="176" t="s">
        <v>863</v>
      </c>
      <c r="E28" s="175" t="s">
        <v>862</v>
      </c>
      <c r="F28" s="176" t="s">
        <v>863</v>
      </c>
      <c r="G28" s="133"/>
      <c r="H28" s="133"/>
      <c r="I28" s="133"/>
      <c r="J28" s="133"/>
      <c r="K28" s="133"/>
      <c r="L28" s="133"/>
      <c r="M28" s="133"/>
      <c r="N28" s="133"/>
      <c r="O28" s="133"/>
      <c r="P28" s="133"/>
      <c r="Q28" s="133"/>
      <c r="R28" s="133"/>
      <c r="S28" s="133"/>
      <c r="T28" s="133"/>
      <c r="U28" s="133"/>
      <c r="V28" s="133"/>
      <c r="W28" s="133"/>
      <c r="X28" s="133"/>
      <c r="Y28" s="133"/>
      <c r="Z28" s="133"/>
      <c r="AA28" s="133"/>
      <c r="AB28" s="133"/>
      <c r="AC28" s="133"/>
      <c r="AD28" s="133"/>
      <c r="AE28" s="133"/>
      <c r="AF28" s="133"/>
    </row>
    <row r="29" spans="1:32">
      <c r="A29" s="144">
        <v>18</v>
      </c>
      <c r="B29" s="145" t="s">
        <v>868</v>
      </c>
      <c r="C29" s="177">
        <v>0.5</v>
      </c>
      <c r="D29" s="145">
        <v>3</v>
      </c>
      <c r="E29" s="150">
        <v>2.1</v>
      </c>
      <c r="F29" s="151">
        <v>11</v>
      </c>
      <c r="G29" s="133"/>
      <c r="H29" s="133"/>
      <c r="I29" s="133"/>
      <c r="J29" s="133"/>
      <c r="K29" s="133"/>
      <c r="L29" s="133"/>
      <c r="M29" s="133"/>
      <c r="N29" s="133"/>
      <c r="O29" s="133"/>
      <c r="P29" s="133"/>
      <c r="Q29" s="133"/>
      <c r="R29" s="133"/>
      <c r="S29" s="133"/>
      <c r="T29" s="133"/>
      <c r="U29" s="133"/>
      <c r="V29" s="133"/>
      <c r="W29" s="133"/>
      <c r="X29" s="133"/>
      <c r="Y29" s="133"/>
      <c r="Z29" s="133"/>
      <c r="AA29" s="133"/>
      <c r="AB29" s="133"/>
      <c r="AC29" s="133"/>
      <c r="AD29" s="133"/>
      <c r="AE29" s="133"/>
      <c r="AF29" s="133"/>
    </row>
    <row r="30" spans="1:32">
      <c r="A30" s="150"/>
      <c r="B30" s="151"/>
      <c r="C30" s="146">
        <v>1.1000000000000001</v>
      </c>
      <c r="D30" s="151">
        <v>4.5</v>
      </c>
      <c r="E30" s="150">
        <v>2.6</v>
      </c>
      <c r="F30" s="151">
        <v>7</v>
      </c>
      <c r="G30" s="133"/>
      <c r="H30" s="133"/>
      <c r="I30" s="133"/>
      <c r="J30" s="133"/>
      <c r="K30" s="133"/>
      <c r="L30" s="133"/>
      <c r="M30" s="133"/>
      <c r="N30" s="133"/>
      <c r="O30" s="133"/>
      <c r="P30" s="133"/>
      <c r="Q30" s="133"/>
      <c r="R30" s="133"/>
      <c r="S30" s="133"/>
      <c r="T30" s="133"/>
      <c r="U30" s="133"/>
      <c r="V30" s="133"/>
      <c r="W30" s="133"/>
      <c r="X30" s="133"/>
      <c r="Y30" s="133"/>
      <c r="Z30" s="133"/>
      <c r="AA30" s="133"/>
      <c r="AB30" s="133"/>
      <c r="AC30" s="133"/>
      <c r="AD30" s="133"/>
      <c r="AE30" s="133"/>
      <c r="AF30" s="133"/>
    </row>
    <row r="31" spans="1:32">
      <c r="A31" s="150"/>
      <c r="B31" s="151"/>
      <c r="C31" s="146">
        <v>1.6</v>
      </c>
      <c r="D31" s="151">
        <v>6.5</v>
      </c>
      <c r="E31" s="150">
        <v>3.2</v>
      </c>
      <c r="F31" s="151">
        <v>5</v>
      </c>
      <c r="G31" s="133"/>
      <c r="H31" s="133"/>
      <c r="I31" s="133"/>
      <c r="J31" s="133"/>
      <c r="K31" s="133"/>
      <c r="L31" s="133"/>
      <c r="M31" s="133"/>
      <c r="N31" s="133"/>
      <c r="O31" s="133"/>
      <c r="P31" s="133"/>
      <c r="Q31" s="133"/>
      <c r="R31" s="133"/>
      <c r="S31" s="133"/>
      <c r="T31" s="133"/>
      <c r="U31" s="133"/>
      <c r="V31" s="133"/>
      <c r="W31" s="133"/>
      <c r="X31" s="133"/>
      <c r="Y31" s="133"/>
      <c r="Z31" s="133"/>
      <c r="AA31" s="133"/>
      <c r="AB31" s="133"/>
      <c r="AC31" s="133"/>
      <c r="AD31" s="133"/>
      <c r="AE31" s="133"/>
      <c r="AF31" s="133"/>
    </row>
    <row r="32" spans="1:32">
      <c r="A32" s="150"/>
      <c r="B32" s="151"/>
      <c r="C32" s="146">
        <v>2.1</v>
      </c>
      <c r="D32" s="151">
        <v>11</v>
      </c>
      <c r="E32" s="150">
        <v>3.7</v>
      </c>
      <c r="F32" s="151">
        <v>2.5</v>
      </c>
      <c r="G32" s="133"/>
      <c r="H32" s="133"/>
      <c r="I32" s="133"/>
      <c r="J32" s="133"/>
      <c r="K32" s="133"/>
      <c r="L32" s="133"/>
      <c r="M32" s="133"/>
      <c r="N32" s="133"/>
      <c r="O32" s="133"/>
      <c r="P32" s="133"/>
      <c r="Q32" s="133"/>
      <c r="R32" s="133"/>
      <c r="S32" s="133"/>
      <c r="T32" s="133"/>
      <c r="U32" s="133"/>
      <c r="V32" s="133"/>
      <c r="W32" s="133"/>
      <c r="X32" s="133"/>
      <c r="Y32" s="133"/>
      <c r="Z32" s="133"/>
      <c r="AA32" s="133"/>
      <c r="AB32" s="133"/>
      <c r="AC32" s="133"/>
      <c r="AD32" s="133"/>
      <c r="AE32" s="133"/>
      <c r="AF32" s="133"/>
    </row>
    <row r="33" spans="1:32">
      <c r="A33" s="150"/>
      <c r="B33" s="151"/>
      <c r="C33" s="146">
        <v>2.7</v>
      </c>
      <c r="D33" s="151">
        <v>14</v>
      </c>
      <c r="E33" s="150">
        <v>4.2</v>
      </c>
      <c r="F33" s="151">
        <v>1.5</v>
      </c>
      <c r="G33" s="133"/>
      <c r="H33" s="133"/>
      <c r="I33" s="133"/>
      <c r="J33" s="133"/>
      <c r="K33" s="133"/>
      <c r="L33" s="133"/>
      <c r="M33" s="133"/>
      <c r="N33" s="133"/>
      <c r="O33" s="133"/>
      <c r="P33" s="133"/>
      <c r="Q33" s="133"/>
      <c r="R33" s="133"/>
      <c r="S33" s="133"/>
      <c r="T33" s="133"/>
      <c r="U33" s="133"/>
      <c r="V33" s="133"/>
      <c r="W33" s="133"/>
      <c r="X33" s="133"/>
      <c r="Y33" s="133"/>
      <c r="Z33" s="133"/>
      <c r="AA33" s="133"/>
      <c r="AB33" s="133"/>
      <c r="AC33" s="133"/>
      <c r="AD33" s="133"/>
      <c r="AE33" s="133"/>
      <c r="AF33" s="133"/>
    </row>
    <row r="34" spans="1:32">
      <c r="A34" s="150"/>
      <c r="B34" s="151"/>
      <c r="C34" s="178"/>
      <c r="D34" s="179"/>
      <c r="E34" s="150">
        <v>4.7</v>
      </c>
      <c r="F34" s="151">
        <v>1</v>
      </c>
      <c r="G34" s="133"/>
      <c r="H34" s="133"/>
      <c r="I34" s="133"/>
      <c r="J34" s="133"/>
      <c r="K34" s="133"/>
      <c r="L34" s="133"/>
      <c r="M34" s="133"/>
      <c r="N34" s="133"/>
      <c r="O34" s="133"/>
      <c r="P34" s="133"/>
      <c r="Q34" s="133"/>
      <c r="R34" s="133"/>
      <c r="S34" s="133"/>
      <c r="T34" s="133"/>
      <c r="U34" s="133"/>
      <c r="V34" s="133"/>
      <c r="W34" s="133"/>
      <c r="X34" s="133"/>
      <c r="Y34" s="133"/>
      <c r="Z34" s="133"/>
      <c r="AA34" s="133"/>
      <c r="AB34" s="133"/>
      <c r="AC34" s="133"/>
      <c r="AD34" s="133"/>
      <c r="AE34" s="133"/>
      <c r="AF34" s="133"/>
    </row>
    <row r="35" spans="1:32">
      <c r="A35" s="150"/>
      <c r="B35" s="151"/>
      <c r="C35" s="178"/>
      <c r="D35" s="179"/>
      <c r="E35" s="150">
        <v>5.2</v>
      </c>
      <c r="F35" s="151">
        <v>0.5</v>
      </c>
      <c r="G35" s="133"/>
      <c r="H35" s="133"/>
      <c r="I35" s="133"/>
      <c r="J35" s="133"/>
      <c r="K35" s="133"/>
      <c r="L35" s="133"/>
      <c r="M35" s="133"/>
      <c r="N35" s="133"/>
      <c r="O35" s="133"/>
      <c r="P35" s="133"/>
      <c r="Q35" s="133"/>
      <c r="R35" s="133"/>
      <c r="S35" s="133"/>
      <c r="T35" s="133"/>
      <c r="U35" s="133"/>
      <c r="V35" s="133"/>
      <c r="W35" s="133"/>
      <c r="X35" s="133"/>
      <c r="Y35" s="133"/>
      <c r="Z35" s="133"/>
      <c r="AA35" s="133"/>
      <c r="AB35" s="133"/>
      <c r="AC35" s="133"/>
      <c r="AD35" s="133"/>
      <c r="AE35" s="133"/>
      <c r="AF35" s="133"/>
    </row>
    <row r="36" spans="1:32">
      <c r="A36" s="150"/>
      <c r="B36" s="151"/>
      <c r="C36" s="178"/>
      <c r="D36" s="179"/>
      <c r="E36" s="180"/>
      <c r="F36" s="179"/>
      <c r="G36" s="133"/>
      <c r="H36" s="133"/>
      <c r="I36" s="133"/>
      <c r="J36" s="133"/>
      <c r="K36" s="133"/>
      <c r="L36" s="133"/>
      <c r="M36" s="133"/>
      <c r="N36" s="133"/>
      <c r="O36" s="133"/>
      <c r="P36" s="133"/>
      <c r="Q36" s="133"/>
      <c r="R36" s="133"/>
      <c r="S36" s="133"/>
      <c r="T36" s="133"/>
      <c r="U36" s="133"/>
      <c r="V36" s="133"/>
      <c r="W36" s="133"/>
      <c r="X36" s="133"/>
      <c r="Y36" s="133"/>
      <c r="Z36" s="133"/>
      <c r="AA36" s="133"/>
      <c r="AB36" s="133"/>
      <c r="AC36" s="133"/>
      <c r="AD36" s="133"/>
      <c r="AE36" s="133"/>
      <c r="AF36" s="133"/>
    </row>
    <row r="37" spans="1:32">
      <c r="A37" s="150"/>
      <c r="B37" s="151"/>
      <c r="C37" s="178"/>
      <c r="D37" s="179"/>
      <c r="E37" s="180"/>
      <c r="F37" s="179"/>
      <c r="G37" s="133"/>
      <c r="H37" s="133"/>
      <c r="I37" s="133"/>
      <c r="J37" s="133"/>
      <c r="K37" s="133"/>
      <c r="L37" s="133"/>
      <c r="M37" s="133"/>
      <c r="N37" s="133"/>
      <c r="O37" s="133"/>
      <c r="P37" s="133"/>
      <c r="Q37" s="133"/>
      <c r="R37" s="133"/>
      <c r="S37" s="133"/>
      <c r="T37" s="133"/>
      <c r="U37" s="133"/>
      <c r="V37" s="133"/>
      <c r="W37" s="133"/>
      <c r="X37" s="133"/>
      <c r="Y37" s="133"/>
      <c r="Z37" s="133"/>
      <c r="AA37" s="133"/>
      <c r="AB37" s="133"/>
      <c r="AC37" s="133"/>
      <c r="AD37" s="133"/>
      <c r="AE37" s="133"/>
      <c r="AF37" s="133"/>
    </row>
    <row r="38" spans="1:32" ht="14.5" thickBot="1">
      <c r="A38" s="159"/>
      <c r="B38" s="160"/>
      <c r="C38" s="181"/>
      <c r="D38" s="182"/>
      <c r="E38" s="183"/>
      <c r="F38" s="182"/>
      <c r="G38" s="133"/>
      <c r="H38" s="133"/>
      <c r="I38" s="133"/>
      <c r="J38" s="133"/>
      <c r="K38" s="133"/>
      <c r="L38" s="133"/>
      <c r="M38" s="133"/>
      <c r="N38" s="133"/>
      <c r="O38" s="133"/>
      <c r="P38" s="133"/>
      <c r="Q38" s="133"/>
      <c r="R38" s="133"/>
      <c r="S38" s="133"/>
      <c r="T38" s="133"/>
      <c r="U38" s="133"/>
      <c r="V38" s="133"/>
      <c r="W38" s="133"/>
      <c r="X38" s="133"/>
      <c r="Y38" s="133"/>
      <c r="Z38" s="133"/>
      <c r="AA38" s="133"/>
      <c r="AB38" s="133"/>
      <c r="AC38" s="133"/>
      <c r="AD38" s="133"/>
      <c r="AE38" s="133"/>
      <c r="AF38" s="133"/>
    </row>
    <row r="39" spans="1:32">
      <c r="G39" s="133"/>
      <c r="H39" s="133"/>
      <c r="I39" s="133"/>
      <c r="J39" s="133"/>
      <c r="K39" s="133"/>
      <c r="L39" s="133"/>
      <c r="M39" s="133"/>
      <c r="N39" s="133"/>
      <c r="O39" s="133"/>
      <c r="P39" s="133"/>
      <c r="Q39" s="133"/>
      <c r="R39" s="133"/>
      <c r="S39" s="133"/>
      <c r="T39" s="133"/>
      <c r="U39" s="133"/>
      <c r="V39" s="133"/>
      <c r="W39" s="133"/>
      <c r="X39" s="133"/>
      <c r="Y39" s="133"/>
      <c r="Z39" s="133"/>
      <c r="AA39" s="133"/>
      <c r="AB39" s="133"/>
      <c r="AC39" s="133"/>
      <c r="AD39" s="133"/>
      <c r="AE39" s="133"/>
      <c r="AF39" s="133"/>
    </row>
    <row r="40" spans="1:32">
      <c r="G40" s="133"/>
      <c r="H40" s="133"/>
      <c r="I40" s="133"/>
      <c r="J40" s="133"/>
      <c r="K40" s="133"/>
      <c r="L40" s="133"/>
      <c r="M40" s="133"/>
      <c r="N40" s="133"/>
      <c r="O40" s="133"/>
      <c r="P40" s="133"/>
      <c r="Q40" s="133"/>
      <c r="R40" s="133"/>
      <c r="S40" s="133"/>
      <c r="T40" s="133"/>
      <c r="U40" s="133"/>
      <c r="V40" s="133"/>
      <c r="W40" s="133"/>
      <c r="X40" s="133"/>
      <c r="Y40" s="133"/>
      <c r="Z40" s="133"/>
      <c r="AA40" s="133"/>
      <c r="AB40" s="133"/>
      <c r="AC40" s="133"/>
      <c r="AD40" s="133"/>
      <c r="AE40" s="133"/>
      <c r="AF40" s="133"/>
    </row>
    <row r="41" spans="1:32">
      <c r="A41" s="130"/>
      <c r="B41" s="130"/>
      <c r="C41" s="184" t="s">
        <v>869</v>
      </c>
      <c r="D41" s="130"/>
      <c r="E41" s="130"/>
      <c r="F41" s="185" t="s">
        <v>870</v>
      </c>
      <c r="G41" s="133"/>
      <c r="H41" s="133"/>
      <c r="I41" s="133"/>
      <c r="J41" s="133"/>
      <c r="K41" s="133"/>
      <c r="L41" s="133"/>
      <c r="M41" s="133"/>
      <c r="N41" s="133"/>
      <c r="O41" s="133"/>
      <c r="P41" s="133"/>
      <c r="Q41" s="133"/>
      <c r="R41" s="133"/>
      <c r="S41" s="133"/>
      <c r="T41" s="133"/>
      <c r="U41" s="133"/>
      <c r="V41" s="133"/>
      <c r="W41" s="133"/>
      <c r="X41" s="133"/>
      <c r="Y41" s="133"/>
      <c r="Z41" s="133"/>
      <c r="AA41" s="133"/>
      <c r="AB41" s="133"/>
      <c r="AC41" s="133"/>
      <c r="AD41" s="133"/>
      <c r="AE41" s="133"/>
      <c r="AF41" s="133"/>
    </row>
    <row r="42" spans="1:32">
      <c r="C42" s="186" t="s">
        <v>856</v>
      </c>
      <c r="D42" s="186" t="s">
        <v>856</v>
      </c>
      <c r="G42" s="133"/>
      <c r="H42" s="133"/>
      <c r="I42" s="133"/>
      <c r="J42" s="133"/>
      <c r="K42" s="133"/>
      <c r="L42" s="133"/>
      <c r="M42" s="133"/>
      <c r="N42" s="133"/>
      <c r="O42" s="133"/>
      <c r="P42" s="133"/>
      <c r="Q42" s="133"/>
      <c r="R42" s="133"/>
      <c r="S42" s="133"/>
      <c r="T42" s="133"/>
      <c r="U42" s="133"/>
      <c r="V42" s="133"/>
      <c r="W42" s="133"/>
      <c r="X42" s="133"/>
      <c r="Y42" s="133"/>
      <c r="Z42" s="133"/>
      <c r="AA42" s="133"/>
      <c r="AB42" s="133"/>
      <c r="AC42" s="133"/>
      <c r="AD42" s="133"/>
      <c r="AE42" s="133"/>
      <c r="AF42" s="133"/>
    </row>
    <row r="43" spans="1:32" ht="14.5" thickBot="1">
      <c r="C43" s="134" t="s">
        <v>813</v>
      </c>
      <c r="D43" s="134" t="s">
        <v>813</v>
      </c>
      <c r="E43" s="135" t="s">
        <v>857</v>
      </c>
      <c r="F43" s="135" t="s">
        <v>857</v>
      </c>
      <c r="G43" s="133"/>
      <c r="H43" s="133"/>
      <c r="I43" s="133"/>
      <c r="J43" s="133"/>
      <c r="K43" s="133"/>
      <c r="L43" s="133"/>
      <c r="M43" s="133"/>
      <c r="N43" s="133"/>
      <c r="O43" s="133"/>
      <c r="P43" s="133"/>
      <c r="Q43" s="133"/>
      <c r="R43" s="133"/>
      <c r="S43" s="133"/>
      <c r="T43" s="133"/>
      <c r="U43" s="133"/>
      <c r="V43" s="133"/>
      <c r="W43" s="133"/>
      <c r="X43" s="133"/>
      <c r="Y43" s="133"/>
      <c r="Z43" s="133"/>
      <c r="AA43" s="133"/>
      <c r="AB43" s="133"/>
      <c r="AC43" s="133"/>
      <c r="AD43" s="133"/>
      <c r="AE43" s="133"/>
      <c r="AF43" s="133"/>
    </row>
    <row r="44" spans="1:32">
      <c r="C44" s="136" t="s">
        <v>858</v>
      </c>
      <c r="D44" s="137" t="s">
        <v>859</v>
      </c>
      <c r="E44" s="136" t="s">
        <v>858</v>
      </c>
      <c r="F44" s="137" t="s">
        <v>859</v>
      </c>
      <c r="G44" s="133"/>
      <c r="H44" s="133"/>
      <c r="I44" s="133"/>
      <c r="J44" s="133"/>
      <c r="K44" s="133"/>
      <c r="L44" s="133"/>
      <c r="M44" s="133"/>
      <c r="N44" s="133"/>
      <c r="O44" s="133"/>
      <c r="P44" s="133"/>
      <c r="Q44" s="133"/>
      <c r="R44" s="133"/>
      <c r="S44" s="133"/>
      <c r="T44" s="133"/>
      <c r="U44" s="133"/>
      <c r="V44" s="133"/>
      <c r="W44" s="133"/>
      <c r="X44" s="133"/>
      <c r="Y44" s="133"/>
      <c r="Z44" s="133"/>
      <c r="AA44" s="133"/>
      <c r="AB44" s="133"/>
      <c r="AC44" s="133"/>
      <c r="AD44" s="133"/>
      <c r="AE44" s="133"/>
      <c r="AF44" s="133"/>
    </row>
    <row r="45" spans="1:32" ht="14.5" thickBot="1">
      <c r="A45" s="138" t="s">
        <v>860</v>
      </c>
      <c r="B45" s="139" t="s">
        <v>861</v>
      </c>
      <c r="C45" s="142" t="s">
        <v>862</v>
      </c>
      <c r="D45" s="143" t="s">
        <v>863</v>
      </c>
      <c r="E45" s="142" t="s">
        <v>862</v>
      </c>
      <c r="F45" s="143" t="s">
        <v>863</v>
      </c>
      <c r="G45" s="133"/>
      <c r="H45" s="133"/>
      <c r="I45" s="133"/>
      <c r="J45" s="133"/>
      <c r="K45" s="133"/>
      <c r="L45" s="133"/>
      <c r="M45" s="133"/>
      <c r="N45" s="133"/>
      <c r="O45" s="133"/>
      <c r="P45" s="133"/>
      <c r="Q45" s="133"/>
      <c r="R45" s="133"/>
      <c r="S45" s="133"/>
      <c r="T45" s="133"/>
      <c r="U45" s="133"/>
      <c r="V45" s="133"/>
      <c r="W45" s="133"/>
      <c r="X45" s="133"/>
      <c r="Y45" s="133"/>
      <c r="Z45" s="133"/>
      <c r="AA45" s="133"/>
      <c r="AB45" s="133"/>
      <c r="AC45" s="133"/>
      <c r="AD45" s="133"/>
      <c r="AE45" s="133"/>
      <c r="AF45" s="133"/>
    </row>
    <row r="46" spans="1:32">
      <c r="A46" s="144">
        <v>18</v>
      </c>
      <c r="B46" s="145" t="s">
        <v>871</v>
      </c>
      <c r="C46" s="187">
        <v>1.61130899376669</v>
      </c>
      <c r="D46" s="188">
        <v>3.2218844984802399</v>
      </c>
      <c r="E46" s="187">
        <v>2.6576135351736401</v>
      </c>
      <c r="F46" s="188">
        <v>12.55</v>
      </c>
      <c r="G46" s="133"/>
      <c r="H46" s="133"/>
      <c r="I46" s="133"/>
      <c r="J46" s="133"/>
      <c r="K46" s="133"/>
      <c r="L46" s="133"/>
      <c r="M46" s="133"/>
      <c r="N46" s="133"/>
      <c r="O46" s="133"/>
      <c r="P46" s="133"/>
      <c r="Q46" s="133"/>
      <c r="R46" s="133"/>
      <c r="S46" s="133"/>
      <c r="T46" s="133"/>
      <c r="U46" s="133"/>
      <c r="V46" s="133"/>
      <c r="W46" s="133"/>
      <c r="X46" s="133"/>
      <c r="Y46" s="133"/>
      <c r="Z46" s="133"/>
      <c r="AA46" s="133"/>
      <c r="AB46" s="133"/>
      <c r="AC46" s="133"/>
      <c r="AD46" s="133"/>
      <c r="AE46" s="133"/>
      <c r="AF46" s="133"/>
    </row>
    <row r="47" spans="1:32">
      <c r="A47" s="150"/>
      <c r="B47" s="151"/>
      <c r="C47" s="187">
        <v>2.1366874443455002</v>
      </c>
      <c r="D47" s="188">
        <v>6.5045592705167099</v>
      </c>
      <c r="E47" s="187">
        <v>3.1696349065004399</v>
      </c>
      <c r="F47" s="188">
        <v>8.3282674772036405</v>
      </c>
      <c r="G47" s="133"/>
      <c r="H47" s="133"/>
      <c r="I47" s="133"/>
      <c r="J47" s="133"/>
      <c r="K47" s="133"/>
      <c r="L47" s="133"/>
      <c r="M47" s="133"/>
      <c r="N47" s="133"/>
      <c r="O47" s="133"/>
      <c r="P47" s="133"/>
      <c r="Q47" s="133"/>
      <c r="R47" s="133"/>
      <c r="S47" s="133"/>
      <c r="T47" s="133"/>
      <c r="U47" s="133"/>
      <c r="V47" s="133"/>
      <c r="W47" s="133"/>
      <c r="X47" s="133"/>
      <c r="Y47" s="133"/>
      <c r="Z47" s="133"/>
      <c r="AA47" s="133"/>
      <c r="AB47" s="133"/>
      <c r="AC47" s="133"/>
      <c r="AD47" s="133"/>
      <c r="AE47" s="133"/>
      <c r="AF47" s="133"/>
    </row>
    <row r="48" spans="1:32">
      <c r="A48" s="150"/>
      <c r="B48" s="151"/>
      <c r="C48" s="187">
        <v>2.6576135351736401</v>
      </c>
      <c r="D48" s="188">
        <v>9.5744680851063801</v>
      </c>
      <c r="E48" s="187">
        <v>3.68610863757791</v>
      </c>
      <c r="F48" s="188">
        <v>4</v>
      </c>
      <c r="G48" s="133"/>
      <c r="H48" s="133"/>
      <c r="I48" s="133"/>
      <c r="J48" s="133"/>
      <c r="K48" s="133"/>
      <c r="L48" s="133"/>
      <c r="M48" s="133"/>
      <c r="N48" s="133"/>
      <c r="O48" s="133"/>
      <c r="P48" s="133"/>
      <c r="Q48" s="133"/>
      <c r="R48" s="133"/>
      <c r="S48" s="133"/>
      <c r="T48" s="133"/>
      <c r="U48" s="133"/>
      <c r="V48" s="133"/>
      <c r="W48" s="133"/>
      <c r="X48" s="133"/>
      <c r="Y48" s="133"/>
      <c r="Z48" s="133"/>
      <c r="AA48" s="133"/>
      <c r="AB48" s="133"/>
      <c r="AC48" s="133"/>
      <c r="AD48" s="133"/>
      <c r="AE48" s="133"/>
      <c r="AF48" s="133"/>
    </row>
    <row r="49" spans="1:32">
      <c r="A49" s="150"/>
      <c r="B49" s="151"/>
      <c r="C49" s="187">
        <v>3.1651825467497701</v>
      </c>
      <c r="D49" s="188">
        <v>15.2</v>
      </c>
      <c r="E49" s="187">
        <v>4.1892252894033799</v>
      </c>
      <c r="F49" s="188">
        <v>2.95</v>
      </c>
      <c r="G49" s="133"/>
      <c r="H49" s="133"/>
      <c r="I49" s="133"/>
      <c r="J49" s="133"/>
      <c r="K49" s="133"/>
      <c r="L49" s="133"/>
      <c r="M49" s="133"/>
      <c r="N49" s="133"/>
      <c r="O49" s="133"/>
      <c r="P49" s="133"/>
      <c r="Q49" s="133"/>
      <c r="R49" s="133"/>
      <c r="S49" s="133"/>
      <c r="T49" s="133"/>
      <c r="U49" s="133"/>
      <c r="V49" s="133"/>
      <c r="W49" s="133"/>
      <c r="X49" s="133"/>
      <c r="Y49" s="133"/>
      <c r="Z49" s="133"/>
      <c r="AA49" s="133"/>
      <c r="AB49" s="133"/>
      <c r="AC49" s="133"/>
      <c r="AD49" s="133"/>
      <c r="AE49" s="133"/>
      <c r="AF49" s="133"/>
    </row>
    <row r="50" spans="1:32">
      <c r="A50" s="150"/>
      <c r="B50" s="151"/>
      <c r="C50" s="187">
        <v>3.68</v>
      </c>
      <c r="D50" s="188">
        <v>20</v>
      </c>
      <c r="E50" s="187">
        <v>4.6967943009795103</v>
      </c>
      <c r="F50" s="188">
        <v>2</v>
      </c>
      <c r="G50" s="133"/>
      <c r="H50" s="133"/>
      <c r="I50" s="133"/>
      <c r="J50" s="133"/>
      <c r="K50" s="133"/>
      <c r="L50" s="133"/>
      <c r="M50" s="133"/>
      <c r="N50" s="133"/>
      <c r="O50" s="133"/>
      <c r="P50" s="133"/>
      <c r="Q50" s="133"/>
      <c r="R50" s="133"/>
      <c r="S50" s="133"/>
      <c r="T50" s="133"/>
      <c r="U50" s="133"/>
      <c r="V50" s="133"/>
      <c r="W50" s="133"/>
      <c r="X50" s="133"/>
      <c r="Y50" s="133"/>
      <c r="Z50" s="133"/>
      <c r="AA50" s="133"/>
      <c r="AB50" s="133"/>
      <c r="AC50" s="133"/>
      <c r="AD50" s="133"/>
      <c r="AE50" s="133"/>
      <c r="AF50" s="133"/>
    </row>
    <row r="51" spans="1:32">
      <c r="A51" s="150"/>
      <c r="B51" s="151"/>
      <c r="C51" s="178"/>
      <c r="D51" s="179"/>
      <c r="E51" s="187">
        <v>5.1999109528049798</v>
      </c>
      <c r="F51" s="188">
        <v>0.51671732522796299</v>
      </c>
      <c r="G51" s="133"/>
      <c r="H51" s="133"/>
      <c r="I51" s="133"/>
      <c r="J51" s="133"/>
      <c r="K51" s="133"/>
      <c r="L51" s="133"/>
      <c r="M51" s="133"/>
      <c r="N51" s="133"/>
      <c r="O51" s="133"/>
      <c r="P51" s="133"/>
      <c r="Q51" s="133"/>
      <c r="R51" s="133"/>
      <c r="S51" s="133"/>
      <c r="T51" s="133"/>
      <c r="U51" s="133"/>
      <c r="V51" s="133"/>
      <c r="W51" s="133"/>
      <c r="X51" s="133"/>
      <c r="Y51" s="133"/>
      <c r="Z51" s="133"/>
      <c r="AA51" s="133"/>
      <c r="AB51" s="133"/>
      <c r="AC51" s="133"/>
      <c r="AD51" s="133"/>
      <c r="AE51" s="133"/>
      <c r="AF51" s="133"/>
    </row>
    <row r="52" spans="1:32">
      <c r="A52" s="150"/>
      <c r="B52" s="151"/>
      <c r="C52" s="178"/>
      <c r="D52" s="179"/>
      <c r="E52" s="187">
        <v>5.6941228851291097</v>
      </c>
      <c r="F52" s="188">
        <v>1.0030395136778101</v>
      </c>
      <c r="G52" s="133"/>
      <c r="H52" s="133"/>
      <c r="I52" s="133"/>
      <c r="J52" s="133"/>
      <c r="K52" s="133"/>
      <c r="L52" s="133"/>
      <c r="M52" s="133"/>
      <c r="N52" s="133"/>
      <c r="O52" s="133"/>
      <c r="P52" s="133"/>
      <c r="Q52" s="133"/>
      <c r="R52" s="133"/>
      <c r="S52" s="133"/>
      <c r="T52" s="133"/>
      <c r="U52" s="133"/>
      <c r="V52" s="133"/>
      <c r="W52" s="133"/>
      <c r="X52" s="133"/>
      <c r="Y52" s="133"/>
      <c r="Z52" s="133"/>
      <c r="AA52" s="133"/>
      <c r="AB52" s="133"/>
      <c r="AC52" s="133"/>
      <c r="AD52" s="133"/>
      <c r="AE52" s="133"/>
      <c r="AF52" s="133"/>
    </row>
    <row r="53" spans="1:32">
      <c r="A53" s="150"/>
      <c r="B53" s="151"/>
      <c r="C53" s="178"/>
      <c r="D53" s="179"/>
      <c r="E53" s="187">
        <v>6.1883348174532502</v>
      </c>
      <c r="F53" s="188">
        <v>1</v>
      </c>
      <c r="G53" s="133"/>
      <c r="H53" s="133"/>
      <c r="I53" s="133"/>
      <c r="J53" s="133"/>
      <c r="K53" s="133"/>
      <c r="L53" s="133"/>
      <c r="M53" s="133"/>
      <c r="N53" s="133"/>
      <c r="O53" s="133"/>
      <c r="P53" s="133"/>
      <c r="Q53" s="133"/>
      <c r="R53" s="133"/>
      <c r="S53" s="133"/>
      <c r="T53" s="133"/>
      <c r="U53" s="133"/>
      <c r="V53" s="133"/>
      <c r="W53" s="133"/>
      <c r="X53" s="133"/>
      <c r="Y53" s="133"/>
      <c r="Z53" s="133"/>
      <c r="AA53" s="133"/>
      <c r="AB53" s="133"/>
      <c r="AC53" s="133"/>
      <c r="AD53" s="133"/>
      <c r="AE53" s="133"/>
      <c r="AF53" s="133"/>
    </row>
    <row r="54" spans="1:32">
      <c r="A54" s="150"/>
      <c r="B54" s="151"/>
      <c r="C54" s="178"/>
      <c r="D54" s="179"/>
      <c r="E54" s="189"/>
      <c r="F54" s="190"/>
      <c r="G54" s="133"/>
      <c r="H54" s="133"/>
      <c r="I54" s="133"/>
      <c r="J54" s="133"/>
      <c r="K54" s="133"/>
      <c r="L54" s="133"/>
      <c r="M54" s="133"/>
      <c r="N54" s="133"/>
      <c r="O54" s="133"/>
      <c r="P54" s="133"/>
      <c r="Q54" s="133"/>
      <c r="R54" s="133"/>
      <c r="S54" s="133"/>
      <c r="T54" s="133"/>
      <c r="U54" s="133"/>
      <c r="V54" s="133"/>
      <c r="W54" s="133"/>
      <c r="X54" s="133"/>
      <c r="Y54" s="133"/>
      <c r="Z54" s="133"/>
      <c r="AA54" s="133"/>
      <c r="AB54" s="133"/>
      <c r="AC54" s="133"/>
      <c r="AD54" s="133"/>
      <c r="AE54" s="133"/>
      <c r="AF54" s="133"/>
    </row>
    <row r="55" spans="1:32" ht="14.5" thickBot="1">
      <c r="A55" s="159"/>
      <c r="B55" s="160"/>
      <c r="C55" s="181"/>
      <c r="D55" s="182"/>
      <c r="E55" s="183"/>
      <c r="F55" s="182"/>
      <c r="G55" s="133"/>
      <c r="H55" s="133"/>
      <c r="I55" s="133"/>
      <c r="J55" s="133"/>
      <c r="K55" s="133"/>
      <c r="L55" s="133"/>
      <c r="M55" s="133"/>
      <c r="N55" s="133"/>
      <c r="O55" s="133"/>
      <c r="P55" s="133"/>
      <c r="Q55" s="133"/>
      <c r="R55" s="133"/>
      <c r="S55" s="133"/>
      <c r="T55" s="133"/>
      <c r="U55" s="133"/>
      <c r="V55" s="133"/>
      <c r="W55" s="133"/>
      <c r="X55" s="133"/>
      <c r="Y55" s="133"/>
      <c r="Z55" s="133"/>
      <c r="AA55" s="133"/>
      <c r="AB55" s="133"/>
      <c r="AC55" s="133"/>
      <c r="AD55" s="133"/>
      <c r="AE55" s="133"/>
      <c r="AF55" s="133"/>
    </row>
    <row r="56" spans="1:32">
      <c r="G56" s="133"/>
      <c r="H56" s="133"/>
      <c r="I56" s="133"/>
      <c r="J56" s="133"/>
      <c r="K56" s="133"/>
      <c r="L56" s="133"/>
      <c r="M56" s="133"/>
      <c r="N56" s="133"/>
      <c r="O56" s="133"/>
      <c r="P56" s="133"/>
      <c r="Q56" s="133"/>
      <c r="R56" s="133"/>
      <c r="S56" s="133"/>
      <c r="T56" s="133"/>
      <c r="U56" s="133"/>
      <c r="V56" s="133"/>
      <c r="W56" s="133"/>
      <c r="X56" s="133"/>
      <c r="Y56" s="133"/>
      <c r="Z56" s="133"/>
      <c r="AA56" s="133"/>
      <c r="AB56" s="133"/>
      <c r="AC56" s="133"/>
      <c r="AD56" s="133"/>
      <c r="AE56" s="133"/>
      <c r="AF56" s="133"/>
    </row>
    <row r="57" spans="1:32">
      <c r="G57" s="133"/>
      <c r="H57" s="133"/>
      <c r="I57" s="133"/>
      <c r="J57" s="133"/>
      <c r="K57" s="133"/>
      <c r="L57" s="133"/>
      <c r="M57" s="133"/>
      <c r="N57" s="133"/>
      <c r="O57" s="133"/>
      <c r="P57" s="133"/>
      <c r="Q57" s="133"/>
      <c r="R57" s="133"/>
      <c r="S57" s="133"/>
      <c r="T57" s="133"/>
      <c r="U57" s="133"/>
      <c r="V57" s="133"/>
      <c r="W57" s="133"/>
      <c r="X57" s="133"/>
      <c r="Y57" s="133"/>
      <c r="Z57" s="133"/>
      <c r="AA57" s="133"/>
      <c r="AB57" s="133"/>
      <c r="AC57" s="133"/>
      <c r="AD57" s="133"/>
      <c r="AE57" s="133"/>
      <c r="AF57" s="133"/>
    </row>
    <row r="58" spans="1:32">
      <c r="A58" s="130"/>
      <c r="B58" s="130"/>
      <c r="C58" s="184" t="s">
        <v>872</v>
      </c>
      <c r="D58" s="130"/>
      <c r="E58" s="130"/>
      <c r="F58" s="185" t="s">
        <v>870</v>
      </c>
      <c r="G58" s="133"/>
      <c r="H58" s="133"/>
      <c r="I58" s="133"/>
      <c r="J58" s="133"/>
      <c r="K58" s="133"/>
      <c r="L58" s="133"/>
      <c r="M58" s="133"/>
      <c r="N58" s="133"/>
      <c r="O58" s="133"/>
      <c r="P58" s="133"/>
      <c r="Q58" s="133"/>
      <c r="R58" s="133"/>
      <c r="S58" s="133"/>
      <c r="T58" s="133"/>
      <c r="U58" s="133"/>
      <c r="V58" s="133"/>
      <c r="W58" s="133"/>
      <c r="X58" s="133"/>
      <c r="Y58" s="133"/>
      <c r="Z58" s="133"/>
      <c r="AA58" s="133"/>
      <c r="AB58" s="133"/>
      <c r="AC58" s="133"/>
      <c r="AD58" s="133"/>
      <c r="AE58" s="133"/>
      <c r="AF58" s="133"/>
    </row>
    <row r="59" spans="1:32">
      <c r="C59" s="186" t="s">
        <v>856</v>
      </c>
      <c r="D59" s="186" t="s">
        <v>856</v>
      </c>
      <c r="G59" s="133"/>
      <c r="H59" s="133"/>
      <c r="I59" s="133"/>
      <c r="J59" s="133"/>
      <c r="K59" s="133"/>
      <c r="L59" s="133"/>
      <c r="M59" s="133"/>
      <c r="N59" s="133"/>
      <c r="O59" s="133"/>
      <c r="P59" s="133"/>
      <c r="Q59" s="133"/>
      <c r="R59" s="133"/>
      <c r="S59" s="133"/>
      <c r="T59" s="133"/>
      <c r="U59" s="133"/>
      <c r="V59" s="133"/>
      <c r="W59" s="133"/>
      <c r="X59" s="133"/>
      <c r="Y59" s="133"/>
      <c r="Z59" s="133"/>
      <c r="AA59" s="133"/>
      <c r="AB59" s="133"/>
      <c r="AC59" s="133"/>
      <c r="AD59" s="133"/>
      <c r="AE59" s="133"/>
      <c r="AF59" s="133"/>
    </row>
    <row r="60" spans="1:32" ht="14.5" thickBot="1">
      <c r="C60" s="134" t="s">
        <v>813</v>
      </c>
      <c r="D60" s="134" t="s">
        <v>813</v>
      </c>
      <c r="E60" s="135" t="s">
        <v>857</v>
      </c>
      <c r="F60" s="135" t="s">
        <v>857</v>
      </c>
      <c r="G60" s="133"/>
      <c r="H60" s="133"/>
      <c r="I60" s="133"/>
      <c r="J60" s="133"/>
      <c r="K60" s="133"/>
      <c r="L60" s="133"/>
      <c r="M60" s="133"/>
      <c r="N60" s="133"/>
      <c r="O60" s="133"/>
      <c r="P60" s="133"/>
      <c r="Q60" s="133"/>
      <c r="R60" s="133"/>
      <c r="S60" s="133"/>
      <c r="T60" s="133"/>
      <c r="U60" s="133"/>
      <c r="V60" s="133"/>
      <c r="W60" s="133"/>
      <c r="X60" s="133"/>
      <c r="Y60" s="133"/>
      <c r="Z60" s="133"/>
      <c r="AA60" s="133"/>
      <c r="AB60" s="133"/>
      <c r="AC60" s="133"/>
      <c r="AD60" s="133"/>
      <c r="AE60" s="133"/>
      <c r="AF60" s="133"/>
    </row>
    <row r="61" spans="1:32">
      <c r="C61" s="136" t="s">
        <v>858</v>
      </c>
      <c r="D61" s="137" t="s">
        <v>859</v>
      </c>
      <c r="E61" s="136" t="s">
        <v>858</v>
      </c>
      <c r="F61" s="137" t="s">
        <v>859</v>
      </c>
      <c r="G61" s="133"/>
      <c r="H61" s="133"/>
      <c r="I61" s="133"/>
      <c r="J61" s="133"/>
      <c r="K61" s="133"/>
      <c r="L61" s="133"/>
      <c r="M61" s="133"/>
      <c r="N61" s="133"/>
      <c r="O61" s="133"/>
      <c r="P61" s="133"/>
      <c r="Q61" s="133"/>
      <c r="R61" s="133"/>
      <c r="S61" s="133"/>
      <c r="T61" s="133"/>
      <c r="U61" s="133"/>
      <c r="V61" s="133"/>
      <c r="W61" s="133"/>
      <c r="X61" s="133"/>
      <c r="Y61" s="133"/>
      <c r="Z61" s="133"/>
      <c r="AA61" s="133"/>
      <c r="AB61" s="133"/>
      <c r="AC61" s="133"/>
      <c r="AD61" s="133"/>
      <c r="AE61" s="133"/>
      <c r="AF61" s="133"/>
    </row>
    <row r="62" spans="1:32" ht="14.5" thickBot="1">
      <c r="A62" s="138" t="s">
        <v>860</v>
      </c>
      <c r="B62" s="139" t="s">
        <v>861</v>
      </c>
      <c r="C62" s="142" t="s">
        <v>862</v>
      </c>
      <c r="D62" s="143" t="s">
        <v>863</v>
      </c>
      <c r="E62" s="142" t="s">
        <v>862</v>
      </c>
      <c r="F62" s="143" t="s">
        <v>863</v>
      </c>
      <c r="G62" s="133"/>
      <c r="H62" s="133"/>
      <c r="I62" s="133"/>
      <c r="J62" s="133"/>
      <c r="K62" s="133"/>
      <c r="L62" s="133"/>
      <c r="M62" s="133"/>
      <c r="N62" s="133"/>
      <c r="O62" s="133"/>
      <c r="P62" s="133"/>
      <c r="Q62" s="133"/>
      <c r="R62" s="133"/>
      <c r="S62" s="133"/>
      <c r="T62" s="133"/>
      <c r="U62" s="133"/>
      <c r="V62" s="133"/>
      <c r="W62" s="133"/>
      <c r="X62" s="133"/>
      <c r="Y62" s="133"/>
      <c r="Z62" s="133"/>
      <c r="AA62" s="133"/>
      <c r="AB62" s="133"/>
      <c r="AC62" s="133"/>
      <c r="AD62" s="133"/>
      <c r="AE62" s="133"/>
      <c r="AF62" s="133"/>
    </row>
    <row r="63" spans="1:32">
      <c r="A63" s="144">
        <v>19</v>
      </c>
      <c r="B63" s="145" t="s">
        <v>871</v>
      </c>
      <c r="C63" s="187">
        <v>1.6063829787234001</v>
      </c>
      <c r="D63" s="188">
        <v>2.83559577677224</v>
      </c>
      <c r="E63" s="187">
        <v>3.67</v>
      </c>
      <c r="F63" s="188">
        <v>15.082956259426799</v>
      </c>
      <c r="G63" s="133"/>
      <c r="H63" s="133"/>
      <c r="I63" s="133"/>
      <c r="J63" s="133"/>
      <c r="K63" s="133"/>
      <c r="L63" s="133"/>
      <c r="M63" s="133"/>
      <c r="N63" s="133"/>
      <c r="O63" s="133"/>
      <c r="P63" s="133"/>
      <c r="Q63" s="133"/>
      <c r="R63" s="133"/>
      <c r="S63" s="133"/>
      <c r="T63" s="133"/>
      <c r="U63" s="133"/>
      <c r="V63" s="133"/>
      <c r="W63" s="133"/>
      <c r="X63" s="133"/>
      <c r="Y63" s="133"/>
      <c r="Z63" s="133"/>
      <c r="AA63" s="133"/>
      <c r="AB63" s="133"/>
      <c r="AC63" s="133"/>
      <c r="AD63" s="133"/>
      <c r="AE63" s="133"/>
      <c r="AF63" s="133"/>
    </row>
    <row r="64" spans="1:32">
      <c r="A64" s="191"/>
      <c r="B64" s="192"/>
      <c r="C64" s="187">
        <v>2.13</v>
      </c>
      <c r="D64" s="188">
        <v>4.3</v>
      </c>
      <c r="E64" s="187">
        <v>4.18</v>
      </c>
      <c r="F64" s="188">
        <v>9.6530920060331802</v>
      </c>
      <c r="G64" s="133"/>
      <c r="H64" s="133"/>
      <c r="I64" s="133"/>
      <c r="J64" s="133"/>
      <c r="K64" s="133"/>
      <c r="L64" s="133"/>
      <c r="M64" s="133"/>
      <c r="N64" s="133"/>
      <c r="O64" s="133"/>
      <c r="P64" s="133"/>
      <c r="Q64" s="133"/>
      <c r="R64" s="133"/>
      <c r="S64" s="133"/>
      <c r="T64" s="133"/>
      <c r="U64" s="133"/>
      <c r="V64" s="133"/>
      <c r="W64" s="133"/>
      <c r="X64" s="133"/>
      <c r="Y64" s="133"/>
      <c r="Z64" s="133"/>
      <c r="AA64" s="133"/>
      <c r="AB64" s="133"/>
      <c r="AC64" s="133"/>
      <c r="AD64" s="133"/>
      <c r="AE64" s="133"/>
      <c r="AF64" s="133"/>
    </row>
    <row r="65" spans="1:32">
      <c r="A65" s="191"/>
      <c r="B65" s="192"/>
      <c r="C65" s="187">
        <v>2.6569148936170199</v>
      </c>
      <c r="D65" s="188">
        <v>4.2533936651583701</v>
      </c>
      <c r="E65" s="187">
        <v>4.6959219858156001</v>
      </c>
      <c r="F65" s="188">
        <v>7.1493212669683199</v>
      </c>
      <c r="G65" s="133"/>
      <c r="H65" s="133"/>
      <c r="I65" s="133"/>
      <c r="J65" s="133"/>
      <c r="K65" s="133"/>
      <c r="L65" s="133"/>
      <c r="M65" s="133"/>
      <c r="N65" s="133"/>
      <c r="O65" s="133"/>
      <c r="P65" s="133"/>
      <c r="Q65" s="133"/>
      <c r="R65" s="133"/>
      <c r="S65" s="133"/>
      <c r="T65" s="133"/>
      <c r="U65" s="133"/>
      <c r="V65" s="133"/>
      <c r="W65" s="133"/>
      <c r="X65" s="133"/>
      <c r="Y65" s="133"/>
      <c r="Z65" s="133"/>
      <c r="AA65" s="133"/>
      <c r="AB65" s="133"/>
      <c r="AC65" s="133"/>
      <c r="AD65" s="133"/>
      <c r="AE65" s="133"/>
      <c r="AF65" s="133"/>
    </row>
    <row r="66" spans="1:32">
      <c r="A66" s="191"/>
      <c r="B66" s="192"/>
      <c r="C66" s="187">
        <v>3.16</v>
      </c>
      <c r="D66" s="188">
        <v>5.62</v>
      </c>
      <c r="E66" s="187">
        <v>5.19237588652482</v>
      </c>
      <c r="F66" s="188">
        <v>5.6108597285067798</v>
      </c>
      <c r="G66" s="133"/>
      <c r="H66" s="133"/>
      <c r="I66" s="133"/>
      <c r="J66" s="133"/>
      <c r="K66" s="133"/>
      <c r="L66" s="133"/>
      <c r="M66" s="133"/>
      <c r="N66" s="133"/>
      <c r="O66" s="133"/>
      <c r="P66" s="133"/>
      <c r="Q66" s="133"/>
      <c r="R66" s="133"/>
      <c r="S66" s="133"/>
      <c r="T66" s="133"/>
      <c r="U66" s="133"/>
      <c r="V66" s="133"/>
      <c r="W66" s="133"/>
      <c r="X66" s="133"/>
      <c r="Y66" s="133"/>
      <c r="Z66" s="133"/>
      <c r="AA66" s="133"/>
      <c r="AB66" s="133"/>
      <c r="AC66" s="133"/>
      <c r="AD66" s="133"/>
      <c r="AE66" s="133"/>
      <c r="AF66" s="133"/>
    </row>
    <row r="67" spans="1:32">
      <c r="A67" s="191"/>
      <c r="B67" s="192"/>
      <c r="C67" s="187">
        <v>3.68</v>
      </c>
      <c r="D67" s="188">
        <v>5.8220211161387603</v>
      </c>
      <c r="E67" s="187">
        <v>5.69</v>
      </c>
      <c r="F67" s="188">
        <v>1.44796380090497</v>
      </c>
      <c r="G67" s="133"/>
      <c r="H67" s="133"/>
      <c r="I67" s="133"/>
      <c r="J67" s="133"/>
      <c r="K67" s="133"/>
      <c r="L67" s="133"/>
      <c r="M67" s="133"/>
      <c r="N67" s="133"/>
      <c r="O67" s="133"/>
      <c r="P67" s="133"/>
      <c r="Q67" s="133"/>
      <c r="R67" s="133"/>
      <c r="S67" s="133"/>
      <c r="T67" s="133"/>
      <c r="U67" s="133"/>
      <c r="V67" s="133"/>
      <c r="W67" s="133"/>
      <c r="X67" s="133"/>
      <c r="Y67" s="133"/>
      <c r="Z67" s="133"/>
      <c r="AA67" s="133"/>
      <c r="AB67" s="133"/>
      <c r="AC67" s="133"/>
      <c r="AD67" s="133"/>
      <c r="AE67" s="133"/>
      <c r="AF67" s="133"/>
    </row>
    <row r="68" spans="1:32">
      <c r="A68" s="191"/>
      <c r="B68" s="192"/>
      <c r="C68" s="187">
        <v>4.1861702127659504</v>
      </c>
      <c r="D68" s="188">
        <v>10.1357466063348</v>
      </c>
      <c r="E68" s="187">
        <v>6.18</v>
      </c>
      <c r="F68" s="188">
        <v>0.93514328808446401</v>
      </c>
      <c r="G68" s="133"/>
      <c r="H68" s="133"/>
      <c r="I68" s="133"/>
      <c r="J68" s="133"/>
      <c r="K68" s="133"/>
      <c r="L68" s="133"/>
      <c r="M68" s="133"/>
      <c r="N68" s="133"/>
      <c r="O68" s="133"/>
      <c r="P68" s="133"/>
      <c r="Q68" s="133"/>
      <c r="R68" s="133"/>
      <c r="S68" s="133"/>
      <c r="T68" s="133"/>
      <c r="U68" s="133"/>
      <c r="V68" s="133"/>
      <c r="W68" s="133"/>
      <c r="X68" s="133"/>
      <c r="Y68" s="133"/>
      <c r="Z68" s="133"/>
      <c r="AA68" s="133"/>
      <c r="AB68" s="133"/>
      <c r="AC68" s="133"/>
      <c r="AD68" s="133"/>
      <c r="AE68" s="133"/>
      <c r="AF68" s="133"/>
    </row>
    <row r="69" spans="1:32">
      <c r="A69" s="191"/>
      <c r="B69" s="192"/>
      <c r="C69" s="187">
        <v>4.6749999999999998</v>
      </c>
      <c r="D69" s="188">
        <v>15.3</v>
      </c>
      <c r="E69" s="193"/>
      <c r="F69" s="194"/>
      <c r="G69" s="133"/>
      <c r="H69" s="133"/>
      <c r="I69" s="133"/>
      <c r="J69" s="133"/>
      <c r="K69" s="133"/>
      <c r="L69" s="133"/>
      <c r="M69" s="133"/>
      <c r="N69" s="133"/>
      <c r="O69" s="133"/>
      <c r="P69" s="133"/>
      <c r="Q69" s="133"/>
      <c r="R69" s="133"/>
      <c r="S69" s="133"/>
      <c r="T69" s="133"/>
      <c r="U69" s="133"/>
      <c r="V69" s="133"/>
      <c r="W69" s="133"/>
      <c r="X69" s="133"/>
      <c r="Y69" s="133"/>
      <c r="Z69" s="133"/>
      <c r="AA69" s="133"/>
      <c r="AB69" s="133"/>
      <c r="AC69" s="133"/>
      <c r="AD69" s="133"/>
      <c r="AE69" s="133"/>
      <c r="AF69" s="133"/>
    </row>
    <row r="70" spans="1:32">
      <c r="A70" s="191"/>
      <c r="B70" s="192"/>
      <c r="C70" s="195"/>
      <c r="D70" s="196"/>
      <c r="E70" s="197"/>
      <c r="F70" s="194"/>
      <c r="G70" s="133"/>
      <c r="H70" s="133"/>
      <c r="I70" s="133"/>
      <c r="J70" s="133"/>
      <c r="K70" s="133"/>
      <c r="L70" s="133"/>
      <c r="M70" s="133"/>
      <c r="N70" s="133"/>
      <c r="O70" s="133"/>
      <c r="P70" s="133"/>
      <c r="Q70" s="133"/>
      <c r="R70" s="133"/>
      <c r="S70" s="133"/>
      <c r="T70" s="133"/>
      <c r="U70" s="133"/>
      <c r="V70" s="133"/>
      <c r="W70" s="133"/>
      <c r="X70" s="133"/>
      <c r="Y70" s="133"/>
      <c r="Z70" s="133"/>
      <c r="AA70" s="133"/>
      <c r="AB70" s="133"/>
      <c r="AC70" s="133"/>
      <c r="AD70" s="133"/>
      <c r="AE70" s="133"/>
      <c r="AF70" s="133"/>
    </row>
    <row r="71" spans="1:32">
      <c r="A71" s="191"/>
      <c r="B71" s="192"/>
      <c r="C71" s="195"/>
      <c r="D71" s="196"/>
      <c r="E71" s="193"/>
      <c r="F71" s="194"/>
      <c r="G71" s="133"/>
      <c r="H71" s="133"/>
      <c r="I71" s="133"/>
      <c r="J71" s="133"/>
      <c r="K71" s="133"/>
      <c r="L71" s="133"/>
      <c r="M71" s="133"/>
      <c r="N71" s="133"/>
      <c r="O71" s="133"/>
      <c r="P71" s="133"/>
      <c r="Q71" s="133"/>
      <c r="R71" s="133"/>
      <c r="S71" s="133"/>
      <c r="T71" s="133"/>
      <c r="U71" s="133"/>
      <c r="V71" s="133"/>
      <c r="W71" s="133"/>
      <c r="X71" s="133"/>
      <c r="Y71" s="133"/>
      <c r="Z71" s="133"/>
      <c r="AA71" s="133"/>
      <c r="AB71" s="133"/>
      <c r="AC71" s="133"/>
      <c r="AD71" s="133"/>
      <c r="AE71" s="133"/>
      <c r="AF71" s="133"/>
    </row>
    <row r="72" spans="1:32" ht="14.5" thickBot="1">
      <c r="A72" s="198"/>
      <c r="B72" s="199"/>
      <c r="C72" s="200"/>
      <c r="D72" s="201"/>
      <c r="E72" s="202"/>
      <c r="F72" s="203"/>
      <c r="G72" s="133"/>
      <c r="H72" s="133"/>
      <c r="I72" s="133"/>
      <c r="J72" s="133"/>
      <c r="K72" s="133"/>
      <c r="L72" s="133"/>
      <c r="M72" s="133"/>
      <c r="N72" s="133"/>
      <c r="O72" s="133"/>
      <c r="P72" s="133"/>
      <c r="Q72" s="133"/>
      <c r="R72" s="133"/>
      <c r="S72" s="133"/>
      <c r="T72" s="133"/>
      <c r="U72" s="133"/>
      <c r="V72" s="133"/>
      <c r="W72" s="133"/>
      <c r="X72" s="133"/>
      <c r="Y72" s="133"/>
      <c r="Z72" s="133"/>
      <c r="AA72" s="133"/>
      <c r="AB72" s="133"/>
      <c r="AC72" s="133"/>
      <c r="AD72" s="133"/>
      <c r="AE72" s="133"/>
      <c r="AF72" s="133"/>
    </row>
    <row r="73" spans="1:32">
      <c r="A73" s="204"/>
      <c r="B73" s="204"/>
      <c r="C73" s="204"/>
      <c r="D73" s="204"/>
      <c r="E73" s="204"/>
      <c r="F73" s="204"/>
      <c r="G73" s="133"/>
      <c r="H73" s="133"/>
      <c r="I73" s="133"/>
      <c r="J73" s="133"/>
      <c r="K73" s="133"/>
      <c r="L73" s="133"/>
      <c r="M73" s="133"/>
      <c r="N73" s="133"/>
      <c r="O73" s="133"/>
      <c r="P73" s="133"/>
      <c r="Q73" s="133"/>
      <c r="R73" s="133"/>
      <c r="S73" s="133"/>
      <c r="T73" s="133"/>
      <c r="U73" s="133"/>
      <c r="V73" s="133"/>
      <c r="W73" s="133"/>
      <c r="X73" s="133"/>
      <c r="Y73" s="133"/>
      <c r="Z73" s="133"/>
      <c r="AA73" s="133"/>
      <c r="AB73" s="133"/>
      <c r="AC73" s="133"/>
      <c r="AD73" s="133"/>
      <c r="AE73" s="133"/>
      <c r="AF73" s="133"/>
    </row>
    <row r="74" spans="1:32">
      <c r="A74" s="204"/>
      <c r="B74" s="204"/>
      <c r="C74" s="204"/>
      <c r="D74" s="204"/>
      <c r="E74" s="204"/>
      <c r="F74" s="204"/>
      <c r="G74" s="133"/>
      <c r="H74" s="133"/>
      <c r="I74" s="133"/>
      <c r="J74" s="133"/>
      <c r="K74" s="133"/>
      <c r="L74" s="133"/>
      <c r="M74" s="133"/>
      <c r="N74" s="133"/>
      <c r="O74" s="133"/>
      <c r="P74" s="133"/>
      <c r="Q74" s="133"/>
      <c r="R74" s="133"/>
      <c r="S74" s="133"/>
      <c r="T74" s="133"/>
      <c r="U74" s="133"/>
      <c r="V74" s="133"/>
      <c r="W74" s="133"/>
      <c r="X74" s="133"/>
      <c r="Y74" s="133"/>
      <c r="Z74" s="133"/>
      <c r="AA74" s="133"/>
      <c r="AB74" s="133"/>
      <c r="AC74" s="133"/>
      <c r="AD74" s="133"/>
      <c r="AE74" s="133"/>
      <c r="AF74" s="133"/>
    </row>
    <row r="75" spans="1:32">
      <c r="A75" s="130"/>
      <c r="B75" s="130"/>
      <c r="C75" s="184" t="s">
        <v>873</v>
      </c>
      <c r="D75" s="130"/>
      <c r="E75" s="130"/>
      <c r="F75" s="185" t="s">
        <v>870</v>
      </c>
      <c r="G75" s="133"/>
      <c r="H75" s="133"/>
      <c r="I75" s="133"/>
      <c r="J75" s="133"/>
      <c r="K75" s="133"/>
      <c r="L75" s="133"/>
      <c r="M75" s="133"/>
      <c r="N75" s="133"/>
      <c r="O75" s="133"/>
      <c r="P75" s="133"/>
      <c r="Q75" s="133"/>
      <c r="R75" s="133"/>
      <c r="S75" s="133"/>
      <c r="T75" s="133"/>
      <c r="U75" s="133"/>
      <c r="V75" s="133"/>
      <c r="W75" s="133"/>
      <c r="X75" s="133"/>
      <c r="Y75" s="133"/>
      <c r="Z75" s="133"/>
      <c r="AA75" s="133"/>
      <c r="AB75" s="133"/>
      <c r="AC75" s="133"/>
      <c r="AD75" s="133"/>
      <c r="AE75" s="133"/>
      <c r="AF75" s="133"/>
    </row>
    <row r="76" spans="1:32">
      <c r="C76" s="186" t="s">
        <v>856</v>
      </c>
      <c r="D76" s="186" t="s">
        <v>856</v>
      </c>
      <c r="G76" s="133"/>
      <c r="H76" s="133"/>
      <c r="I76" s="133"/>
      <c r="J76" s="133"/>
      <c r="K76" s="133"/>
      <c r="L76" s="133"/>
      <c r="M76" s="133"/>
      <c r="N76" s="133"/>
      <c r="O76" s="133"/>
      <c r="P76" s="133"/>
      <c r="Q76" s="133"/>
      <c r="R76" s="133"/>
      <c r="S76" s="133"/>
      <c r="T76" s="133"/>
      <c r="U76" s="133"/>
      <c r="V76" s="133"/>
      <c r="W76" s="133"/>
      <c r="X76" s="133"/>
      <c r="Y76" s="133"/>
      <c r="Z76" s="133"/>
      <c r="AA76" s="133"/>
      <c r="AB76" s="133"/>
      <c r="AC76" s="133"/>
      <c r="AD76" s="133"/>
      <c r="AE76" s="133"/>
      <c r="AF76" s="133"/>
    </row>
    <row r="77" spans="1:32" ht="14.5" thickBot="1">
      <c r="C77" s="134" t="s">
        <v>813</v>
      </c>
      <c r="D77" s="134" t="s">
        <v>813</v>
      </c>
      <c r="E77" s="135" t="s">
        <v>857</v>
      </c>
      <c r="F77" s="135" t="s">
        <v>857</v>
      </c>
      <c r="G77" s="133"/>
      <c r="H77" s="133"/>
      <c r="I77" s="133"/>
      <c r="J77" s="133"/>
      <c r="K77" s="133"/>
      <c r="L77" s="133"/>
      <c r="M77" s="133"/>
      <c r="N77" s="133"/>
      <c r="O77" s="133"/>
      <c r="P77" s="133"/>
      <c r="Q77" s="133"/>
      <c r="R77" s="133"/>
      <c r="S77" s="133"/>
      <c r="T77" s="133"/>
      <c r="U77" s="133"/>
      <c r="V77" s="133"/>
      <c r="W77" s="133"/>
      <c r="X77" s="133"/>
      <c r="Y77" s="133"/>
      <c r="Z77" s="133"/>
      <c r="AA77" s="133"/>
      <c r="AB77" s="133"/>
      <c r="AC77" s="133"/>
      <c r="AD77" s="133"/>
      <c r="AE77" s="133"/>
      <c r="AF77" s="133"/>
    </row>
    <row r="78" spans="1:32">
      <c r="C78" s="136" t="s">
        <v>858</v>
      </c>
      <c r="D78" s="137" t="s">
        <v>859</v>
      </c>
      <c r="E78" s="136" t="s">
        <v>858</v>
      </c>
      <c r="F78" s="137" t="s">
        <v>859</v>
      </c>
      <c r="G78" s="133"/>
      <c r="H78" s="133"/>
      <c r="I78" s="133"/>
      <c r="J78" s="133"/>
      <c r="K78" s="133"/>
      <c r="L78" s="133"/>
      <c r="M78" s="133"/>
      <c r="N78" s="133"/>
      <c r="O78" s="133"/>
      <c r="P78" s="133"/>
      <c r="Q78" s="133"/>
      <c r="R78" s="133"/>
      <c r="S78" s="133"/>
      <c r="T78" s="133"/>
      <c r="U78" s="133"/>
      <c r="V78" s="133"/>
      <c r="W78" s="133"/>
      <c r="X78" s="133"/>
      <c r="Y78" s="133"/>
      <c r="Z78" s="133"/>
      <c r="AA78" s="133"/>
      <c r="AB78" s="133"/>
      <c r="AC78" s="133"/>
      <c r="AD78" s="133"/>
      <c r="AE78" s="133"/>
      <c r="AF78" s="133"/>
    </row>
    <row r="79" spans="1:32" ht="14.5" thickBot="1">
      <c r="A79" s="138" t="s">
        <v>860</v>
      </c>
      <c r="B79" s="139" t="s">
        <v>861</v>
      </c>
      <c r="C79" s="142" t="s">
        <v>862</v>
      </c>
      <c r="D79" s="143" t="s">
        <v>863</v>
      </c>
      <c r="E79" s="205" t="s">
        <v>862</v>
      </c>
      <c r="F79" s="206" t="s">
        <v>863</v>
      </c>
      <c r="G79" s="133"/>
      <c r="H79" s="133"/>
      <c r="I79" s="133"/>
      <c r="J79" s="133"/>
      <c r="K79" s="133"/>
      <c r="L79" s="133"/>
      <c r="M79" s="133"/>
      <c r="N79" s="133"/>
      <c r="O79" s="133"/>
      <c r="P79" s="133"/>
      <c r="Q79" s="133"/>
      <c r="R79" s="133"/>
      <c r="S79" s="133"/>
      <c r="T79" s="133"/>
      <c r="U79" s="133"/>
      <c r="V79" s="133"/>
      <c r="W79" s="133"/>
      <c r="X79" s="133"/>
      <c r="Y79" s="133"/>
      <c r="Z79" s="133"/>
      <c r="AA79" s="133"/>
      <c r="AB79" s="133"/>
      <c r="AC79" s="133"/>
      <c r="AD79" s="133"/>
      <c r="AE79" s="133"/>
      <c r="AF79" s="133"/>
    </row>
    <row r="80" spans="1:32">
      <c r="A80" s="144">
        <v>19</v>
      </c>
      <c r="B80" s="145" t="s">
        <v>874</v>
      </c>
      <c r="C80" s="207">
        <v>1E-4</v>
      </c>
      <c r="D80" s="208">
        <v>0.95</v>
      </c>
      <c r="E80" s="187">
        <v>1.61</v>
      </c>
      <c r="F80" s="188">
        <v>17.850000000000001</v>
      </c>
      <c r="G80" s="133"/>
      <c r="H80" s="133"/>
      <c r="I80" s="133"/>
      <c r="J80" s="133"/>
      <c r="K80" s="133"/>
      <c r="L80" s="133"/>
      <c r="M80" s="133"/>
      <c r="N80" s="133"/>
      <c r="O80" s="133"/>
      <c r="P80" s="133"/>
      <c r="Q80" s="133"/>
      <c r="R80" s="133"/>
      <c r="S80" s="133"/>
      <c r="T80" s="133"/>
      <c r="U80" s="133"/>
      <c r="V80" s="133"/>
      <c r="W80" s="133"/>
      <c r="X80" s="133"/>
      <c r="Y80" s="133"/>
      <c r="Z80" s="133"/>
      <c r="AA80" s="133"/>
      <c r="AB80" s="133"/>
      <c r="AC80" s="133"/>
      <c r="AD80" s="133"/>
      <c r="AE80" s="133"/>
      <c r="AF80" s="133"/>
    </row>
    <row r="81" spans="1:32">
      <c r="A81" s="150"/>
      <c r="B81" s="151"/>
      <c r="C81" s="209">
        <v>0.54298642533936603</v>
      </c>
      <c r="D81" s="188">
        <v>1.4197530864197501</v>
      </c>
      <c r="E81" s="187">
        <v>2.1349999999999998</v>
      </c>
      <c r="F81" s="188">
        <v>11.8</v>
      </c>
      <c r="G81" s="133"/>
      <c r="H81" s="133"/>
      <c r="I81" s="133"/>
      <c r="J81" s="133"/>
      <c r="K81" s="133"/>
      <c r="L81" s="133"/>
      <c r="M81" s="133"/>
      <c r="N81" s="133"/>
      <c r="O81" s="133"/>
      <c r="P81" s="133"/>
      <c r="Q81" s="133"/>
      <c r="R81" s="133"/>
      <c r="S81" s="133"/>
      <c r="T81" s="133"/>
      <c r="U81" s="133"/>
      <c r="V81" s="133"/>
      <c r="W81" s="133"/>
      <c r="X81" s="133"/>
      <c r="Y81" s="133"/>
      <c r="Z81" s="133"/>
      <c r="AA81" s="133"/>
      <c r="AB81" s="133"/>
      <c r="AC81" s="133"/>
      <c r="AD81" s="133"/>
      <c r="AE81" s="133"/>
      <c r="AF81" s="133"/>
    </row>
    <row r="82" spans="1:32">
      <c r="A82" s="150"/>
      <c r="B82" s="151"/>
      <c r="C82" s="209">
        <v>1.07692307692307</v>
      </c>
      <c r="D82" s="188">
        <v>5.85</v>
      </c>
      <c r="E82" s="187">
        <v>2.66</v>
      </c>
      <c r="F82" s="188">
        <v>2.9249999999999998</v>
      </c>
      <c r="G82" s="133"/>
      <c r="H82" s="133"/>
      <c r="I82" s="133"/>
      <c r="J82" s="133"/>
      <c r="K82" s="133"/>
      <c r="L82" s="133"/>
      <c r="M82" s="133"/>
      <c r="N82" s="133"/>
      <c r="O82" s="133"/>
      <c r="P82" s="133"/>
      <c r="Q82" s="133"/>
      <c r="R82" s="133"/>
      <c r="S82" s="133"/>
      <c r="T82" s="133"/>
      <c r="U82" s="133"/>
      <c r="V82" s="133"/>
      <c r="W82" s="133"/>
      <c r="X82" s="133"/>
      <c r="Y82" s="133"/>
      <c r="Z82" s="133"/>
      <c r="AA82" s="133"/>
      <c r="AB82" s="133"/>
      <c r="AC82" s="133"/>
      <c r="AD82" s="133"/>
      <c r="AE82" s="133"/>
      <c r="AF82" s="133"/>
    </row>
    <row r="83" spans="1:32">
      <c r="A83" s="150"/>
      <c r="B83" s="151"/>
      <c r="C83" s="209">
        <v>1.605</v>
      </c>
      <c r="D83" s="188">
        <v>18.899999999999999</v>
      </c>
      <c r="E83" s="187">
        <v>3.1764705882352899</v>
      </c>
      <c r="F83" s="188">
        <v>1.425</v>
      </c>
      <c r="G83" s="133"/>
      <c r="H83" s="133"/>
      <c r="I83" s="133"/>
      <c r="J83" s="133"/>
      <c r="K83" s="133"/>
      <c r="L83" s="133"/>
      <c r="M83" s="133"/>
      <c r="N83" s="133"/>
      <c r="O83" s="133"/>
      <c r="P83" s="133"/>
      <c r="Q83" s="133"/>
      <c r="R83" s="133"/>
      <c r="S83" s="133"/>
      <c r="T83" s="133"/>
      <c r="U83" s="133"/>
      <c r="V83" s="133"/>
      <c r="W83" s="133"/>
      <c r="X83" s="133"/>
      <c r="Y83" s="133"/>
      <c r="Z83" s="133"/>
      <c r="AA83" s="133"/>
      <c r="AB83" s="133"/>
      <c r="AC83" s="133"/>
      <c r="AD83" s="133"/>
      <c r="AE83" s="133"/>
      <c r="AF83" s="133"/>
    </row>
    <row r="84" spans="1:32">
      <c r="A84" s="150"/>
      <c r="B84" s="151"/>
      <c r="C84" s="210"/>
      <c r="D84" s="211"/>
      <c r="E84" s="187">
        <v>3.68778280542986</v>
      </c>
      <c r="F84" s="188">
        <v>0.5</v>
      </c>
      <c r="G84" s="133"/>
      <c r="H84" s="133"/>
      <c r="I84" s="133"/>
      <c r="J84" s="133"/>
      <c r="K84" s="133"/>
      <c r="L84" s="133"/>
      <c r="M84" s="133"/>
      <c r="N84" s="133"/>
      <c r="O84" s="133"/>
      <c r="P84" s="133"/>
      <c r="Q84" s="133"/>
      <c r="R84" s="133"/>
      <c r="S84" s="133"/>
      <c r="T84" s="133"/>
      <c r="U84" s="133"/>
      <c r="V84" s="133"/>
      <c r="W84" s="133"/>
      <c r="X84" s="133"/>
      <c r="Y84" s="133"/>
      <c r="Z84" s="133"/>
      <c r="AA84" s="133"/>
      <c r="AB84" s="133"/>
      <c r="AC84" s="133"/>
      <c r="AD84" s="133"/>
      <c r="AE84" s="133"/>
      <c r="AF84" s="133"/>
    </row>
    <row r="85" spans="1:32">
      <c r="A85" s="150"/>
      <c r="B85" s="151"/>
      <c r="C85" s="210"/>
      <c r="D85" s="211"/>
      <c r="E85" s="187">
        <v>4.1950000000000003</v>
      </c>
      <c r="F85" s="188">
        <v>0.5</v>
      </c>
      <c r="G85" s="133"/>
      <c r="H85" s="133"/>
      <c r="I85" s="133"/>
      <c r="J85" s="133"/>
      <c r="K85" s="133"/>
      <c r="L85" s="133"/>
      <c r="M85" s="133"/>
      <c r="N85" s="133"/>
      <c r="O85" s="133"/>
      <c r="P85" s="133"/>
      <c r="Q85" s="133"/>
      <c r="R85" s="133"/>
      <c r="S85" s="133"/>
      <c r="T85" s="133"/>
      <c r="U85" s="133"/>
      <c r="V85" s="133"/>
      <c r="W85" s="133"/>
      <c r="X85" s="133"/>
      <c r="Y85" s="133"/>
      <c r="Z85" s="133"/>
      <c r="AA85" s="133"/>
      <c r="AB85" s="133"/>
      <c r="AC85" s="133"/>
      <c r="AD85" s="133"/>
      <c r="AE85" s="133"/>
      <c r="AF85" s="133"/>
    </row>
    <row r="86" spans="1:32">
      <c r="A86" s="150"/>
      <c r="B86" s="151"/>
      <c r="C86" s="210"/>
      <c r="D86" s="211"/>
      <c r="E86" s="187">
        <v>4.7050000000000001</v>
      </c>
      <c r="F86" s="188">
        <v>1E-3</v>
      </c>
      <c r="G86" s="133"/>
      <c r="H86" s="133"/>
      <c r="I86" s="133"/>
      <c r="J86" s="133"/>
      <c r="K86" s="133"/>
      <c r="L86" s="133"/>
      <c r="M86" s="133"/>
      <c r="N86" s="133"/>
      <c r="O86" s="133"/>
      <c r="P86" s="133"/>
      <c r="Q86" s="133"/>
      <c r="R86" s="133"/>
      <c r="S86" s="133"/>
      <c r="T86" s="133"/>
      <c r="U86" s="133"/>
      <c r="V86" s="133"/>
      <c r="W86" s="133"/>
      <c r="X86" s="133"/>
      <c r="Y86" s="133"/>
      <c r="Z86" s="133"/>
      <c r="AA86" s="133"/>
      <c r="AB86" s="133"/>
      <c r="AC86" s="133"/>
      <c r="AD86" s="133"/>
      <c r="AE86" s="133"/>
      <c r="AF86" s="133"/>
    </row>
    <row r="87" spans="1:32">
      <c r="A87" s="150"/>
      <c r="B87" s="151"/>
      <c r="C87" s="178"/>
      <c r="D87" s="179"/>
      <c r="E87" s="180"/>
      <c r="F87" s="179"/>
      <c r="G87" s="133"/>
      <c r="H87" s="133"/>
      <c r="I87" s="133"/>
      <c r="J87" s="133"/>
      <c r="K87" s="133"/>
      <c r="L87" s="133"/>
      <c r="M87" s="133"/>
      <c r="N87" s="133"/>
      <c r="O87" s="133"/>
      <c r="P87" s="133"/>
      <c r="Q87" s="133"/>
      <c r="R87" s="133"/>
      <c r="S87" s="133"/>
      <c r="T87" s="133"/>
      <c r="U87" s="133"/>
      <c r="V87" s="133"/>
      <c r="W87" s="133"/>
      <c r="X87" s="133"/>
      <c r="Y87" s="133"/>
      <c r="Z87" s="133"/>
      <c r="AA87" s="133"/>
      <c r="AB87" s="133"/>
      <c r="AC87" s="133"/>
      <c r="AD87" s="133"/>
      <c r="AE87" s="133"/>
      <c r="AF87" s="133"/>
    </row>
    <row r="88" spans="1:32">
      <c r="A88" s="150"/>
      <c r="B88" s="151"/>
      <c r="C88" s="178"/>
      <c r="D88" s="179"/>
      <c r="E88" s="189"/>
      <c r="F88" s="190"/>
      <c r="G88" s="133"/>
      <c r="H88" s="133"/>
      <c r="I88" s="133"/>
      <c r="J88" s="133"/>
      <c r="K88" s="133"/>
      <c r="L88" s="133"/>
      <c r="M88" s="133"/>
      <c r="N88" s="133"/>
      <c r="O88" s="133"/>
      <c r="P88" s="133"/>
      <c r="Q88" s="133"/>
      <c r="R88" s="133"/>
      <c r="S88" s="133"/>
      <c r="T88" s="133"/>
      <c r="U88" s="133"/>
      <c r="V88" s="133"/>
      <c r="W88" s="133"/>
      <c r="X88" s="133"/>
      <c r="Y88" s="133"/>
      <c r="Z88" s="133"/>
      <c r="AA88" s="133"/>
      <c r="AB88" s="133"/>
      <c r="AC88" s="133"/>
      <c r="AD88" s="133"/>
      <c r="AE88" s="133"/>
      <c r="AF88" s="133"/>
    </row>
    <row r="89" spans="1:32" ht="14.5" thickBot="1">
      <c r="A89" s="159"/>
      <c r="B89" s="160"/>
      <c r="C89" s="181"/>
      <c r="D89" s="182"/>
      <c r="E89" s="183"/>
      <c r="F89" s="182"/>
      <c r="G89" s="133"/>
      <c r="H89" s="133"/>
      <c r="I89" s="133"/>
      <c r="J89" s="133"/>
      <c r="K89" s="133"/>
      <c r="L89" s="133"/>
      <c r="M89" s="133"/>
      <c r="N89" s="133"/>
      <c r="O89" s="133"/>
      <c r="P89" s="133"/>
      <c r="Q89" s="133"/>
      <c r="R89" s="133"/>
      <c r="S89" s="133"/>
      <c r="T89" s="133"/>
      <c r="U89" s="133"/>
      <c r="V89" s="133"/>
      <c r="W89" s="133"/>
      <c r="X89" s="133"/>
      <c r="Y89" s="133"/>
      <c r="Z89" s="133"/>
      <c r="AA89" s="133"/>
      <c r="AB89" s="133"/>
      <c r="AC89" s="133"/>
      <c r="AD89" s="133"/>
      <c r="AE89" s="133"/>
      <c r="AF89" s="133"/>
    </row>
    <row r="90" spans="1:32">
      <c r="A90" s="204"/>
      <c r="B90" s="204"/>
      <c r="C90" s="204"/>
      <c r="D90" s="204"/>
      <c r="E90" s="204"/>
      <c r="F90" s="204"/>
      <c r="G90" s="133"/>
      <c r="H90" s="133"/>
      <c r="I90" s="133"/>
      <c r="J90" s="133"/>
      <c r="K90" s="133"/>
      <c r="L90" s="133"/>
      <c r="M90" s="133"/>
      <c r="N90" s="133"/>
      <c r="O90" s="133"/>
      <c r="P90" s="133"/>
      <c r="Q90" s="133"/>
      <c r="R90" s="133"/>
      <c r="S90" s="133"/>
      <c r="T90" s="133"/>
      <c r="U90" s="133"/>
      <c r="V90" s="133"/>
      <c r="W90" s="133"/>
      <c r="X90" s="133"/>
      <c r="Y90" s="133"/>
      <c r="Z90" s="133"/>
      <c r="AA90" s="133"/>
      <c r="AB90" s="133"/>
      <c r="AC90" s="133"/>
      <c r="AD90" s="133"/>
      <c r="AE90" s="133"/>
      <c r="AF90" s="133"/>
    </row>
    <row r="91" spans="1:32">
      <c r="A91" s="204"/>
      <c r="B91" s="204"/>
      <c r="C91" s="204"/>
      <c r="D91" s="204"/>
      <c r="E91" s="204"/>
      <c r="F91" s="204"/>
      <c r="G91" s="133"/>
      <c r="H91" s="133"/>
      <c r="I91" s="133"/>
      <c r="J91" s="133"/>
      <c r="K91" s="133"/>
      <c r="L91" s="133"/>
      <c r="M91" s="133"/>
      <c r="N91" s="133"/>
      <c r="O91" s="133"/>
      <c r="P91" s="133"/>
      <c r="Q91" s="133"/>
      <c r="R91" s="133"/>
      <c r="S91" s="133"/>
      <c r="T91" s="133"/>
      <c r="U91" s="133"/>
      <c r="V91" s="133"/>
      <c r="W91" s="133"/>
      <c r="X91" s="133"/>
      <c r="Y91" s="133"/>
      <c r="Z91" s="133"/>
      <c r="AA91" s="133"/>
      <c r="AB91" s="133"/>
      <c r="AC91" s="133"/>
      <c r="AD91" s="133"/>
      <c r="AE91" s="133"/>
      <c r="AF91" s="133"/>
    </row>
    <row r="92" spans="1:32">
      <c r="A92" s="130"/>
      <c r="B92" s="130"/>
      <c r="C92" s="184" t="s">
        <v>875</v>
      </c>
      <c r="D92" s="130"/>
      <c r="E92" s="130"/>
      <c r="F92" s="185" t="s">
        <v>870</v>
      </c>
      <c r="G92" s="133"/>
      <c r="H92" s="133"/>
      <c r="I92" s="133"/>
      <c r="J92" s="133"/>
      <c r="K92" s="133"/>
      <c r="L92" s="133"/>
      <c r="M92" s="133"/>
      <c r="N92" s="133"/>
      <c r="O92" s="133"/>
      <c r="P92" s="133"/>
      <c r="Q92" s="133"/>
      <c r="R92" s="133"/>
      <c r="S92" s="133"/>
      <c r="T92" s="133"/>
      <c r="U92" s="133"/>
      <c r="V92" s="133"/>
      <c r="W92" s="133"/>
      <c r="X92" s="133"/>
      <c r="Y92" s="133"/>
      <c r="Z92" s="133"/>
      <c r="AA92" s="133"/>
      <c r="AB92" s="133"/>
      <c r="AC92" s="133"/>
      <c r="AD92" s="133"/>
      <c r="AE92" s="133"/>
      <c r="AF92" s="133"/>
    </row>
    <row r="93" spans="1:32">
      <c r="C93" s="186" t="s">
        <v>856</v>
      </c>
      <c r="D93" s="186" t="s">
        <v>856</v>
      </c>
      <c r="G93" s="133"/>
      <c r="H93" s="133"/>
      <c r="I93" s="133"/>
      <c r="J93" s="133"/>
      <c r="K93" s="133"/>
      <c r="L93" s="133"/>
      <c r="M93" s="133"/>
      <c r="N93" s="133"/>
      <c r="O93" s="133"/>
      <c r="P93" s="133"/>
      <c r="Q93" s="133"/>
      <c r="R93" s="133"/>
      <c r="S93" s="133"/>
      <c r="T93" s="133"/>
      <c r="U93" s="133"/>
      <c r="V93" s="133"/>
      <c r="W93" s="133"/>
      <c r="X93" s="133"/>
      <c r="Y93" s="133"/>
      <c r="Z93" s="133"/>
      <c r="AA93" s="133"/>
      <c r="AB93" s="133"/>
      <c r="AC93" s="133"/>
      <c r="AD93" s="133"/>
      <c r="AE93" s="133"/>
      <c r="AF93" s="133"/>
    </row>
    <row r="94" spans="1:32" ht="14.5" thickBot="1">
      <c r="C94" s="134" t="s">
        <v>813</v>
      </c>
      <c r="D94" s="134" t="s">
        <v>813</v>
      </c>
      <c r="E94" s="135" t="s">
        <v>857</v>
      </c>
      <c r="F94" s="135" t="s">
        <v>857</v>
      </c>
      <c r="G94" s="133"/>
      <c r="H94" s="133"/>
      <c r="I94" s="133"/>
      <c r="J94" s="133"/>
      <c r="K94" s="133"/>
      <c r="L94" s="133"/>
      <c r="M94" s="133"/>
      <c r="N94" s="133"/>
      <c r="O94" s="133"/>
      <c r="P94" s="133"/>
      <c r="Q94" s="133"/>
      <c r="R94" s="133"/>
      <c r="S94" s="133"/>
      <c r="T94" s="133"/>
      <c r="U94" s="133"/>
      <c r="V94" s="133"/>
      <c r="W94" s="133"/>
      <c r="X94" s="133"/>
      <c r="Y94" s="133"/>
      <c r="Z94" s="133"/>
      <c r="AA94" s="133"/>
      <c r="AB94" s="133"/>
      <c r="AC94" s="133"/>
      <c r="AD94" s="133"/>
      <c r="AE94" s="133"/>
      <c r="AF94" s="133"/>
    </row>
    <row r="95" spans="1:32">
      <c r="C95" s="136" t="s">
        <v>858</v>
      </c>
      <c r="D95" s="212" t="s">
        <v>859</v>
      </c>
      <c r="E95" s="136" t="s">
        <v>858</v>
      </c>
      <c r="F95" s="137" t="s">
        <v>859</v>
      </c>
      <c r="G95" s="133"/>
      <c r="H95" s="133"/>
      <c r="I95" s="133"/>
      <c r="J95" s="133"/>
      <c r="K95" s="133"/>
      <c r="L95" s="133"/>
      <c r="M95" s="133"/>
      <c r="N95" s="133"/>
      <c r="O95" s="133"/>
      <c r="P95" s="133"/>
      <c r="Q95" s="133"/>
      <c r="R95" s="133"/>
      <c r="S95" s="133"/>
      <c r="T95" s="133"/>
      <c r="U95" s="133"/>
      <c r="V95" s="133"/>
      <c r="W95" s="133"/>
      <c r="X95" s="133"/>
      <c r="Y95" s="133"/>
      <c r="Z95" s="133"/>
      <c r="AA95" s="133"/>
      <c r="AB95" s="133"/>
      <c r="AC95" s="133"/>
      <c r="AD95" s="133"/>
      <c r="AE95" s="133"/>
      <c r="AF95" s="133"/>
    </row>
    <row r="96" spans="1:32" ht="14.5" thickBot="1">
      <c r="A96" s="138" t="s">
        <v>860</v>
      </c>
      <c r="B96" s="139" t="s">
        <v>861</v>
      </c>
      <c r="C96" s="142" t="s">
        <v>862</v>
      </c>
      <c r="D96" s="213" t="s">
        <v>863</v>
      </c>
      <c r="E96" s="205" t="s">
        <v>862</v>
      </c>
      <c r="F96" s="206" t="s">
        <v>863</v>
      </c>
      <c r="G96" s="133"/>
      <c r="H96" s="133"/>
      <c r="I96" s="133"/>
      <c r="J96" s="133"/>
      <c r="K96" s="133"/>
      <c r="L96" s="133"/>
      <c r="M96" s="133"/>
      <c r="N96" s="133"/>
      <c r="O96" s="133"/>
      <c r="P96" s="133"/>
      <c r="Q96" s="133"/>
      <c r="R96" s="133"/>
      <c r="S96" s="133"/>
      <c r="T96" s="133"/>
      <c r="U96" s="133"/>
      <c r="V96" s="133"/>
      <c r="W96" s="133"/>
      <c r="X96" s="133"/>
      <c r="Y96" s="133"/>
      <c r="Z96" s="133"/>
      <c r="AA96" s="133"/>
      <c r="AB96" s="133"/>
      <c r="AC96" s="133"/>
      <c r="AD96" s="133"/>
      <c r="AE96" s="133"/>
      <c r="AF96" s="133"/>
    </row>
    <row r="97" spans="1:34">
      <c r="A97" s="144">
        <v>20</v>
      </c>
      <c r="B97" s="145" t="s">
        <v>876</v>
      </c>
      <c r="C97" s="214">
        <v>0.53717472118959098</v>
      </c>
      <c r="D97" s="214">
        <v>1</v>
      </c>
      <c r="E97" s="187">
        <v>4.7</v>
      </c>
      <c r="F97" s="188">
        <v>19.100000000000001</v>
      </c>
      <c r="G97" s="133"/>
      <c r="H97" s="133"/>
      <c r="I97" s="133"/>
      <c r="J97" s="133"/>
      <c r="K97" s="133"/>
      <c r="L97" s="133"/>
      <c r="M97" s="133"/>
      <c r="N97" s="133"/>
      <c r="O97" s="133"/>
      <c r="P97" s="133"/>
      <c r="Q97" s="133"/>
      <c r="R97" s="133"/>
      <c r="S97" s="133"/>
      <c r="T97" s="133"/>
      <c r="U97" s="133"/>
      <c r="V97" s="133"/>
      <c r="W97" s="133"/>
      <c r="X97" s="133"/>
      <c r="Y97" s="133"/>
      <c r="Z97" s="133"/>
      <c r="AA97" s="133"/>
      <c r="AB97" s="133"/>
      <c r="AC97" s="133"/>
      <c r="AD97" s="133"/>
      <c r="AE97" s="133"/>
      <c r="AF97" s="133"/>
    </row>
    <row r="98" spans="1:34">
      <c r="A98" s="150"/>
      <c r="B98" s="151"/>
      <c r="C98" s="214">
        <v>1.07156133828996</v>
      </c>
      <c r="D98" s="214">
        <v>1.32911392405063</v>
      </c>
      <c r="E98" s="187">
        <v>5.2</v>
      </c>
      <c r="F98" s="188">
        <v>2.51582278481012</v>
      </c>
      <c r="G98" s="133"/>
      <c r="H98" s="133"/>
      <c r="I98" s="133"/>
      <c r="J98" s="133"/>
      <c r="K98" s="133"/>
      <c r="L98" s="133"/>
      <c r="M98" s="133"/>
      <c r="N98" s="133"/>
      <c r="O98" s="133"/>
      <c r="P98" s="133"/>
      <c r="Q98" s="133"/>
      <c r="R98" s="133"/>
      <c r="S98" s="133"/>
      <c r="T98" s="133"/>
      <c r="U98" s="133"/>
      <c r="V98" s="133"/>
      <c r="W98" s="133"/>
      <c r="X98" s="133"/>
      <c r="Y98" s="133"/>
      <c r="Z98" s="133"/>
      <c r="AA98" s="133"/>
      <c r="AB98" s="133"/>
      <c r="AC98" s="133"/>
      <c r="AD98" s="133"/>
      <c r="AE98" s="133"/>
      <c r="AF98" s="133"/>
    </row>
    <row r="99" spans="1:34">
      <c r="A99" s="150"/>
      <c r="B99" s="151"/>
      <c r="C99" s="214">
        <v>1.6013011152416301</v>
      </c>
      <c r="D99" s="214">
        <v>3.70253164556962</v>
      </c>
      <c r="E99" s="215"/>
      <c r="F99" s="216"/>
      <c r="G99" s="133"/>
      <c r="H99" s="133"/>
      <c r="I99" s="133"/>
      <c r="J99" s="133"/>
      <c r="K99" s="133"/>
      <c r="L99" s="133"/>
      <c r="M99" s="133"/>
      <c r="N99" s="133"/>
      <c r="O99" s="133"/>
      <c r="P99" s="133"/>
      <c r="Q99" s="133"/>
      <c r="R99" s="133"/>
      <c r="S99" s="133"/>
      <c r="T99" s="133"/>
      <c r="U99" s="133"/>
      <c r="V99" s="133"/>
      <c r="W99" s="133"/>
      <c r="X99" s="133"/>
      <c r="Y99" s="133"/>
      <c r="Z99" s="133"/>
      <c r="AA99" s="133"/>
      <c r="AB99" s="133"/>
      <c r="AC99" s="133"/>
      <c r="AD99" s="133"/>
      <c r="AE99" s="133"/>
      <c r="AF99" s="133"/>
    </row>
    <row r="100" spans="1:34">
      <c r="A100" s="150"/>
      <c r="B100" s="151"/>
      <c r="C100" s="214">
        <v>2.14</v>
      </c>
      <c r="D100" s="214">
        <v>4.6993670886075902</v>
      </c>
      <c r="E100" s="215"/>
      <c r="F100" s="216"/>
      <c r="G100" s="133"/>
      <c r="H100" s="133"/>
      <c r="I100" s="133"/>
      <c r="J100" s="133"/>
      <c r="K100" s="133"/>
      <c r="L100" s="133"/>
      <c r="M100" s="133"/>
      <c r="N100" s="133"/>
      <c r="O100" s="133"/>
      <c r="P100" s="133"/>
      <c r="Q100" s="133"/>
      <c r="R100" s="133"/>
      <c r="S100" s="133"/>
      <c r="T100" s="133"/>
      <c r="U100" s="133"/>
      <c r="V100" s="133"/>
      <c r="W100" s="133"/>
      <c r="X100" s="133"/>
      <c r="Y100" s="133"/>
      <c r="Z100" s="133"/>
      <c r="AA100" s="133"/>
      <c r="AB100" s="133"/>
      <c r="AC100" s="133"/>
      <c r="AD100" s="133"/>
      <c r="AE100" s="133"/>
      <c r="AF100" s="133"/>
    </row>
    <row r="101" spans="1:34">
      <c r="A101" s="150"/>
      <c r="B101" s="151"/>
      <c r="C101" s="214">
        <v>2.6514869888475801</v>
      </c>
      <c r="D101" s="214">
        <v>6.17088607594936</v>
      </c>
      <c r="E101" s="215"/>
      <c r="F101" s="216"/>
      <c r="G101" s="133"/>
      <c r="H101" s="133"/>
      <c r="I101" s="133"/>
      <c r="J101" s="133"/>
      <c r="K101" s="133"/>
      <c r="L101" s="133"/>
      <c r="M101" s="133"/>
      <c r="N101" s="133"/>
      <c r="O101" s="133"/>
      <c r="P101" s="133"/>
      <c r="Q101" s="133"/>
      <c r="R101" s="133"/>
      <c r="S101" s="133"/>
      <c r="T101" s="133"/>
      <c r="U101" s="133"/>
      <c r="V101" s="133"/>
      <c r="W101" s="133"/>
      <c r="X101" s="133"/>
      <c r="Y101" s="133"/>
      <c r="Z101" s="133"/>
      <c r="AA101" s="133"/>
      <c r="AB101" s="133"/>
      <c r="AC101" s="133"/>
      <c r="AD101" s="133"/>
      <c r="AE101" s="133"/>
      <c r="AF101" s="133"/>
      <c r="AG101" s="133"/>
      <c r="AH101" s="133"/>
    </row>
    <row r="102" spans="1:34">
      <c r="A102" s="150"/>
      <c r="B102" s="151"/>
      <c r="C102" s="214">
        <v>3.1765799256505498</v>
      </c>
      <c r="D102" s="214">
        <v>6.2183544303797396</v>
      </c>
      <c r="E102" s="215"/>
      <c r="F102" s="216"/>
      <c r="G102" s="133"/>
      <c r="H102" s="133"/>
      <c r="I102" s="133"/>
      <c r="J102" s="133"/>
      <c r="K102" s="133"/>
      <c r="L102" s="133"/>
      <c r="M102" s="133"/>
      <c r="N102" s="133"/>
      <c r="O102" s="133"/>
      <c r="P102" s="133"/>
      <c r="Q102" s="133"/>
      <c r="R102" s="133"/>
      <c r="S102" s="133"/>
      <c r="T102" s="133"/>
      <c r="U102" s="133"/>
      <c r="V102" s="133"/>
      <c r="W102" s="133"/>
      <c r="X102" s="133"/>
      <c r="Y102" s="133"/>
      <c r="Z102" s="133"/>
      <c r="AA102" s="133"/>
      <c r="AB102" s="133"/>
      <c r="AC102" s="133"/>
      <c r="AD102" s="133"/>
      <c r="AE102" s="133"/>
      <c r="AF102" s="133"/>
      <c r="AG102" s="133"/>
      <c r="AH102" s="133"/>
    </row>
    <row r="103" spans="1:34">
      <c r="A103" s="150"/>
      <c r="B103" s="151"/>
      <c r="C103" s="214">
        <v>3.7</v>
      </c>
      <c r="D103" s="214">
        <v>8.9715189873417707</v>
      </c>
      <c r="E103" s="215"/>
      <c r="F103" s="216"/>
      <c r="G103" s="133"/>
      <c r="H103" s="133"/>
      <c r="I103" s="133"/>
      <c r="J103" s="133"/>
      <c r="K103" s="133"/>
      <c r="L103" s="133"/>
      <c r="M103" s="133"/>
      <c r="N103" s="133"/>
      <c r="O103" s="133"/>
      <c r="P103" s="133"/>
      <c r="Q103" s="133"/>
      <c r="R103" s="133"/>
      <c r="S103" s="133"/>
      <c r="T103" s="133"/>
      <c r="U103" s="133"/>
      <c r="V103" s="133"/>
      <c r="W103" s="133"/>
      <c r="X103" s="133"/>
      <c r="Y103" s="133"/>
      <c r="Z103" s="133"/>
      <c r="AA103" s="133"/>
      <c r="AB103" s="133"/>
      <c r="AC103" s="133"/>
      <c r="AD103" s="133"/>
      <c r="AE103" s="133"/>
      <c r="AF103" s="133"/>
      <c r="AG103" s="133"/>
      <c r="AH103" s="133"/>
    </row>
    <row r="104" spans="1:34">
      <c r="A104" s="150"/>
      <c r="B104" s="151"/>
      <c r="C104" s="214">
        <v>4.1942379182156104</v>
      </c>
      <c r="D104" s="214">
        <v>15.284810126582199</v>
      </c>
      <c r="E104" s="215"/>
      <c r="F104" s="216"/>
      <c r="G104" s="133"/>
      <c r="H104" s="133"/>
      <c r="I104" s="133"/>
      <c r="J104" s="133"/>
      <c r="K104" s="133"/>
      <c r="L104" s="133"/>
      <c r="M104" s="133"/>
      <c r="N104" s="133"/>
      <c r="O104" s="133"/>
      <c r="P104" s="133"/>
      <c r="Q104" s="133"/>
      <c r="R104" s="133"/>
      <c r="S104" s="133"/>
      <c r="T104" s="133"/>
      <c r="U104" s="133"/>
      <c r="V104" s="133"/>
      <c r="W104" s="133"/>
      <c r="X104" s="133"/>
      <c r="Y104" s="133"/>
      <c r="Z104" s="133"/>
      <c r="AA104" s="133"/>
      <c r="AB104" s="133"/>
      <c r="AC104" s="133"/>
      <c r="AD104" s="133"/>
      <c r="AE104" s="133"/>
      <c r="AF104" s="133"/>
      <c r="AG104" s="133"/>
      <c r="AH104" s="133"/>
    </row>
    <row r="105" spans="1:34">
      <c r="A105" s="150"/>
      <c r="B105" s="151"/>
      <c r="C105" s="178"/>
      <c r="D105" s="217"/>
      <c r="E105" s="215"/>
      <c r="F105" s="216"/>
      <c r="G105" s="133"/>
      <c r="H105" s="133"/>
      <c r="I105" s="133"/>
      <c r="J105" s="133"/>
      <c r="K105" s="133"/>
      <c r="L105" s="133"/>
      <c r="M105" s="133"/>
      <c r="N105" s="133"/>
      <c r="O105" s="133"/>
      <c r="P105" s="133"/>
      <c r="Q105" s="133"/>
      <c r="R105" s="133"/>
      <c r="S105" s="133"/>
      <c r="T105" s="133"/>
      <c r="U105" s="133"/>
      <c r="V105" s="133"/>
      <c r="W105" s="133"/>
      <c r="X105" s="133"/>
      <c r="Y105" s="133"/>
      <c r="Z105" s="133"/>
      <c r="AA105" s="133"/>
      <c r="AB105" s="133"/>
      <c r="AC105" s="133"/>
      <c r="AD105" s="133"/>
      <c r="AE105" s="133"/>
      <c r="AF105" s="133"/>
      <c r="AG105" s="133"/>
      <c r="AH105" s="133"/>
    </row>
    <row r="106" spans="1:34" ht="14.5" thickBot="1">
      <c r="A106" s="159"/>
      <c r="B106" s="160"/>
      <c r="C106" s="181"/>
      <c r="D106" s="218"/>
      <c r="E106" s="219"/>
      <c r="F106" s="220"/>
      <c r="G106" s="133"/>
      <c r="H106" s="133"/>
      <c r="I106" s="133"/>
      <c r="J106" s="133"/>
      <c r="K106" s="133"/>
      <c r="L106" s="133"/>
      <c r="M106" s="133"/>
      <c r="N106" s="133"/>
      <c r="O106" s="133"/>
      <c r="P106" s="133"/>
      <c r="Q106" s="133"/>
      <c r="R106" s="133"/>
      <c r="S106" s="133"/>
      <c r="T106" s="133"/>
      <c r="U106" s="133"/>
      <c r="V106" s="133"/>
      <c r="W106" s="133"/>
      <c r="X106" s="133"/>
      <c r="Y106" s="133"/>
      <c r="Z106" s="133"/>
      <c r="AA106" s="133"/>
      <c r="AB106" s="133"/>
      <c r="AC106" s="133"/>
      <c r="AD106" s="133"/>
      <c r="AE106" s="133"/>
      <c r="AF106" s="133"/>
      <c r="AG106" s="133"/>
      <c r="AH106" s="133"/>
    </row>
    <row r="107" spans="1:34">
      <c r="G107" s="133"/>
      <c r="H107" s="133"/>
      <c r="I107" s="133"/>
      <c r="J107" s="133"/>
      <c r="K107" s="133"/>
      <c r="L107" s="133"/>
      <c r="M107" s="133"/>
      <c r="N107" s="133"/>
      <c r="O107" s="133"/>
      <c r="P107" s="133"/>
      <c r="Q107" s="133"/>
      <c r="R107" s="133"/>
      <c r="S107" s="133"/>
      <c r="T107" s="133"/>
      <c r="U107" s="133"/>
      <c r="V107" s="133"/>
      <c r="W107" s="133"/>
      <c r="X107" s="133"/>
      <c r="Y107" s="133"/>
      <c r="Z107" s="133"/>
      <c r="AA107" s="133"/>
      <c r="AB107" s="133"/>
      <c r="AC107" s="133"/>
      <c r="AD107" s="133"/>
      <c r="AE107" s="133"/>
      <c r="AF107" s="133"/>
      <c r="AG107" s="133"/>
      <c r="AH107" s="133"/>
    </row>
    <row r="108" spans="1:34">
      <c r="G108" s="133"/>
      <c r="H108" s="133"/>
      <c r="I108" s="133"/>
      <c r="J108" s="133"/>
      <c r="K108" s="133"/>
      <c r="L108" s="133"/>
      <c r="M108" s="133"/>
      <c r="N108" s="133"/>
      <c r="O108" s="133"/>
      <c r="P108" s="133"/>
      <c r="Q108" s="133"/>
      <c r="R108" s="133"/>
      <c r="S108" s="133"/>
      <c r="T108" s="133"/>
      <c r="U108" s="133"/>
      <c r="V108" s="133"/>
      <c r="W108" s="133"/>
      <c r="X108" s="133"/>
      <c r="Y108" s="133"/>
      <c r="Z108" s="133"/>
      <c r="AA108" s="133"/>
      <c r="AB108" s="133"/>
      <c r="AC108" s="133"/>
      <c r="AD108" s="133"/>
      <c r="AE108" s="133"/>
      <c r="AF108" s="133"/>
      <c r="AG108" s="133"/>
      <c r="AH108" s="133"/>
    </row>
    <row r="109" spans="1:34">
      <c r="A109" s="130"/>
      <c r="B109" s="130"/>
      <c r="C109" s="131" t="s">
        <v>877</v>
      </c>
      <c r="D109" s="130"/>
      <c r="E109" s="130"/>
      <c r="F109" s="185" t="s">
        <v>870</v>
      </c>
      <c r="G109" s="133"/>
      <c r="H109" s="133"/>
      <c r="I109" s="133"/>
      <c r="J109" s="133"/>
      <c r="K109" s="133"/>
      <c r="L109" s="133"/>
      <c r="M109" s="133"/>
      <c r="N109" s="133"/>
      <c r="O109" s="133"/>
      <c r="P109" s="133"/>
      <c r="Q109" s="133"/>
      <c r="R109" s="133"/>
      <c r="S109" s="133"/>
      <c r="T109" s="133"/>
      <c r="U109" s="133"/>
      <c r="V109" s="133"/>
      <c r="W109" s="133"/>
      <c r="X109" s="133"/>
      <c r="Y109" s="133"/>
      <c r="Z109" s="133"/>
      <c r="AA109" s="133"/>
      <c r="AB109" s="133"/>
      <c r="AC109" s="133"/>
      <c r="AD109" s="133"/>
      <c r="AE109" s="133"/>
      <c r="AF109" s="133"/>
      <c r="AG109" s="133"/>
      <c r="AH109" s="133"/>
    </row>
    <row r="110" spans="1:34">
      <c r="C110" s="132" t="s">
        <v>856</v>
      </c>
      <c r="D110" s="132" t="s">
        <v>856</v>
      </c>
      <c r="G110" s="133"/>
      <c r="H110" s="133"/>
      <c r="I110" s="133"/>
      <c r="J110" s="133"/>
      <c r="K110" s="133"/>
      <c r="L110" s="133"/>
      <c r="M110" s="133"/>
      <c r="N110" s="133"/>
      <c r="O110" s="133"/>
      <c r="P110" s="133"/>
      <c r="Q110" s="133"/>
      <c r="R110" s="133"/>
      <c r="S110" s="133"/>
      <c r="T110" s="133"/>
      <c r="U110" s="133"/>
      <c r="V110" s="133"/>
      <c r="W110" s="133"/>
      <c r="X110" s="133"/>
      <c r="Y110" s="133"/>
      <c r="Z110" s="133"/>
      <c r="AA110" s="133"/>
      <c r="AB110" s="133"/>
      <c r="AC110" s="133"/>
      <c r="AD110" s="133"/>
      <c r="AE110" s="133"/>
      <c r="AF110" s="133"/>
      <c r="AG110" s="133"/>
      <c r="AH110" s="133"/>
    </row>
    <row r="111" spans="1:34" ht="14.5" thickBot="1">
      <c r="C111" s="134" t="s">
        <v>813</v>
      </c>
      <c r="D111" s="134" t="s">
        <v>813</v>
      </c>
      <c r="E111" s="135" t="s">
        <v>857</v>
      </c>
      <c r="F111" s="135" t="s">
        <v>857</v>
      </c>
      <c r="G111" s="133"/>
      <c r="H111" s="133"/>
      <c r="I111" s="133"/>
      <c r="J111" s="133"/>
      <c r="K111" s="133"/>
      <c r="L111" s="133"/>
      <c r="M111" s="133"/>
      <c r="N111" s="133"/>
      <c r="O111" s="133"/>
      <c r="P111" s="133"/>
      <c r="Q111" s="133"/>
      <c r="R111" s="133"/>
      <c r="S111" s="133"/>
      <c r="T111" s="133"/>
      <c r="U111" s="133"/>
      <c r="V111" s="133"/>
      <c r="W111" s="133"/>
      <c r="X111" s="133"/>
      <c r="Y111" s="133"/>
      <c r="Z111" s="133"/>
      <c r="AA111" s="133"/>
      <c r="AB111" s="133"/>
      <c r="AC111" s="133"/>
      <c r="AD111" s="133"/>
      <c r="AE111" s="133"/>
      <c r="AF111" s="133"/>
      <c r="AG111" s="133"/>
      <c r="AH111" s="133"/>
    </row>
    <row r="112" spans="1:34">
      <c r="C112" s="136" t="s">
        <v>858</v>
      </c>
      <c r="D112" s="137" t="s">
        <v>859</v>
      </c>
      <c r="E112" s="136" t="s">
        <v>858</v>
      </c>
      <c r="F112" s="137" t="s">
        <v>859</v>
      </c>
      <c r="G112" s="133"/>
      <c r="H112" s="133"/>
      <c r="I112" s="133"/>
      <c r="J112" s="133"/>
      <c r="K112" s="133"/>
      <c r="L112" s="133"/>
      <c r="M112" s="133"/>
      <c r="N112" s="133"/>
      <c r="O112" s="133"/>
      <c r="P112" s="133"/>
      <c r="Q112" s="133"/>
      <c r="R112" s="133"/>
      <c r="S112" s="133"/>
      <c r="T112" s="133"/>
      <c r="U112" s="133"/>
      <c r="V112" s="133"/>
      <c r="W112" s="133"/>
      <c r="X112" s="133"/>
      <c r="Y112" s="133"/>
      <c r="Z112" s="133"/>
      <c r="AA112" s="133"/>
      <c r="AB112" s="133"/>
      <c r="AC112" s="133"/>
      <c r="AD112" s="133"/>
      <c r="AE112" s="133"/>
      <c r="AF112" s="133"/>
      <c r="AG112" s="133"/>
      <c r="AH112" s="133"/>
    </row>
    <row r="113" spans="1:34" ht="14.5" thickBot="1">
      <c r="A113" s="138" t="s">
        <v>860</v>
      </c>
      <c r="B113" s="139" t="s">
        <v>861</v>
      </c>
      <c r="C113" s="205" t="s">
        <v>862</v>
      </c>
      <c r="D113" s="206" t="s">
        <v>863</v>
      </c>
      <c r="E113" s="205" t="s">
        <v>862</v>
      </c>
      <c r="F113" s="206" t="s">
        <v>863</v>
      </c>
      <c r="G113" s="133"/>
      <c r="H113" s="133"/>
      <c r="I113" s="133"/>
      <c r="J113" s="133"/>
      <c r="K113" s="133"/>
      <c r="L113" s="133"/>
      <c r="M113" s="133"/>
      <c r="N113" s="133"/>
      <c r="O113" s="133"/>
      <c r="P113" s="133"/>
      <c r="Q113" s="133"/>
      <c r="R113" s="133"/>
      <c r="S113" s="133"/>
      <c r="T113" s="133"/>
      <c r="U113" s="133"/>
      <c r="V113" s="133"/>
      <c r="W113" s="133"/>
      <c r="X113" s="133"/>
      <c r="Y113" s="133"/>
      <c r="Z113" s="133"/>
      <c r="AA113" s="133"/>
      <c r="AB113" s="133"/>
      <c r="AC113" s="133"/>
      <c r="AD113" s="133"/>
      <c r="AE113" s="133"/>
      <c r="AF113" s="133"/>
      <c r="AG113" s="133"/>
      <c r="AH113" s="133"/>
    </row>
    <row r="114" spans="1:34">
      <c r="A114" s="144">
        <v>20</v>
      </c>
      <c r="B114" s="145" t="s">
        <v>878</v>
      </c>
      <c r="C114" s="187">
        <v>0.54</v>
      </c>
      <c r="D114" s="188">
        <v>0.85</v>
      </c>
      <c r="E114" s="187">
        <v>3.6826241134751698</v>
      </c>
      <c r="F114" s="188">
        <v>13.95</v>
      </c>
      <c r="G114" s="133"/>
      <c r="H114" s="133"/>
      <c r="I114" s="133"/>
      <c r="J114" s="133"/>
      <c r="K114" s="133"/>
      <c r="L114" s="133"/>
      <c r="M114" s="133"/>
      <c r="N114" s="133"/>
      <c r="O114" s="133"/>
      <c r="P114" s="133"/>
      <c r="Q114" s="133"/>
      <c r="R114" s="133"/>
      <c r="S114" s="133"/>
      <c r="T114" s="133"/>
      <c r="U114" s="133"/>
      <c r="V114" s="133"/>
      <c r="W114" s="133"/>
      <c r="X114" s="133"/>
      <c r="Y114" s="133"/>
      <c r="Z114" s="133"/>
      <c r="AA114" s="133"/>
      <c r="AB114" s="133"/>
      <c r="AC114" s="133"/>
      <c r="AD114" s="133"/>
      <c r="AE114" s="133"/>
      <c r="AF114" s="133"/>
      <c r="AG114" s="133"/>
      <c r="AH114" s="133"/>
    </row>
    <row r="115" spans="1:34">
      <c r="A115" s="150"/>
      <c r="B115" s="151"/>
      <c r="C115" s="187">
        <v>1.08067375886524</v>
      </c>
      <c r="D115" s="188">
        <v>1.35</v>
      </c>
      <c r="E115" s="187">
        <v>4.19237588652482</v>
      </c>
      <c r="F115" s="188">
        <v>7.55</v>
      </c>
      <c r="G115" s="133"/>
      <c r="H115" s="133"/>
      <c r="I115" s="133"/>
      <c r="J115" s="133"/>
      <c r="K115" s="133"/>
      <c r="L115" s="133"/>
      <c r="M115" s="133"/>
      <c r="N115" s="133"/>
      <c r="O115" s="133"/>
      <c r="P115" s="133"/>
      <c r="Q115" s="133"/>
      <c r="R115" s="133"/>
      <c r="S115" s="133"/>
      <c r="T115" s="133"/>
      <c r="U115" s="133"/>
      <c r="V115" s="133"/>
      <c r="W115" s="133"/>
      <c r="X115" s="133"/>
      <c r="Y115" s="133"/>
      <c r="Z115" s="133"/>
      <c r="AA115" s="133"/>
      <c r="AB115" s="133"/>
      <c r="AC115" s="133"/>
      <c r="AD115" s="133"/>
      <c r="AE115" s="133"/>
      <c r="AF115" s="133"/>
      <c r="AG115" s="133"/>
      <c r="AH115" s="133"/>
    </row>
    <row r="116" spans="1:34">
      <c r="A116" s="150"/>
      <c r="B116" s="151"/>
      <c r="C116" s="187">
        <v>1.6</v>
      </c>
      <c r="D116" s="188">
        <v>1.85</v>
      </c>
      <c r="E116" s="187">
        <v>4.6932624113475097</v>
      </c>
      <c r="F116" s="188">
        <v>4.3</v>
      </c>
      <c r="G116" s="133"/>
      <c r="H116" s="133"/>
      <c r="I116" s="133"/>
      <c r="J116" s="133"/>
      <c r="K116" s="133"/>
      <c r="L116" s="133"/>
      <c r="M116" s="133"/>
      <c r="N116" s="133"/>
      <c r="O116" s="133"/>
      <c r="P116" s="133"/>
      <c r="Q116" s="133"/>
      <c r="R116" s="133"/>
      <c r="S116" s="133"/>
      <c r="T116" s="133"/>
      <c r="U116" s="133"/>
      <c r="V116" s="133"/>
      <c r="W116" s="133"/>
      <c r="X116" s="133"/>
      <c r="Y116" s="133"/>
      <c r="Z116" s="133"/>
      <c r="AA116" s="133"/>
      <c r="AB116" s="133"/>
      <c r="AC116" s="133"/>
      <c r="AD116" s="133"/>
      <c r="AE116" s="133"/>
      <c r="AF116" s="133"/>
      <c r="AG116" s="133"/>
      <c r="AH116" s="133"/>
    </row>
    <row r="117" spans="1:34">
      <c r="A117" s="150"/>
      <c r="B117" s="151"/>
      <c r="C117" s="187">
        <v>2.1312056737588598</v>
      </c>
      <c r="D117" s="188">
        <v>2.85</v>
      </c>
      <c r="E117" s="187">
        <v>5.1985815602836798</v>
      </c>
      <c r="F117" s="188">
        <v>3.2980332829046901</v>
      </c>
      <c r="G117" s="133"/>
      <c r="H117" s="133"/>
      <c r="I117" s="133"/>
      <c r="J117" s="133"/>
      <c r="K117" s="133"/>
      <c r="L117" s="133"/>
      <c r="M117" s="133"/>
      <c r="N117" s="133"/>
      <c r="O117" s="133"/>
      <c r="P117" s="133"/>
      <c r="Q117" s="133"/>
      <c r="R117" s="133"/>
      <c r="S117" s="133"/>
      <c r="T117" s="133"/>
      <c r="U117" s="133"/>
      <c r="V117" s="133"/>
      <c r="W117" s="133"/>
      <c r="X117" s="133"/>
      <c r="Y117" s="133"/>
      <c r="Z117" s="133"/>
      <c r="AA117" s="133"/>
      <c r="AB117" s="133"/>
      <c r="AC117" s="133"/>
      <c r="AD117" s="133"/>
      <c r="AE117" s="133"/>
      <c r="AF117" s="133"/>
      <c r="AG117" s="133"/>
      <c r="AH117" s="133"/>
    </row>
    <row r="118" spans="1:34">
      <c r="A118" s="150"/>
      <c r="B118" s="151"/>
      <c r="C118" s="187">
        <v>2.65868794326241</v>
      </c>
      <c r="D118" s="188">
        <v>3.7</v>
      </c>
      <c r="E118" s="215"/>
      <c r="F118" s="216"/>
      <c r="G118" s="133"/>
      <c r="H118" s="133"/>
      <c r="I118" s="133"/>
      <c r="J118" s="133"/>
      <c r="K118" s="133"/>
      <c r="L118" s="133"/>
      <c r="M118" s="133"/>
      <c r="N118" s="133"/>
      <c r="O118" s="133"/>
      <c r="P118" s="133"/>
      <c r="Q118" s="133"/>
      <c r="R118" s="133"/>
      <c r="S118" s="133"/>
      <c r="T118" s="133"/>
      <c r="U118" s="133"/>
      <c r="V118" s="133"/>
      <c r="W118" s="133"/>
      <c r="X118" s="133"/>
      <c r="Y118" s="133"/>
      <c r="Z118" s="133"/>
      <c r="AA118" s="133"/>
      <c r="AB118" s="133"/>
      <c r="AC118" s="133"/>
      <c r="AD118" s="133"/>
      <c r="AE118" s="133"/>
      <c r="AF118" s="133"/>
      <c r="AG118" s="133"/>
      <c r="AH118" s="133"/>
    </row>
    <row r="119" spans="1:34">
      <c r="A119" s="150"/>
      <c r="B119" s="151"/>
      <c r="C119" s="187">
        <v>3.1749999999999998</v>
      </c>
      <c r="D119" s="188">
        <v>6.05</v>
      </c>
      <c r="E119" s="215"/>
      <c r="F119" s="216"/>
      <c r="G119" s="133"/>
      <c r="H119" s="133"/>
      <c r="I119" s="133"/>
      <c r="J119" s="133"/>
      <c r="K119" s="133"/>
      <c r="L119" s="133"/>
      <c r="M119" s="133"/>
      <c r="N119" s="133"/>
      <c r="O119" s="133"/>
      <c r="P119" s="133"/>
      <c r="Q119" s="133"/>
      <c r="R119" s="133"/>
      <c r="S119" s="133"/>
      <c r="T119" s="133"/>
      <c r="U119" s="133"/>
      <c r="V119" s="133"/>
      <c r="W119" s="133"/>
      <c r="X119" s="133"/>
      <c r="Y119" s="133"/>
      <c r="Z119" s="133"/>
      <c r="AA119" s="133"/>
      <c r="AB119" s="133"/>
      <c r="AC119" s="133"/>
      <c r="AD119" s="133"/>
      <c r="AE119" s="133"/>
      <c r="AF119" s="133"/>
      <c r="AG119" s="133"/>
      <c r="AH119" s="133"/>
    </row>
    <row r="120" spans="1:34">
      <c r="A120" s="150"/>
      <c r="B120" s="151"/>
      <c r="C120" s="187">
        <v>3.6870567375886498</v>
      </c>
      <c r="D120" s="188">
        <v>8.65</v>
      </c>
      <c r="E120" s="215"/>
      <c r="F120" s="216"/>
      <c r="G120" s="133"/>
      <c r="H120" s="133"/>
      <c r="I120" s="133"/>
      <c r="J120" s="133"/>
      <c r="K120" s="133"/>
      <c r="L120" s="133"/>
      <c r="M120" s="133"/>
      <c r="N120" s="133"/>
      <c r="O120" s="133"/>
      <c r="P120" s="133"/>
      <c r="Q120" s="133"/>
      <c r="R120" s="133"/>
      <c r="S120" s="133"/>
      <c r="T120" s="133"/>
      <c r="U120" s="133"/>
      <c r="V120" s="133"/>
      <c r="W120" s="133"/>
      <c r="X120" s="133"/>
      <c r="Y120" s="133"/>
      <c r="Z120" s="133"/>
      <c r="AA120" s="133"/>
      <c r="AB120" s="133"/>
      <c r="AC120" s="133"/>
      <c r="AD120" s="133"/>
      <c r="AE120" s="133"/>
      <c r="AF120" s="133"/>
      <c r="AG120" s="133"/>
      <c r="AH120" s="133"/>
    </row>
    <row r="121" spans="1:34">
      <c r="A121" s="150"/>
      <c r="B121" s="151"/>
      <c r="C121" s="187">
        <v>4.19237588652482</v>
      </c>
      <c r="D121" s="188">
        <v>10.9</v>
      </c>
      <c r="E121" s="215"/>
      <c r="F121" s="216"/>
      <c r="G121" s="133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T121" s="133"/>
      <c r="U121" s="133"/>
      <c r="V121" s="133"/>
      <c r="W121" s="133"/>
      <c r="X121" s="133"/>
      <c r="Y121" s="133"/>
      <c r="Z121" s="133"/>
      <c r="AA121" s="133"/>
      <c r="AB121" s="133"/>
      <c r="AC121" s="133"/>
      <c r="AD121" s="133"/>
      <c r="AE121" s="133"/>
      <c r="AF121" s="133"/>
      <c r="AG121" s="133"/>
      <c r="AH121" s="133"/>
    </row>
    <row r="122" spans="1:34">
      <c r="A122" s="150"/>
      <c r="B122" s="151"/>
      <c r="C122" s="187">
        <v>4.6843971631205603</v>
      </c>
      <c r="D122" s="188">
        <v>16.350000000000001</v>
      </c>
      <c r="E122" s="215"/>
      <c r="F122" s="216"/>
      <c r="G122" s="133"/>
      <c r="H122" s="133"/>
      <c r="I122" s="133"/>
      <c r="J122" s="133"/>
      <c r="K122" s="133"/>
      <c r="L122" s="133"/>
      <c r="M122" s="133"/>
      <c r="N122" s="133"/>
      <c r="O122" s="133"/>
      <c r="P122" s="133"/>
      <c r="Q122" s="133"/>
      <c r="R122" s="133"/>
      <c r="S122" s="133"/>
      <c r="T122" s="133"/>
      <c r="U122" s="133"/>
      <c r="V122" s="133"/>
      <c r="W122" s="133"/>
      <c r="X122" s="133"/>
      <c r="Y122" s="133"/>
      <c r="Z122" s="133"/>
      <c r="AA122" s="133"/>
      <c r="AB122" s="133"/>
      <c r="AC122" s="133"/>
      <c r="AD122" s="133"/>
      <c r="AE122" s="133"/>
      <c r="AF122" s="133"/>
      <c r="AG122" s="133"/>
      <c r="AH122" s="133"/>
    </row>
    <row r="123" spans="1:34" ht="14.5" thickBot="1">
      <c r="A123" s="159"/>
      <c r="B123" s="160"/>
      <c r="C123" s="183"/>
      <c r="D123" s="182"/>
      <c r="E123" s="219"/>
      <c r="F123" s="220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  <c r="T123" s="133"/>
      <c r="U123" s="133"/>
      <c r="V123" s="133"/>
      <c r="W123" s="133"/>
      <c r="X123" s="133"/>
      <c r="Y123" s="133"/>
      <c r="Z123" s="133"/>
      <c r="AA123" s="133"/>
      <c r="AB123" s="133"/>
      <c r="AC123" s="133"/>
      <c r="AD123" s="133"/>
      <c r="AE123" s="133"/>
      <c r="AF123" s="133"/>
      <c r="AG123" s="133"/>
      <c r="AH123" s="133"/>
    </row>
    <row r="124" spans="1:34">
      <c r="G124" s="133"/>
      <c r="H124" s="133"/>
      <c r="I124" s="133"/>
      <c r="J124" s="133"/>
      <c r="K124" s="133"/>
      <c r="L124" s="133"/>
      <c r="M124" s="133"/>
      <c r="N124" s="133"/>
      <c r="O124" s="133"/>
      <c r="P124" s="133"/>
      <c r="Q124" s="133"/>
      <c r="R124" s="133"/>
      <c r="S124" s="133"/>
      <c r="T124" s="133"/>
      <c r="U124" s="133"/>
      <c r="V124" s="133"/>
      <c r="W124" s="133"/>
      <c r="X124" s="133"/>
      <c r="Y124" s="133"/>
      <c r="Z124" s="133"/>
      <c r="AA124" s="133"/>
      <c r="AB124" s="133"/>
      <c r="AC124" s="133"/>
      <c r="AD124" s="133"/>
      <c r="AE124" s="133"/>
      <c r="AF124" s="133"/>
      <c r="AG124" s="133"/>
      <c r="AH124" s="133"/>
    </row>
    <row r="125" spans="1:34">
      <c r="G125" s="133"/>
      <c r="H125" s="133"/>
      <c r="I125" s="133"/>
      <c r="J125" s="133"/>
      <c r="K125" s="133"/>
      <c r="L125" s="133"/>
      <c r="M125" s="133"/>
      <c r="N125" s="133"/>
      <c r="O125" s="133"/>
      <c r="P125" s="133"/>
      <c r="Q125" s="133"/>
      <c r="R125" s="133"/>
      <c r="S125" s="133"/>
      <c r="T125" s="133"/>
      <c r="U125" s="133"/>
      <c r="V125" s="133"/>
      <c r="W125" s="133"/>
      <c r="X125" s="133"/>
      <c r="Y125" s="133"/>
      <c r="Z125" s="133"/>
      <c r="AA125" s="133"/>
      <c r="AB125" s="133"/>
      <c r="AC125" s="133"/>
      <c r="AD125" s="133"/>
      <c r="AE125" s="133"/>
      <c r="AF125" s="133"/>
      <c r="AG125" s="133"/>
      <c r="AH125" s="133"/>
    </row>
    <row r="126" spans="1:34">
      <c r="A126" s="130"/>
      <c r="B126" s="130"/>
      <c r="C126" s="131" t="s">
        <v>879</v>
      </c>
      <c r="D126" s="130"/>
      <c r="E126" s="130"/>
      <c r="F126" s="185" t="s">
        <v>870</v>
      </c>
      <c r="G126" s="133"/>
      <c r="H126" s="133"/>
      <c r="I126" s="133"/>
      <c r="J126" s="133"/>
      <c r="K126" s="133"/>
      <c r="L126" s="133"/>
      <c r="M126" s="133"/>
      <c r="N126" s="133"/>
      <c r="O126" s="133"/>
      <c r="P126" s="133"/>
      <c r="Q126" s="133"/>
      <c r="R126" s="133"/>
      <c r="S126" s="133"/>
      <c r="T126" s="133"/>
      <c r="U126" s="133"/>
      <c r="V126" s="133"/>
      <c r="W126" s="133"/>
      <c r="X126" s="133"/>
      <c r="Y126" s="133"/>
      <c r="Z126" s="133"/>
      <c r="AA126" s="133"/>
      <c r="AB126" s="133"/>
      <c r="AC126" s="133"/>
      <c r="AD126" s="133"/>
      <c r="AE126" s="133"/>
      <c r="AF126" s="133"/>
      <c r="AG126" s="133"/>
      <c r="AH126" s="133"/>
    </row>
    <row r="127" spans="1:34">
      <c r="C127" s="132" t="s">
        <v>856</v>
      </c>
      <c r="D127" s="132" t="s">
        <v>856</v>
      </c>
      <c r="G127" s="133"/>
      <c r="H127" s="133"/>
      <c r="I127" s="133"/>
      <c r="J127" s="133"/>
      <c r="K127" s="133"/>
      <c r="L127" s="133"/>
      <c r="M127" s="133"/>
      <c r="N127" s="133"/>
      <c r="O127" s="133"/>
      <c r="P127" s="133"/>
      <c r="Q127" s="133"/>
      <c r="R127" s="133"/>
      <c r="S127" s="133"/>
      <c r="T127" s="133"/>
      <c r="U127" s="133"/>
      <c r="V127" s="133"/>
      <c r="W127" s="133"/>
      <c r="X127" s="133"/>
      <c r="Y127" s="133"/>
      <c r="Z127" s="133"/>
      <c r="AA127" s="133"/>
      <c r="AB127" s="133"/>
      <c r="AC127" s="133"/>
      <c r="AD127" s="133"/>
      <c r="AE127" s="133"/>
      <c r="AF127" s="133"/>
      <c r="AG127" s="133"/>
      <c r="AH127" s="133"/>
    </row>
    <row r="128" spans="1:34" ht="14.5" thickBot="1">
      <c r="C128" s="134" t="s">
        <v>813</v>
      </c>
      <c r="D128" s="134" t="s">
        <v>813</v>
      </c>
      <c r="E128" s="135" t="s">
        <v>857</v>
      </c>
      <c r="F128" s="135" t="s">
        <v>857</v>
      </c>
      <c r="G128" s="133"/>
      <c r="H128" s="133"/>
      <c r="I128" s="133"/>
      <c r="J128" s="133"/>
      <c r="K128" s="133"/>
      <c r="L128" s="133"/>
      <c r="M128" s="133"/>
      <c r="N128" s="133"/>
      <c r="O128" s="133"/>
      <c r="P128" s="133"/>
      <c r="Q128" s="133"/>
      <c r="R128" s="133"/>
      <c r="S128" s="133"/>
      <c r="T128" s="133"/>
      <c r="U128" s="133"/>
      <c r="V128" s="133"/>
      <c r="W128" s="133"/>
      <c r="X128" s="133"/>
      <c r="Y128" s="133"/>
      <c r="Z128" s="133"/>
      <c r="AA128" s="133"/>
      <c r="AB128" s="133"/>
      <c r="AC128" s="133"/>
      <c r="AD128" s="133"/>
      <c r="AE128" s="133"/>
      <c r="AF128" s="133"/>
      <c r="AG128" s="133"/>
      <c r="AH128" s="133"/>
    </row>
    <row r="129" spans="1:34">
      <c r="C129" s="136" t="s">
        <v>858</v>
      </c>
      <c r="D129" s="137" t="s">
        <v>859</v>
      </c>
      <c r="E129" s="136" t="s">
        <v>858</v>
      </c>
      <c r="F129" s="137" t="s">
        <v>859</v>
      </c>
      <c r="G129" s="133"/>
      <c r="H129" s="133"/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/>
      <c r="Z129" s="133"/>
      <c r="AA129" s="133"/>
      <c r="AB129" s="133"/>
      <c r="AC129" s="133"/>
      <c r="AD129" s="133"/>
      <c r="AE129" s="133"/>
      <c r="AF129" s="133"/>
      <c r="AG129" s="133"/>
      <c r="AH129" s="133"/>
    </row>
    <row r="130" spans="1:34" ht="14.5" thickBot="1">
      <c r="A130" s="138" t="s">
        <v>860</v>
      </c>
      <c r="B130" s="139" t="s">
        <v>861</v>
      </c>
      <c r="C130" s="205" t="s">
        <v>862</v>
      </c>
      <c r="D130" s="206" t="s">
        <v>863</v>
      </c>
      <c r="E130" s="205" t="s">
        <v>862</v>
      </c>
      <c r="F130" s="206" t="s">
        <v>863</v>
      </c>
      <c r="G130" s="133"/>
      <c r="H130" s="133"/>
      <c r="I130" s="133"/>
      <c r="J130" s="133"/>
      <c r="K130" s="133"/>
      <c r="L130" s="133"/>
      <c r="M130" s="133"/>
      <c r="N130" s="133"/>
      <c r="O130" s="133"/>
      <c r="P130" s="133"/>
      <c r="Q130" s="133"/>
      <c r="R130" s="133"/>
      <c r="S130" s="133"/>
      <c r="T130" s="133"/>
      <c r="U130" s="133"/>
      <c r="V130" s="133"/>
      <c r="W130" s="133"/>
      <c r="X130" s="133"/>
      <c r="Y130" s="133"/>
      <c r="Z130" s="133"/>
      <c r="AA130" s="133"/>
      <c r="AB130" s="133"/>
      <c r="AC130" s="133"/>
      <c r="AD130" s="133"/>
      <c r="AE130" s="133"/>
      <c r="AF130" s="133"/>
      <c r="AG130" s="133"/>
      <c r="AH130" s="133"/>
    </row>
    <row r="131" spans="1:34">
      <c r="A131" s="144">
        <v>21</v>
      </c>
      <c r="B131" s="145" t="s">
        <v>880</v>
      </c>
      <c r="C131" s="187">
        <v>0.54155124653739595</v>
      </c>
      <c r="D131" s="188">
        <v>0.91051805337519598</v>
      </c>
      <c r="E131" s="187">
        <v>3.1777469990766298</v>
      </c>
      <c r="F131" s="188">
        <v>6.7</v>
      </c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  <c r="AA131" s="133"/>
      <c r="AB131" s="133"/>
      <c r="AC131" s="133"/>
      <c r="AD131" s="133"/>
      <c r="AE131" s="133"/>
      <c r="AF131" s="133"/>
      <c r="AG131" s="133"/>
      <c r="AH131" s="133"/>
    </row>
    <row r="132" spans="1:34">
      <c r="A132" s="150"/>
      <c r="B132" s="151"/>
      <c r="C132" s="187">
        <v>1.0817174515235399</v>
      </c>
      <c r="D132" s="188">
        <v>1.8838304552590199</v>
      </c>
      <c r="E132" s="187">
        <v>3.6902123730378502</v>
      </c>
      <c r="F132" s="188">
        <v>4.3642072213500702</v>
      </c>
      <c r="G132" s="133"/>
      <c r="H132" s="133"/>
      <c r="I132" s="133"/>
      <c r="J132" s="133"/>
      <c r="K132" s="133"/>
      <c r="L132" s="133"/>
      <c r="M132" s="133"/>
      <c r="N132" s="133"/>
      <c r="O132" s="133"/>
      <c r="P132" s="133"/>
      <c r="Q132" s="133"/>
      <c r="R132" s="133"/>
      <c r="S132" s="133"/>
      <c r="T132" s="133"/>
      <c r="U132" s="133"/>
      <c r="V132" s="133"/>
      <c r="W132" s="133"/>
      <c r="X132" s="133"/>
      <c r="Y132" s="133"/>
      <c r="Z132" s="133"/>
      <c r="AA132" s="133"/>
      <c r="AB132" s="133"/>
      <c r="AC132" s="133"/>
      <c r="AD132" s="133"/>
      <c r="AE132" s="133"/>
      <c r="AF132" s="133"/>
      <c r="AG132" s="133"/>
      <c r="AH132" s="133"/>
    </row>
    <row r="133" spans="1:34">
      <c r="A133" s="150"/>
      <c r="B133" s="151"/>
      <c r="C133" s="187">
        <v>1.61265004616805</v>
      </c>
      <c r="D133" s="188">
        <v>2.8257456828885399</v>
      </c>
      <c r="E133" s="187">
        <v>4.19806094182825</v>
      </c>
      <c r="F133" s="188">
        <v>1.9780219780219701</v>
      </c>
      <c r="G133" s="133"/>
      <c r="H133" s="133"/>
      <c r="I133" s="133"/>
      <c r="J133" s="133"/>
      <c r="K133" s="133"/>
      <c r="L133" s="133"/>
      <c r="M133" s="133"/>
      <c r="N133" s="133"/>
      <c r="O133" s="133"/>
      <c r="P133" s="133"/>
      <c r="Q133" s="133"/>
      <c r="R133" s="133"/>
      <c r="S133" s="133"/>
      <c r="T133" s="133"/>
      <c r="U133" s="133"/>
      <c r="V133" s="133"/>
      <c r="W133" s="133"/>
      <c r="X133" s="133"/>
      <c r="Y133" s="133"/>
      <c r="Z133" s="133"/>
      <c r="AA133" s="133"/>
      <c r="AB133" s="133"/>
      <c r="AC133" s="133"/>
      <c r="AD133" s="133"/>
      <c r="AE133" s="133"/>
      <c r="AF133" s="133"/>
      <c r="AG133" s="133"/>
      <c r="AH133" s="133"/>
    </row>
    <row r="134" spans="1:34">
      <c r="A134" s="150"/>
      <c r="B134" s="151"/>
      <c r="C134" s="187">
        <v>2.1343490304709101</v>
      </c>
      <c r="D134" s="188">
        <v>3.7990580847723701</v>
      </c>
      <c r="E134" s="187">
        <v>4.6966759002770004</v>
      </c>
      <c r="F134" s="188">
        <v>0.97331240188382995</v>
      </c>
      <c r="G134" s="133"/>
      <c r="H134" s="133"/>
      <c r="I134" s="133"/>
      <c r="J134" s="133"/>
      <c r="K134" s="133"/>
      <c r="L134" s="133"/>
      <c r="M134" s="133"/>
      <c r="N134" s="133"/>
      <c r="O134" s="133"/>
      <c r="P134" s="133"/>
      <c r="Q134" s="133"/>
      <c r="R134" s="133"/>
      <c r="S134" s="133"/>
      <c r="T134" s="133"/>
      <c r="U134" s="133"/>
      <c r="V134" s="133"/>
      <c r="W134" s="133"/>
      <c r="X134" s="133"/>
      <c r="Y134" s="133"/>
      <c r="Z134" s="133"/>
      <c r="AA134" s="133"/>
      <c r="AB134" s="133"/>
      <c r="AC134" s="133"/>
      <c r="AD134" s="133"/>
      <c r="AE134" s="133"/>
      <c r="AF134" s="133"/>
      <c r="AG134" s="133"/>
      <c r="AH134" s="133"/>
    </row>
    <row r="135" spans="1:34">
      <c r="A135" s="150"/>
      <c r="B135" s="151"/>
      <c r="C135" s="187">
        <v>2.6560480147737699</v>
      </c>
      <c r="D135" s="188">
        <v>9.8000000000000007</v>
      </c>
      <c r="E135" s="187">
        <v>5.19990766389658</v>
      </c>
      <c r="F135" s="188">
        <v>0.439560439560439</v>
      </c>
      <c r="G135" s="133"/>
      <c r="H135" s="133"/>
      <c r="I135" s="133"/>
      <c r="J135" s="133"/>
      <c r="K135" s="133"/>
      <c r="L135" s="133"/>
      <c r="M135" s="133"/>
      <c r="N135" s="133"/>
      <c r="O135" s="133"/>
      <c r="P135" s="133"/>
      <c r="Q135" s="133"/>
      <c r="R135" s="133"/>
      <c r="S135" s="133"/>
      <c r="T135" s="133"/>
      <c r="U135" s="133"/>
      <c r="V135" s="133"/>
      <c r="W135" s="133"/>
      <c r="X135" s="133"/>
      <c r="Y135" s="133"/>
      <c r="Z135" s="133"/>
      <c r="AA135" s="133"/>
      <c r="AB135" s="133"/>
      <c r="AC135" s="133"/>
      <c r="AD135" s="133"/>
      <c r="AE135" s="133"/>
      <c r="AF135" s="133"/>
      <c r="AG135" s="133"/>
      <c r="AH135" s="133"/>
    </row>
    <row r="136" spans="1:34">
      <c r="A136" s="150"/>
      <c r="B136" s="151"/>
      <c r="C136" s="210"/>
      <c r="D136" s="211"/>
      <c r="E136" s="189"/>
      <c r="F136" s="190"/>
      <c r="G136" s="133"/>
      <c r="H136" s="133"/>
      <c r="I136" s="133"/>
      <c r="J136" s="133"/>
      <c r="K136" s="133"/>
      <c r="L136" s="133"/>
      <c r="M136" s="133"/>
      <c r="N136" s="133"/>
      <c r="O136" s="133"/>
      <c r="P136" s="133"/>
      <c r="Q136" s="133"/>
      <c r="R136" s="133"/>
      <c r="S136" s="133"/>
      <c r="T136" s="133"/>
      <c r="U136" s="133"/>
      <c r="V136" s="133"/>
      <c r="W136" s="133"/>
      <c r="X136" s="133"/>
      <c r="Y136" s="133"/>
      <c r="Z136" s="133"/>
      <c r="AA136" s="133"/>
      <c r="AB136" s="133"/>
      <c r="AC136" s="133"/>
      <c r="AD136" s="133"/>
      <c r="AE136" s="133"/>
      <c r="AF136" s="133"/>
      <c r="AG136" s="133"/>
      <c r="AH136" s="133"/>
    </row>
    <row r="137" spans="1:34">
      <c r="A137" s="150"/>
      <c r="B137" s="151"/>
      <c r="C137" s="210"/>
      <c r="D137" s="211"/>
      <c r="E137" s="189"/>
      <c r="F137" s="190"/>
      <c r="G137" s="133"/>
      <c r="H137" s="133"/>
      <c r="I137" s="133"/>
      <c r="J137" s="133"/>
      <c r="K137" s="133"/>
      <c r="L137" s="133"/>
      <c r="M137" s="133"/>
      <c r="N137" s="133"/>
      <c r="O137" s="133"/>
      <c r="P137" s="133"/>
      <c r="Q137" s="133"/>
      <c r="R137" s="133"/>
      <c r="S137" s="133"/>
      <c r="T137" s="133"/>
      <c r="U137" s="133"/>
      <c r="V137" s="133"/>
      <c r="W137" s="133"/>
      <c r="X137" s="133"/>
      <c r="Y137" s="133"/>
      <c r="Z137" s="133"/>
      <c r="AA137" s="133"/>
      <c r="AB137" s="133"/>
      <c r="AC137" s="133"/>
      <c r="AD137" s="133"/>
      <c r="AE137" s="133"/>
      <c r="AF137" s="133"/>
      <c r="AG137" s="133"/>
      <c r="AH137" s="133"/>
    </row>
    <row r="138" spans="1:34">
      <c r="A138" s="150"/>
      <c r="B138" s="151"/>
      <c r="C138" s="178"/>
      <c r="D138" s="179"/>
      <c r="E138" s="189"/>
      <c r="F138" s="190"/>
      <c r="G138" s="133"/>
      <c r="H138" s="133"/>
      <c r="I138" s="133"/>
      <c r="J138" s="133"/>
      <c r="K138" s="133"/>
      <c r="L138" s="133"/>
      <c r="M138" s="133"/>
      <c r="N138" s="133"/>
      <c r="O138" s="133"/>
      <c r="P138" s="133"/>
      <c r="Q138" s="133"/>
      <c r="R138" s="133"/>
      <c r="S138" s="133"/>
      <c r="T138" s="133"/>
      <c r="U138" s="133"/>
      <c r="V138" s="133"/>
      <c r="W138" s="133"/>
      <c r="X138" s="133"/>
      <c r="Y138" s="133"/>
      <c r="Z138" s="133"/>
      <c r="AA138" s="133"/>
      <c r="AB138" s="133"/>
      <c r="AC138" s="133"/>
      <c r="AD138" s="133"/>
      <c r="AE138" s="133"/>
      <c r="AF138" s="133"/>
      <c r="AG138" s="133"/>
      <c r="AH138" s="133"/>
    </row>
    <row r="139" spans="1:34">
      <c r="A139" s="150"/>
      <c r="B139" s="151"/>
      <c r="C139" s="178"/>
      <c r="D139" s="179"/>
      <c r="E139" s="189"/>
      <c r="F139" s="190"/>
      <c r="G139" s="133"/>
      <c r="H139" s="133"/>
      <c r="I139" s="133"/>
      <c r="J139" s="133"/>
      <c r="K139" s="133"/>
      <c r="L139" s="133"/>
      <c r="M139" s="133"/>
      <c r="N139" s="133"/>
      <c r="O139" s="133"/>
      <c r="P139" s="133"/>
      <c r="Q139" s="133"/>
      <c r="R139" s="133"/>
      <c r="S139" s="133"/>
      <c r="T139" s="133"/>
      <c r="U139" s="133"/>
      <c r="V139" s="133"/>
      <c r="W139" s="133"/>
      <c r="X139" s="133"/>
      <c r="Y139" s="133"/>
      <c r="Z139" s="133"/>
      <c r="AA139" s="133"/>
      <c r="AB139" s="133"/>
      <c r="AC139" s="133"/>
      <c r="AD139" s="133"/>
      <c r="AE139" s="133"/>
      <c r="AF139" s="133"/>
      <c r="AG139" s="133"/>
      <c r="AH139" s="133"/>
    </row>
    <row r="140" spans="1:34" ht="14.5" thickBot="1">
      <c r="A140" s="159"/>
      <c r="B140" s="160"/>
      <c r="C140" s="181"/>
      <c r="D140" s="182"/>
      <c r="E140" s="183"/>
      <c r="F140" s="182"/>
      <c r="G140" s="133"/>
      <c r="H140" s="133"/>
      <c r="I140" s="133"/>
      <c r="J140" s="133"/>
      <c r="K140" s="133"/>
      <c r="L140" s="133"/>
      <c r="M140" s="133"/>
      <c r="N140" s="133"/>
      <c r="O140" s="133"/>
      <c r="P140" s="133"/>
      <c r="Q140" s="133"/>
      <c r="R140" s="133"/>
      <c r="S140" s="133"/>
      <c r="T140" s="133"/>
      <c r="U140" s="133"/>
      <c r="V140" s="133"/>
      <c r="W140" s="133"/>
      <c r="X140" s="133"/>
      <c r="Y140" s="133"/>
      <c r="Z140" s="133"/>
      <c r="AA140" s="133"/>
      <c r="AB140" s="133"/>
      <c r="AC140" s="133"/>
      <c r="AD140" s="133"/>
      <c r="AE140" s="133"/>
      <c r="AF140" s="133"/>
      <c r="AG140" s="133"/>
      <c r="AH140" s="133"/>
    </row>
    <row r="141" spans="1:34">
      <c r="G141" s="133"/>
      <c r="H141" s="133"/>
      <c r="I141" s="133"/>
      <c r="J141" s="133"/>
      <c r="K141" s="133"/>
      <c r="L141" s="133"/>
      <c r="M141" s="133"/>
      <c r="N141" s="133"/>
      <c r="O141" s="133"/>
      <c r="P141" s="133"/>
      <c r="Q141" s="133"/>
      <c r="R141" s="133"/>
      <c r="S141" s="133"/>
      <c r="T141" s="133"/>
      <c r="U141" s="133"/>
      <c r="V141" s="133"/>
      <c r="W141" s="133"/>
      <c r="X141" s="133"/>
      <c r="Y141" s="133"/>
      <c r="Z141" s="133"/>
      <c r="AA141" s="133"/>
      <c r="AB141" s="133"/>
      <c r="AC141" s="133"/>
      <c r="AD141" s="133"/>
      <c r="AE141" s="133"/>
      <c r="AF141" s="133"/>
      <c r="AG141" s="133"/>
      <c r="AH141" s="133"/>
    </row>
    <row r="142" spans="1:34">
      <c r="G142" s="133"/>
      <c r="H142" s="133"/>
      <c r="I142" s="133"/>
      <c r="J142" s="133"/>
      <c r="K142" s="133"/>
      <c r="L142" s="133"/>
      <c r="M142" s="133"/>
      <c r="N142" s="133"/>
      <c r="O142" s="133"/>
      <c r="P142" s="133"/>
      <c r="Q142" s="133"/>
      <c r="R142" s="133"/>
      <c r="S142" s="133"/>
      <c r="T142" s="133"/>
      <c r="U142" s="133"/>
      <c r="V142" s="133"/>
      <c r="W142" s="133"/>
      <c r="X142" s="133"/>
      <c r="Y142" s="133"/>
      <c r="Z142" s="133"/>
      <c r="AA142" s="133"/>
      <c r="AB142" s="133"/>
      <c r="AC142" s="133"/>
      <c r="AD142" s="133"/>
      <c r="AE142" s="133"/>
      <c r="AF142" s="133"/>
      <c r="AG142" s="133"/>
      <c r="AH142" s="133"/>
    </row>
    <row r="143" spans="1:34">
      <c r="A143" s="130"/>
      <c r="B143" s="130"/>
      <c r="C143" s="131" t="s">
        <v>881</v>
      </c>
      <c r="D143" s="130"/>
      <c r="E143" s="130"/>
      <c r="F143" s="185" t="s">
        <v>870</v>
      </c>
      <c r="G143" s="133"/>
      <c r="H143" s="133"/>
      <c r="I143" s="133"/>
      <c r="J143" s="133"/>
      <c r="K143" s="133"/>
      <c r="L143" s="133"/>
      <c r="M143" s="133"/>
      <c r="N143" s="133"/>
      <c r="O143" s="133"/>
      <c r="P143" s="133"/>
      <c r="Q143" s="133"/>
      <c r="R143" s="133"/>
      <c r="S143" s="133"/>
      <c r="T143" s="133"/>
      <c r="U143" s="133"/>
      <c r="V143" s="133"/>
      <c r="W143" s="133"/>
      <c r="X143" s="133"/>
      <c r="Y143" s="133"/>
      <c r="Z143" s="133"/>
      <c r="AA143" s="133"/>
      <c r="AB143" s="133"/>
      <c r="AC143" s="133"/>
      <c r="AD143" s="133"/>
      <c r="AE143" s="133"/>
      <c r="AF143" s="133"/>
      <c r="AG143" s="133"/>
      <c r="AH143" s="133"/>
    </row>
    <row r="144" spans="1:34">
      <c r="C144" s="132" t="s">
        <v>856</v>
      </c>
      <c r="D144" s="132" t="s">
        <v>856</v>
      </c>
      <c r="G144" s="133"/>
      <c r="H144" s="133"/>
      <c r="I144" s="133"/>
      <c r="J144" s="133"/>
      <c r="K144" s="133"/>
      <c r="L144" s="133"/>
      <c r="M144" s="133"/>
      <c r="N144" s="133"/>
      <c r="O144" s="133"/>
      <c r="P144" s="133"/>
      <c r="Q144" s="133"/>
      <c r="R144" s="133"/>
      <c r="S144" s="133"/>
      <c r="T144" s="133"/>
      <c r="U144" s="133"/>
      <c r="V144" s="133"/>
      <c r="W144" s="133"/>
      <c r="X144" s="133"/>
      <c r="Y144" s="133"/>
      <c r="Z144" s="133"/>
      <c r="AA144" s="133"/>
      <c r="AB144" s="133"/>
      <c r="AC144" s="133"/>
      <c r="AD144" s="133"/>
      <c r="AE144" s="133"/>
      <c r="AF144" s="133"/>
      <c r="AG144" s="133"/>
      <c r="AH144" s="133"/>
    </row>
    <row r="145" spans="1:34" ht="14.5" thickBot="1">
      <c r="C145" s="134" t="s">
        <v>813</v>
      </c>
      <c r="D145" s="134" t="s">
        <v>813</v>
      </c>
      <c r="E145" s="135" t="s">
        <v>857</v>
      </c>
      <c r="F145" s="135" t="s">
        <v>857</v>
      </c>
      <c r="G145" s="133"/>
      <c r="H145" s="133"/>
      <c r="I145" s="133"/>
      <c r="J145" s="133"/>
      <c r="K145" s="133"/>
      <c r="L145" s="133"/>
      <c r="M145" s="133"/>
      <c r="N145" s="133"/>
      <c r="O145" s="133"/>
      <c r="P145" s="133"/>
      <c r="Q145" s="133"/>
      <c r="R145" s="133"/>
      <c r="S145" s="133"/>
      <c r="T145" s="133"/>
      <c r="U145" s="133"/>
      <c r="V145" s="133"/>
      <c r="W145" s="133"/>
      <c r="X145" s="133"/>
      <c r="Y145" s="133"/>
      <c r="Z145" s="133"/>
      <c r="AA145" s="133"/>
      <c r="AB145" s="133"/>
      <c r="AC145" s="133"/>
      <c r="AD145" s="133"/>
      <c r="AE145" s="133"/>
      <c r="AF145" s="133"/>
      <c r="AG145" s="133"/>
      <c r="AH145" s="133"/>
    </row>
    <row r="146" spans="1:34">
      <c r="C146" s="136" t="s">
        <v>858</v>
      </c>
      <c r="D146" s="212" t="s">
        <v>859</v>
      </c>
      <c r="E146" s="136" t="s">
        <v>858</v>
      </c>
      <c r="F146" s="137" t="s">
        <v>859</v>
      </c>
      <c r="G146" s="133"/>
      <c r="H146" s="133"/>
      <c r="I146" s="133"/>
      <c r="J146" s="133"/>
      <c r="K146" s="133"/>
      <c r="L146" s="133"/>
      <c r="M146" s="133"/>
      <c r="N146" s="133"/>
      <c r="O146" s="133"/>
      <c r="P146" s="133"/>
      <c r="Q146" s="133"/>
      <c r="R146" s="133"/>
      <c r="S146" s="133"/>
      <c r="T146" s="133"/>
      <c r="U146" s="133"/>
      <c r="V146" s="133"/>
      <c r="W146" s="133"/>
      <c r="X146" s="133"/>
      <c r="Y146" s="133"/>
      <c r="Z146" s="133"/>
      <c r="AA146" s="133"/>
      <c r="AB146" s="133"/>
      <c r="AC146" s="133"/>
      <c r="AD146" s="133"/>
      <c r="AE146" s="133"/>
      <c r="AF146" s="133"/>
      <c r="AG146" s="133"/>
      <c r="AH146" s="133"/>
    </row>
    <row r="147" spans="1:34" ht="14.5" thickBot="1">
      <c r="A147" s="138" t="s">
        <v>860</v>
      </c>
      <c r="B147" s="139" t="s">
        <v>861</v>
      </c>
      <c r="C147" s="205" t="s">
        <v>862</v>
      </c>
      <c r="D147" s="221" t="s">
        <v>863</v>
      </c>
      <c r="E147" s="205" t="s">
        <v>862</v>
      </c>
      <c r="F147" s="206" t="s">
        <v>863</v>
      </c>
      <c r="G147" s="133"/>
      <c r="H147" s="133"/>
      <c r="I147" s="133"/>
      <c r="J147" s="133"/>
      <c r="K147" s="133"/>
      <c r="L147" s="133"/>
      <c r="M147" s="133"/>
      <c r="N147" s="133"/>
      <c r="O147" s="133"/>
      <c r="P147" s="133"/>
      <c r="Q147" s="133"/>
      <c r="R147" s="133"/>
      <c r="S147" s="133"/>
      <c r="T147" s="133"/>
      <c r="U147" s="133"/>
      <c r="V147" s="133"/>
      <c r="W147" s="133"/>
      <c r="X147" s="133"/>
      <c r="Y147" s="133"/>
      <c r="Z147" s="133"/>
      <c r="AA147" s="133"/>
      <c r="AB147" s="133"/>
      <c r="AC147" s="133"/>
      <c r="AD147" s="133"/>
      <c r="AE147" s="133"/>
      <c r="AF147" s="133"/>
      <c r="AG147" s="133"/>
      <c r="AH147" s="133"/>
    </row>
    <row r="148" spans="1:34">
      <c r="A148" s="144">
        <v>21</v>
      </c>
      <c r="B148" s="145" t="s">
        <v>882</v>
      </c>
      <c r="C148" s="214">
        <v>0.53500000000000003</v>
      </c>
      <c r="D148" s="214">
        <v>0.95</v>
      </c>
      <c r="E148" s="187">
        <v>2.65</v>
      </c>
      <c r="F148" s="188">
        <v>19.05</v>
      </c>
      <c r="G148" s="133"/>
      <c r="H148" s="133"/>
      <c r="I148" s="133"/>
      <c r="J148" s="133"/>
      <c r="K148" s="133"/>
      <c r="L148" s="133"/>
      <c r="M148" s="133"/>
      <c r="N148" s="133"/>
      <c r="O148" s="133"/>
      <c r="P148" s="133"/>
      <c r="Q148" s="133"/>
      <c r="R148" s="133"/>
      <c r="S148" s="133"/>
      <c r="T148" s="133"/>
      <c r="U148" s="133"/>
      <c r="V148" s="133"/>
      <c r="W148" s="133"/>
      <c r="X148" s="133"/>
      <c r="Y148" s="133"/>
      <c r="Z148" s="133"/>
      <c r="AA148" s="133"/>
      <c r="AB148" s="133"/>
      <c r="AC148" s="133"/>
      <c r="AD148" s="133"/>
      <c r="AE148" s="133"/>
      <c r="AF148" s="133"/>
      <c r="AG148" s="133"/>
      <c r="AH148" s="133"/>
    </row>
    <row r="149" spans="1:34">
      <c r="A149" s="150"/>
      <c r="B149" s="151"/>
      <c r="C149" s="214">
        <v>1.075</v>
      </c>
      <c r="D149" s="214">
        <v>1.4</v>
      </c>
      <c r="E149" s="187">
        <v>3.1718606779999998</v>
      </c>
      <c r="F149" s="188">
        <v>11.1</v>
      </c>
      <c r="G149" s="133"/>
      <c r="H149" s="133"/>
      <c r="I149" s="133"/>
      <c r="J149" s="133"/>
      <c r="K149" s="133"/>
      <c r="L149" s="133"/>
      <c r="M149" s="133"/>
      <c r="N149" s="133"/>
      <c r="O149" s="133"/>
      <c r="P149" s="133"/>
      <c r="Q149" s="133"/>
      <c r="R149" s="133"/>
      <c r="S149" s="133"/>
      <c r="T149" s="133"/>
      <c r="U149" s="133"/>
      <c r="V149" s="133"/>
      <c r="W149" s="133"/>
      <c r="X149" s="133"/>
      <c r="Y149" s="133"/>
      <c r="Z149" s="133"/>
      <c r="AA149" s="133"/>
      <c r="AB149" s="133"/>
      <c r="AC149" s="133"/>
      <c r="AD149" s="133"/>
      <c r="AE149" s="133"/>
      <c r="AF149" s="133"/>
      <c r="AG149" s="133"/>
      <c r="AH149" s="133"/>
    </row>
    <row r="150" spans="1:34">
      <c r="A150" s="150"/>
      <c r="B150" s="151"/>
      <c r="C150" s="214">
        <v>1.6</v>
      </c>
      <c r="D150" s="214">
        <v>2.8125</v>
      </c>
      <c r="E150" s="189"/>
      <c r="F150" s="190"/>
      <c r="G150" s="133"/>
      <c r="H150" s="133"/>
      <c r="I150" s="133"/>
      <c r="J150" s="133"/>
      <c r="K150" s="133"/>
      <c r="L150" s="133"/>
      <c r="M150" s="133"/>
      <c r="N150" s="133"/>
      <c r="O150" s="133"/>
      <c r="P150" s="133"/>
      <c r="Q150" s="133"/>
      <c r="R150" s="133"/>
      <c r="S150" s="133"/>
      <c r="T150" s="133"/>
      <c r="U150" s="133"/>
      <c r="V150" s="133"/>
      <c r="W150" s="133"/>
      <c r="X150" s="133"/>
      <c r="Y150" s="133"/>
      <c r="Z150" s="133"/>
      <c r="AA150" s="133"/>
      <c r="AB150" s="133"/>
      <c r="AC150" s="133"/>
      <c r="AD150" s="133"/>
      <c r="AE150" s="133"/>
      <c r="AF150" s="133"/>
      <c r="AG150" s="133"/>
      <c r="AH150" s="133"/>
    </row>
    <row r="151" spans="1:34">
      <c r="A151" s="150"/>
      <c r="B151" s="151"/>
      <c r="C151" s="214">
        <v>2.13</v>
      </c>
      <c r="D151" s="214">
        <v>2.4500000000000002</v>
      </c>
      <c r="E151" s="189"/>
      <c r="F151" s="190"/>
      <c r="G151" s="133"/>
      <c r="H151" s="133"/>
      <c r="I151" s="133"/>
      <c r="J151" s="133"/>
      <c r="K151" s="133"/>
      <c r="L151" s="133"/>
      <c r="M151" s="133"/>
      <c r="N151" s="133"/>
      <c r="O151" s="133"/>
      <c r="P151" s="133"/>
      <c r="Q151" s="133"/>
      <c r="R151" s="133"/>
      <c r="S151" s="133"/>
      <c r="T151" s="133"/>
      <c r="U151" s="133"/>
      <c r="V151" s="133"/>
      <c r="W151" s="133"/>
      <c r="X151" s="133"/>
      <c r="Y151" s="133"/>
      <c r="Z151" s="133"/>
      <c r="AA151" s="133"/>
      <c r="AB151" s="133"/>
      <c r="AC151" s="133"/>
      <c r="AD151" s="133"/>
      <c r="AE151" s="133"/>
      <c r="AF151" s="133"/>
      <c r="AG151" s="133"/>
      <c r="AH151" s="133"/>
    </row>
    <row r="152" spans="1:34">
      <c r="A152" s="150"/>
      <c r="B152" s="151"/>
      <c r="C152" s="214">
        <v>2.6494042163153</v>
      </c>
      <c r="D152" s="214">
        <v>7.1</v>
      </c>
      <c r="E152" s="189"/>
      <c r="F152" s="190"/>
      <c r="G152" s="133"/>
      <c r="H152" s="133"/>
      <c r="I152" s="133"/>
      <c r="J152" s="133"/>
      <c r="K152" s="133"/>
      <c r="L152" s="133"/>
      <c r="M152" s="133"/>
      <c r="N152" s="133"/>
      <c r="O152" s="133"/>
      <c r="P152" s="133"/>
      <c r="Q152" s="133"/>
      <c r="R152" s="133"/>
      <c r="S152" s="133"/>
      <c r="T152" s="133"/>
      <c r="U152" s="133"/>
      <c r="V152" s="133"/>
      <c r="W152" s="133"/>
      <c r="X152" s="133"/>
      <c r="Y152" s="133"/>
      <c r="Z152" s="133"/>
      <c r="AA152" s="133"/>
      <c r="AB152" s="133"/>
      <c r="AC152" s="133"/>
      <c r="AD152" s="133"/>
      <c r="AE152" s="133"/>
      <c r="AF152" s="133"/>
      <c r="AG152" s="133"/>
      <c r="AH152" s="133"/>
    </row>
    <row r="153" spans="1:34">
      <c r="A153" s="150"/>
      <c r="B153" s="151"/>
      <c r="C153" s="214">
        <v>3.17186067827681</v>
      </c>
      <c r="D153" s="214">
        <v>14.45</v>
      </c>
      <c r="E153" s="189"/>
      <c r="F153" s="190"/>
      <c r="G153" s="133"/>
      <c r="H153" s="133"/>
      <c r="I153" s="133"/>
      <c r="J153" s="133"/>
      <c r="K153" s="133"/>
      <c r="L153" s="133"/>
      <c r="M153" s="133"/>
      <c r="N153" s="133"/>
      <c r="O153" s="133"/>
      <c r="P153" s="133"/>
      <c r="Q153" s="133"/>
      <c r="R153" s="133"/>
      <c r="S153" s="133"/>
      <c r="T153" s="133"/>
      <c r="U153" s="133"/>
      <c r="V153" s="133"/>
      <c r="W153" s="133"/>
      <c r="X153" s="133"/>
      <c r="Y153" s="133"/>
      <c r="Z153" s="133"/>
      <c r="AA153" s="133"/>
      <c r="AB153" s="133"/>
      <c r="AC153" s="133"/>
      <c r="AD153" s="133"/>
      <c r="AE153" s="133"/>
      <c r="AF153" s="133"/>
      <c r="AG153" s="133"/>
      <c r="AH153" s="133"/>
    </row>
    <row r="154" spans="1:34">
      <c r="A154" s="150"/>
      <c r="C154" s="217"/>
      <c r="D154" s="217"/>
      <c r="E154" s="189"/>
      <c r="F154" s="190"/>
      <c r="G154" s="133"/>
      <c r="H154" s="133"/>
      <c r="I154" s="133"/>
      <c r="J154" s="133"/>
      <c r="K154" s="133"/>
      <c r="L154" s="133"/>
      <c r="M154" s="133"/>
      <c r="N154" s="133"/>
      <c r="O154" s="133"/>
      <c r="P154" s="133"/>
      <c r="Q154" s="133"/>
      <c r="R154" s="133"/>
      <c r="S154" s="133"/>
      <c r="T154" s="133"/>
      <c r="U154" s="133"/>
      <c r="V154" s="133"/>
      <c r="W154" s="133"/>
      <c r="X154" s="133"/>
      <c r="Y154" s="133"/>
      <c r="Z154" s="133"/>
      <c r="AA154" s="133"/>
      <c r="AB154" s="133"/>
      <c r="AC154" s="133"/>
      <c r="AD154" s="133"/>
      <c r="AE154" s="133"/>
      <c r="AF154" s="133"/>
      <c r="AG154" s="133"/>
      <c r="AH154" s="133"/>
    </row>
    <row r="155" spans="1:34">
      <c r="A155" s="150"/>
      <c r="C155" s="222"/>
      <c r="D155" s="222"/>
      <c r="E155" s="189"/>
      <c r="F155" s="190"/>
      <c r="G155" s="133"/>
      <c r="H155" s="133"/>
      <c r="I155" s="133"/>
      <c r="J155" s="133"/>
      <c r="K155" s="133"/>
      <c r="L155" s="133"/>
      <c r="M155" s="133"/>
      <c r="N155" s="133"/>
      <c r="O155" s="133"/>
      <c r="P155" s="133"/>
      <c r="Q155" s="133"/>
      <c r="R155" s="133"/>
      <c r="S155" s="133"/>
      <c r="T155" s="133"/>
      <c r="U155" s="133"/>
      <c r="V155" s="133"/>
      <c r="W155" s="133"/>
      <c r="X155" s="133"/>
      <c r="Y155" s="133"/>
      <c r="Z155" s="133"/>
      <c r="AA155" s="133"/>
      <c r="AB155" s="133"/>
      <c r="AC155" s="133"/>
      <c r="AD155" s="133"/>
      <c r="AE155" s="133"/>
      <c r="AF155" s="133"/>
      <c r="AG155" s="133"/>
      <c r="AH155" s="133"/>
    </row>
    <row r="156" spans="1:34">
      <c r="A156" s="150"/>
      <c r="B156" s="151"/>
      <c r="C156" s="178"/>
      <c r="D156" s="217"/>
      <c r="E156" s="189"/>
      <c r="F156" s="190"/>
      <c r="G156" s="133"/>
      <c r="H156" s="133"/>
      <c r="I156" s="133"/>
      <c r="J156" s="133"/>
      <c r="K156" s="133"/>
      <c r="L156" s="133"/>
      <c r="M156" s="133"/>
      <c r="N156" s="133"/>
      <c r="O156" s="133"/>
      <c r="P156" s="133"/>
      <c r="Q156" s="133"/>
      <c r="R156" s="133"/>
      <c r="S156" s="133"/>
      <c r="T156" s="133"/>
      <c r="U156" s="133"/>
      <c r="V156" s="133"/>
      <c r="W156" s="133"/>
      <c r="X156" s="133"/>
      <c r="Y156" s="133"/>
      <c r="Z156" s="133"/>
      <c r="AA156" s="133"/>
      <c r="AB156" s="133"/>
      <c r="AC156" s="133"/>
      <c r="AD156" s="133"/>
      <c r="AE156" s="133"/>
      <c r="AF156" s="133"/>
      <c r="AG156" s="133"/>
      <c r="AH156" s="133"/>
    </row>
    <row r="157" spans="1:34" ht="14.5" thickBot="1">
      <c r="A157" s="159"/>
      <c r="B157" s="160"/>
      <c r="C157" s="181"/>
      <c r="D157" s="218"/>
      <c r="E157" s="183"/>
      <c r="F157" s="182"/>
      <c r="G157" s="133"/>
      <c r="H157" s="133"/>
      <c r="I157" s="133"/>
      <c r="J157" s="133"/>
      <c r="K157" s="133"/>
      <c r="L157" s="133"/>
      <c r="M157" s="133"/>
      <c r="N157" s="133"/>
      <c r="O157" s="133"/>
      <c r="P157" s="133"/>
      <c r="Q157" s="133"/>
      <c r="R157" s="133"/>
      <c r="S157" s="133"/>
      <c r="T157" s="133"/>
      <c r="U157" s="133"/>
      <c r="V157" s="133"/>
      <c r="W157" s="133"/>
      <c r="X157" s="133"/>
      <c r="Y157" s="133"/>
      <c r="Z157" s="133"/>
      <c r="AA157" s="133"/>
      <c r="AB157" s="133"/>
      <c r="AC157" s="133"/>
      <c r="AD157" s="133"/>
      <c r="AE157" s="133"/>
      <c r="AF157" s="133"/>
      <c r="AG157" s="133"/>
      <c r="AH157" s="133"/>
    </row>
    <row r="158" spans="1:34">
      <c r="G158" s="133"/>
      <c r="H158" s="133"/>
      <c r="I158" s="133"/>
      <c r="J158" s="133"/>
      <c r="K158" s="133"/>
      <c r="L158" s="133"/>
      <c r="M158" s="133"/>
      <c r="N158" s="133"/>
      <c r="O158" s="133"/>
      <c r="P158" s="133"/>
      <c r="Q158" s="133"/>
      <c r="R158" s="133"/>
      <c r="S158" s="133"/>
      <c r="T158" s="133"/>
      <c r="U158" s="133"/>
      <c r="V158" s="133"/>
      <c r="W158" s="133"/>
      <c r="X158" s="133"/>
      <c r="Y158" s="133"/>
      <c r="Z158" s="133"/>
      <c r="AA158" s="133"/>
      <c r="AB158" s="133"/>
      <c r="AC158" s="133"/>
      <c r="AD158" s="133"/>
      <c r="AE158" s="133"/>
      <c r="AF158" s="133"/>
      <c r="AG158" s="133"/>
      <c r="AH158" s="133"/>
    </row>
    <row r="159" spans="1:34">
      <c r="G159" s="133"/>
      <c r="H159" s="133"/>
      <c r="I159" s="133"/>
      <c r="J159" s="133"/>
      <c r="K159" s="133"/>
      <c r="L159" s="133"/>
      <c r="M159" s="133"/>
      <c r="N159" s="133"/>
      <c r="O159" s="133"/>
      <c r="P159" s="133"/>
      <c r="Q159" s="133"/>
      <c r="R159" s="133"/>
      <c r="S159" s="133"/>
      <c r="T159" s="133"/>
      <c r="U159" s="133"/>
      <c r="V159" s="133"/>
      <c r="W159" s="133"/>
      <c r="X159" s="133"/>
      <c r="Y159" s="133"/>
      <c r="Z159" s="133"/>
      <c r="AA159" s="133"/>
      <c r="AB159" s="133"/>
      <c r="AC159" s="133"/>
      <c r="AD159" s="133"/>
      <c r="AE159" s="133"/>
      <c r="AF159" s="133"/>
      <c r="AG159" s="133"/>
      <c r="AH159" s="133"/>
    </row>
    <row r="160" spans="1:34">
      <c r="A160" s="130"/>
      <c r="B160" s="130"/>
      <c r="C160" s="131" t="s">
        <v>883</v>
      </c>
      <c r="D160" s="130"/>
      <c r="E160" s="130"/>
      <c r="F160" s="185" t="s">
        <v>870</v>
      </c>
      <c r="G160" s="133"/>
      <c r="H160" s="133"/>
      <c r="I160" s="133"/>
      <c r="J160" s="133"/>
      <c r="K160" s="133"/>
      <c r="L160" s="133"/>
      <c r="M160" s="133"/>
      <c r="N160" s="133"/>
      <c r="O160" s="133"/>
      <c r="P160" s="133"/>
      <c r="Q160" s="133"/>
      <c r="R160" s="133"/>
      <c r="S160" s="133"/>
      <c r="T160" s="133"/>
      <c r="U160" s="133"/>
      <c r="V160" s="133"/>
      <c r="W160" s="133"/>
      <c r="X160" s="133"/>
      <c r="Y160" s="133"/>
      <c r="Z160" s="133"/>
      <c r="AA160" s="133"/>
      <c r="AB160" s="133"/>
      <c r="AC160" s="133"/>
      <c r="AD160" s="133"/>
      <c r="AE160" s="133"/>
      <c r="AF160" s="133"/>
      <c r="AG160" s="133"/>
      <c r="AH160" s="133"/>
    </row>
    <row r="161" spans="1:34">
      <c r="C161" s="132" t="s">
        <v>856</v>
      </c>
      <c r="D161" s="132" t="s">
        <v>856</v>
      </c>
      <c r="G161" s="133"/>
      <c r="H161" s="133"/>
      <c r="I161" s="133"/>
      <c r="J161" s="133"/>
      <c r="K161" s="133"/>
      <c r="L161" s="133"/>
      <c r="M161" s="133"/>
      <c r="N161" s="133"/>
      <c r="O161" s="133"/>
      <c r="P161" s="133"/>
      <c r="Q161" s="133"/>
      <c r="R161" s="133"/>
      <c r="S161" s="133"/>
      <c r="T161" s="133"/>
      <c r="U161" s="133"/>
      <c r="V161" s="133"/>
      <c r="W161" s="133"/>
      <c r="X161" s="133"/>
      <c r="Y161" s="133"/>
      <c r="Z161" s="133"/>
      <c r="AA161" s="133"/>
      <c r="AB161" s="133"/>
      <c r="AC161" s="133"/>
      <c r="AD161" s="133"/>
      <c r="AE161" s="133"/>
      <c r="AF161" s="133"/>
      <c r="AG161" s="133"/>
      <c r="AH161" s="133"/>
    </row>
    <row r="162" spans="1:34" ht="14.5" thickBot="1">
      <c r="C162" s="134" t="s">
        <v>813</v>
      </c>
      <c r="D162" s="134" t="s">
        <v>813</v>
      </c>
      <c r="E162" s="135" t="s">
        <v>857</v>
      </c>
      <c r="F162" s="135" t="s">
        <v>857</v>
      </c>
      <c r="G162" s="133"/>
      <c r="H162" s="133"/>
      <c r="I162" s="133"/>
      <c r="J162" s="133"/>
      <c r="K162" s="133"/>
      <c r="L162" s="133"/>
      <c r="M162" s="133"/>
      <c r="N162" s="133"/>
      <c r="O162" s="133"/>
      <c r="P162" s="133"/>
      <c r="Q162" s="133"/>
      <c r="R162" s="133"/>
      <c r="S162" s="133"/>
      <c r="T162" s="133"/>
      <c r="U162" s="133"/>
      <c r="V162" s="133"/>
      <c r="W162" s="133"/>
      <c r="X162" s="133"/>
      <c r="Y162" s="133"/>
      <c r="Z162" s="133"/>
      <c r="AA162" s="133"/>
      <c r="AB162" s="133"/>
      <c r="AC162" s="133"/>
      <c r="AD162" s="133"/>
      <c r="AE162" s="133"/>
      <c r="AF162" s="133"/>
      <c r="AG162" s="133"/>
      <c r="AH162" s="133"/>
    </row>
    <row r="163" spans="1:34">
      <c r="C163" s="136" t="s">
        <v>858</v>
      </c>
      <c r="D163" s="212" t="s">
        <v>859</v>
      </c>
      <c r="E163" s="136" t="s">
        <v>858</v>
      </c>
      <c r="F163" s="137" t="s">
        <v>859</v>
      </c>
      <c r="G163" s="133"/>
      <c r="H163" s="133"/>
      <c r="I163" s="133"/>
      <c r="J163" s="133"/>
      <c r="K163" s="133"/>
      <c r="L163" s="133"/>
      <c r="M163" s="133"/>
      <c r="N163" s="133"/>
      <c r="O163" s="133"/>
      <c r="P163" s="133"/>
      <c r="Q163" s="133"/>
      <c r="R163" s="133"/>
      <c r="S163" s="133"/>
      <c r="T163" s="133"/>
      <c r="U163" s="133"/>
      <c r="V163" s="133"/>
      <c r="W163" s="133"/>
      <c r="X163" s="133"/>
      <c r="Y163" s="133"/>
      <c r="Z163" s="133"/>
      <c r="AA163" s="133"/>
      <c r="AB163" s="133"/>
      <c r="AC163" s="133"/>
      <c r="AD163" s="133"/>
      <c r="AE163" s="133"/>
      <c r="AF163" s="133"/>
      <c r="AG163" s="133"/>
      <c r="AH163" s="133"/>
    </row>
    <row r="164" spans="1:34" ht="14.5" thickBot="1">
      <c r="A164" s="138" t="s">
        <v>860</v>
      </c>
      <c r="B164" s="139" t="s">
        <v>861</v>
      </c>
      <c r="C164" s="205" t="s">
        <v>862</v>
      </c>
      <c r="D164" s="221" t="s">
        <v>863</v>
      </c>
      <c r="E164" s="205" t="s">
        <v>862</v>
      </c>
      <c r="F164" s="206" t="s">
        <v>863</v>
      </c>
      <c r="G164" s="133"/>
      <c r="H164" s="133"/>
      <c r="I164" s="133"/>
      <c r="J164" s="133"/>
      <c r="K164" s="133"/>
      <c r="L164" s="133"/>
      <c r="M164" s="133"/>
      <c r="N164" s="133"/>
      <c r="O164" s="133"/>
      <c r="P164" s="133"/>
      <c r="Q164" s="133"/>
      <c r="R164" s="133"/>
      <c r="S164" s="133"/>
      <c r="T164" s="133"/>
      <c r="U164" s="133"/>
      <c r="V164" s="133"/>
      <c r="W164" s="133"/>
      <c r="X164" s="133"/>
      <c r="Y164" s="133"/>
      <c r="Z164" s="133"/>
      <c r="AA164" s="133"/>
      <c r="AB164" s="133"/>
      <c r="AC164" s="133"/>
      <c r="AD164" s="133"/>
      <c r="AE164" s="133"/>
      <c r="AF164" s="133"/>
      <c r="AG164" s="133"/>
      <c r="AH164" s="133"/>
    </row>
    <row r="165" spans="1:34">
      <c r="A165" s="144">
        <v>22</v>
      </c>
      <c r="B165" s="145" t="s">
        <v>884</v>
      </c>
      <c r="C165" s="214">
        <v>0.54464285714285698</v>
      </c>
      <c r="D165" s="214">
        <v>0.85496183206106802</v>
      </c>
      <c r="E165" s="187">
        <v>3.1749999999999998</v>
      </c>
      <c r="F165" s="188">
        <v>9.75</v>
      </c>
      <c r="G165" s="133"/>
      <c r="H165" s="133"/>
      <c r="I165" s="133"/>
      <c r="J165" s="133"/>
      <c r="K165" s="133"/>
      <c r="L165" s="133"/>
      <c r="M165" s="133"/>
      <c r="N165" s="133"/>
      <c r="O165" s="133"/>
      <c r="P165" s="133"/>
      <c r="Q165" s="133"/>
      <c r="R165" s="133"/>
      <c r="S165" s="133"/>
      <c r="T165" s="133"/>
      <c r="U165" s="133"/>
      <c r="V165" s="133"/>
      <c r="W165" s="133"/>
      <c r="X165" s="133"/>
      <c r="Y165" s="133"/>
      <c r="Z165" s="133"/>
      <c r="AA165" s="133"/>
      <c r="AB165" s="133"/>
      <c r="AC165" s="133"/>
      <c r="AD165" s="133"/>
      <c r="AE165" s="133"/>
      <c r="AF165" s="133"/>
      <c r="AG165" s="133"/>
      <c r="AH165" s="133"/>
    </row>
    <row r="166" spans="1:34">
      <c r="A166" s="150"/>
      <c r="B166" s="151"/>
      <c r="C166" s="214">
        <v>1.0803571428571399</v>
      </c>
      <c r="D166" s="214">
        <v>1.89312977099236</v>
      </c>
      <c r="E166" s="187">
        <v>3.6850000000000001</v>
      </c>
      <c r="F166" s="188">
        <v>4.3499999999999996</v>
      </c>
      <c r="G166" s="133"/>
      <c r="H166" s="133"/>
      <c r="I166" s="133"/>
      <c r="J166" s="133"/>
      <c r="K166" s="133"/>
      <c r="L166" s="133"/>
      <c r="M166" s="133"/>
      <c r="N166" s="133"/>
      <c r="O166" s="133"/>
      <c r="P166" s="133"/>
      <c r="Q166" s="133"/>
      <c r="R166" s="133"/>
      <c r="S166" s="133"/>
      <c r="T166" s="133"/>
      <c r="U166" s="133"/>
      <c r="V166" s="133"/>
      <c r="W166" s="133"/>
      <c r="X166" s="133"/>
      <c r="Y166" s="133"/>
      <c r="Z166" s="133"/>
      <c r="AA166" s="133"/>
      <c r="AB166" s="133"/>
      <c r="AC166" s="133"/>
      <c r="AD166" s="133"/>
      <c r="AE166" s="133"/>
      <c r="AF166" s="133"/>
      <c r="AG166" s="133"/>
      <c r="AH166" s="133"/>
    </row>
    <row r="167" spans="1:34">
      <c r="A167" s="150"/>
      <c r="B167" s="151"/>
      <c r="C167" s="214">
        <v>1.6026785714285701</v>
      </c>
      <c r="D167" s="214">
        <v>3.2977099236641201</v>
      </c>
      <c r="E167" s="187">
        <v>4.1964285714285703</v>
      </c>
      <c r="F167" s="188">
        <v>1.925</v>
      </c>
      <c r="G167" s="133"/>
      <c r="H167" s="133"/>
      <c r="I167" s="133"/>
      <c r="J167" s="133"/>
      <c r="K167" s="133"/>
      <c r="L167" s="133"/>
      <c r="M167" s="133"/>
      <c r="N167" s="133"/>
      <c r="O167" s="133"/>
      <c r="P167" s="133"/>
      <c r="Q167" s="133"/>
      <c r="R167" s="133"/>
      <c r="S167" s="133"/>
      <c r="T167" s="133"/>
      <c r="U167" s="133"/>
      <c r="V167" s="133"/>
      <c r="W167" s="133"/>
      <c r="X167" s="133"/>
      <c r="Y167" s="133"/>
      <c r="Z167" s="133"/>
      <c r="AA167" s="133"/>
      <c r="AB167" s="133"/>
      <c r="AC167" s="133"/>
      <c r="AD167" s="133"/>
      <c r="AE167" s="133"/>
      <c r="AF167" s="133"/>
      <c r="AG167" s="133"/>
      <c r="AH167" s="133"/>
    </row>
    <row r="168" spans="1:34">
      <c r="A168" s="150"/>
      <c r="B168" s="151"/>
      <c r="C168" s="214">
        <v>2.1294642857142798</v>
      </c>
      <c r="D168" s="214">
        <v>4.8244274809160297</v>
      </c>
      <c r="E168" s="187">
        <v>4.6950000000000003</v>
      </c>
      <c r="F168" s="188">
        <v>1.45</v>
      </c>
      <c r="G168" s="133"/>
      <c r="H168" s="133"/>
      <c r="I168" s="133"/>
      <c r="J168" s="133"/>
      <c r="K168" s="133"/>
      <c r="L168" s="133"/>
      <c r="M168" s="133"/>
      <c r="N168" s="133"/>
      <c r="O168" s="133"/>
      <c r="P168" s="133"/>
      <c r="Q168" s="133"/>
      <c r="R168" s="133"/>
      <c r="S168" s="133"/>
      <c r="T168" s="133"/>
      <c r="U168" s="133"/>
      <c r="V168" s="133"/>
      <c r="W168" s="133"/>
      <c r="X168" s="133"/>
      <c r="Y168" s="133"/>
      <c r="Z168" s="133"/>
      <c r="AA168" s="133"/>
      <c r="AB168" s="133"/>
      <c r="AC168" s="133"/>
      <c r="AD168" s="133"/>
      <c r="AE168" s="133"/>
      <c r="AF168" s="133"/>
      <c r="AG168" s="133"/>
      <c r="AH168" s="133"/>
    </row>
    <row r="169" spans="1:34">
      <c r="A169" s="150"/>
      <c r="B169" s="151"/>
      <c r="C169" s="214">
        <v>2.6428571428571401</v>
      </c>
      <c r="D169" s="214">
        <v>15.5114503816793</v>
      </c>
      <c r="E169" s="187">
        <v>5.2050000000000001</v>
      </c>
      <c r="F169" s="188">
        <v>0.977099236641221</v>
      </c>
      <c r="G169" s="133"/>
      <c r="H169" s="133"/>
      <c r="I169" s="133"/>
      <c r="J169" s="133"/>
      <c r="K169" s="133"/>
      <c r="L169" s="133"/>
      <c r="M169" s="133"/>
      <c r="N169" s="133"/>
      <c r="O169" s="133"/>
      <c r="P169" s="133"/>
      <c r="Q169" s="133"/>
      <c r="R169" s="133"/>
      <c r="S169" s="133"/>
      <c r="T169" s="133"/>
      <c r="U169" s="133"/>
      <c r="V169" s="133"/>
      <c r="W169" s="133"/>
      <c r="X169" s="133"/>
      <c r="Y169" s="133"/>
      <c r="Z169" s="133"/>
      <c r="AA169" s="133"/>
      <c r="AB169" s="133"/>
      <c r="AC169" s="133"/>
      <c r="AD169" s="133"/>
      <c r="AE169" s="133"/>
      <c r="AF169" s="133"/>
      <c r="AG169" s="133"/>
      <c r="AH169" s="133"/>
    </row>
    <row r="170" spans="1:34">
      <c r="A170" s="150"/>
      <c r="B170" s="151"/>
      <c r="C170" s="210"/>
      <c r="D170" s="223"/>
      <c r="E170" s="189"/>
      <c r="F170" s="190"/>
      <c r="G170" s="133"/>
      <c r="H170" s="133"/>
      <c r="I170" s="133"/>
      <c r="J170" s="133"/>
      <c r="K170" s="133"/>
      <c r="L170" s="133"/>
      <c r="M170" s="133"/>
      <c r="N170" s="133"/>
      <c r="O170" s="133"/>
      <c r="P170" s="133"/>
      <c r="Q170" s="133"/>
      <c r="R170" s="133"/>
      <c r="S170" s="133"/>
      <c r="T170" s="133"/>
      <c r="U170" s="133"/>
      <c r="V170" s="133"/>
      <c r="W170" s="133"/>
      <c r="X170" s="133"/>
      <c r="Y170" s="133"/>
      <c r="Z170" s="133"/>
      <c r="AA170" s="133"/>
      <c r="AB170" s="133"/>
      <c r="AC170" s="133"/>
      <c r="AD170" s="133"/>
      <c r="AE170" s="133"/>
      <c r="AF170" s="133"/>
      <c r="AG170" s="133"/>
      <c r="AH170" s="133"/>
    </row>
    <row r="171" spans="1:34">
      <c r="A171" s="150"/>
      <c r="B171" s="151"/>
      <c r="C171" s="210"/>
      <c r="D171" s="223"/>
      <c r="E171" s="189"/>
      <c r="F171" s="190"/>
      <c r="G171" s="133"/>
      <c r="H171" s="133"/>
      <c r="I171" s="133"/>
      <c r="J171" s="133"/>
      <c r="K171" s="133"/>
      <c r="L171" s="133"/>
      <c r="M171" s="133"/>
      <c r="N171" s="133"/>
      <c r="O171" s="133"/>
      <c r="P171" s="133"/>
      <c r="Q171" s="133"/>
      <c r="R171" s="133"/>
      <c r="S171" s="133"/>
      <c r="T171" s="133"/>
      <c r="U171" s="133"/>
      <c r="V171" s="133"/>
      <c r="W171" s="133"/>
      <c r="X171" s="133"/>
      <c r="Y171" s="133"/>
      <c r="Z171" s="133"/>
      <c r="AA171" s="133"/>
      <c r="AB171" s="133"/>
      <c r="AC171" s="133"/>
      <c r="AD171" s="133"/>
      <c r="AE171" s="133"/>
      <c r="AF171" s="133"/>
      <c r="AG171" s="133"/>
      <c r="AH171" s="133"/>
    </row>
    <row r="172" spans="1:34">
      <c r="A172" s="150"/>
      <c r="B172" s="151"/>
      <c r="C172" s="178"/>
      <c r="D172" s="217"/>
      <c r="E172" s="189"/>
      <c r="F172" s="190"/>
      <c r="G172" s="133"/>
      <c r="H172" s="133"/>
      <c r="I172" s="133"/>
      <c r="J172" s="133"/>
      <c r="K172" s="133"/>
      <c r="L172" s="133"/>
      <c r="M172" s="133"/>
      <c r="N172" s="133"/>
      <c r="O172" s="133"/>
      <c r="P172" s="133"/>
      <c r="Q172" s="133"/>
      <c r="R172" s="133"/>
      <c r="S172" s="133"/>
      <c r="T172" s="133"/>
      <c r="U172" s="133"/>
      <c r="V172" s="133"/>
      <c r="W172" s="133"/>
      <c r="X172" s="133"/>
      <c r="Y172" s="133"/>
      <c r="Z172" s="133"/>
      <c r="AA172" s="133"/>
      <c r="AB172" s="133"/>
      <c r="AC172" s="133"/>
      <c r="AD172" s="133"/>
      <c r="AE172" s="133"/>
      <c r="AF172" s="133"/>
      <c r="AG172" s="133"/>
      <c r="AH172" s="133"/>
    </row>
    <row r="173" spans="1:34">
      <c r="A173" s="150"/>
      <c r="B173" s="151"/>
      <c r="C173" s="178"/>
      <c r="D173" s="217"/>
      <c r="E173" s="189"/>
      <c r="F173" s="190"/>
      <c r="G173" s="133"/>
      <c r="H173" s="133"/>
      <c r="I173" s="133"/>
      <c r="J173" s="133"/>
      <c r="K173" s="133"/>
      <c r="L173" s="133"/>
      <c r="M173" s="133"/>
      <c r="N173" s="133"/>
      <c r="O173" s="133"/>
      <c r="P173" s="133"/>
      <c r="Q173" s="133"/>
      <c r="R173" s="133"/>
      <c r="S173" s="133"/>
      <c r="T173" s="133"/>
      <c r="U173" s="133"/>
      <c r="V173" s="133"/>
      <c r="W173" s="133"/>
      <c r="X173" s="133"/>
      <c r="Y173" s="133"/>
      <c r="Z173" s="133"/>
      <c r="AA173" s="133"/>
      <c r="AB173" s="133"/>
      <c r="AC173" s="133"/>
      <c r="AD173" s="133"/>
      <c r="AE173" s="133"/>
      <c r="AF173" s="133"/>
      <c r="AG173" s="133"/>
      <c r="AH173" s="133"/>
    </row>
    <row r="174" spans="1:34" ht="14.5" thickBot="1">
      <c r="A174" s="159"/>
      <c r="B174" s="160"/>
      <c r="C174" s="181"/>
      <c r="D174" s="218"/>
      <c r="E174" s="183"/>
      <c r="F174" s="182"/>
      <c r="G174" s="133"/>
      <c r="H174" s="133"/>
      <c r="I174" s="133"/>
      <c r="J174" s="133"/>
      <c r="K174" s="133"/>
      <c r="L174" s="133"/>
      <c r="M174" s="133"/>
      <c r="N174" s="133"/>
      <c r="O174" s="133"/>
      <c r="P174" s="133"/>
      <c r="Q174" s="133"/>
      <c r="R174" s="133"/>
      <c r="S174" s="133"/>
      <c r="T174" s="133"/>
      <c r="U174" s="133"/>
      <c r="V174" s="133"/>
      <c r="W174" s="133"/>
      <c r="X174" s="133"/>
      <c r="Y174" s="133"/>
      <c r="Z174" s="133"/>
      <c r="AA174" s="133"/>
      <c r="AB174" s="133"/>
      <c r="AC174" s="133"/>
      <c r="AD174" s="133"/>
      <c r="AE174" s="133"/>
      <c r="AF174" s="133"/>
      <c r="AG174" s="133"/>
      <c r="AH174" s="133"/>
    </row>
    <row r="175" spans="1:34">
      <c r="G175" s="133"/>
      <c r="H175" s="133"/>
      <c r="I175" s="133"/>
      <c r="J175" s="133"/>
      <c r="K175" s="133"/>
      <c r="L175" s="133"/>
      <c r="M175" s="133"/>
      <c r="N175" s="133"/>
      <c r="O175" s="133"/>
      <c r="P175" s="133"/>
      <c r="Q175" s="133"/>
      <c r="R175" s="133"/>
      <c r="S175" s="133"/>
      <c r="T175" s="133"/>
      <c r="U175" s="133"/>
      <c r="V175" s="133"/>
      <c r="W175" s="133"/>
      <c r="X175" s="133"/>
      <c r="Y175" s="133"/>
      <c r="Z175" s="133"/>
      <c r="AA175" s="133"/>
      <c r="AB175" s="133"/>
      <c r="AC175" s="133"/>
      <c r="AD175" s="133"/>
      <c r="AE175" s="133"/>
      <c r="AF175" s="133"/>
      <c r="AG175" s="133"/>
      <c r="AH175" s="133"/>
    </row>
    <row r="176" spans="1:34">
      <c r="G176" s="133"/>
      <c r="H176" s="133"/>
      <c r="I176" s="133"/>
      <c r="J176" s="133"/>
      <c r="K176" s="133"/>
      <c r="L176" s="133"/>
      <c r="M176" s="133"/>
      <c r="N176" s="133"/>
      <c r="O176" s="133"/>
      <c r="P176" s="133"/>
      <c r="Q176" s="133"/>
      <c r="R176" s="133"/>
      <c r="S176" s="133"/>
      <c r="T176" s="133"/>
      <c r="U176" s="133"/>
      <c r="V176" s="133"/>
      <c r="W176" s="133"/>
      <c r="X176" s="133"/>
      <c r="Y176" s="133"/>
      <c r="Z176" s="133"/>
      <c r="AA176" s="133"/>
      <c r="AB176" s="133"/>
      <c r="AC176" s="133"/>
      <c r="AD176" s="133"/>
      <c r="AE176" s="133"/>
      <c r="AF176" s="133"/>
      <c r="AG176" s="133"/>
      <c r="AH176" s="133"/>
    </row>
    <row r="177" spans="1:34">
      <c r="A177" s="130"/>
      <c r="B177" s="130"/>
      <c r="C177" s="131" t="s">
        <v>885</v>
      </c>
      <c r="D177" s="130"/>
      <c r="E177" s="130"/>
      <c r="F177" s="185" t="s">
        <v>870</v>
      </c>
      <c r="G177" s="133"/>
      <c r="H177" s="133"/>
      <c r="I177" s="133"/>
      <c r="J177" s="133"/>
      <c r="K177" s="133"/>
      <c r="L177" s="133"/>
      <c r="M177" s="133"/>
      <c r="N177" s="133"/>
      <c r="O177" s="133"/>
      <c r="P177" s="133"/>
      <c r="Q177" s="133"/>
      <c r="R177" s="133"/>
      <c r="S177" s="133"/>
      <c r="T177" s="133"/>
      <c r="U177" s="133"/>
      <c r="V177" s="133"/>
      <c r="W177" s="133"/>
      <c r="X177" s="133"/>
      <c r="Y177" s="133"/>
      <c r="Z177" s="133"/>
      <c r="AA177" s="133"/>
      <c r="AB177" s="133"/>
      <c r="AC177" s="133"/>
      <c r="AD177" s="133"/>
      <c r="AE177" s="133"/>
      <c r="AF177" s="133"/>
      <c r="AG177" s="133"/>
      <c r="AH177" s="133"/>
    </row>
    <row r="178" spans="1:34" ht="14.5" thickBot="1">
      <c r="C178" s="132" t="s">
        <v>856</v>
      </c>
      <c r="D178" s="132" t="s">
        <v>856</v>
      </c>
      <c r="G178" s="133"/>
      <c r="H178" s="133"/>
      <c r="I178" s="133"/>
      <c r="J178" s="133"/>
      <c r="K178" s="133"/>
      <c r="L178" s="133"/>
      <c r="M178" s="133"/>
      <c r="N178" s="133"/>
      <c r="O178" s="133"/>
      <c r="P178" s="133"/>
      <c r="Q178" s="133"/>
      <c r="R178" s="133"/>
      <c r="S178" s="133"/>
      <c r="T178" s="133"/>
      <c r="U178" s="133"/>
      <c r="V178" s="133"/>
      <c r="W178" s="133"/>
      <c r="X178" s="133"/>
      <c r="Y178" s="133"/>
      <c r="Z178" s="133"/>
      <c r="AA178" s="133"/>
      <c r="AB178" s="133"/>
      <c r="AC178" s="133"/>
      <c r="AD178" s="133"/>
      <c r="AE178" s="133"/>
      <c r="AF178" s="133"/>
      <c r="AG178" s="133"/>
      <c r="AH178" s="133"/>
    </row>
    <row r="179" spans="1:34" ht="14.5" thickBot="1">
      <c r="C179" s="224" t="s">
        <v>813</v>
      </c>
      <c r="D179" s="225" t="s">
        <v>813</v>
      </c>
      <c r="E179" s="226" t="s">
        <v>857</v>
      </c>
      <c r="F179" s="227" t="s">
        <v>857</v>
      </c>
      <c r="G179" s="133"/>
      <c r="H179" s="133"/>
      <c r="I179" s="133"/>
      <c r="J179" s="133"/>
      <c r="K179" s="133"/>
      <c r="L179" s="133"/>
      <c r="M179" s="133"/>
      <c r="N179" s="133"/>
      <c r="O179" s="133"/>
      <c r="P179" s="133"/>
      <c r="Q179" s="133"/>
      <c r="R179" s="133"/>
      <c r="S179" s="133"/>
      <c r="T179" s="133"/>
      <c r="U179" s="133"/>
      <c r="V179" s="133"/>
      <c r="W179" s="133"/>
      <c r="X179" s="133"/>
      <c r="Y179" s="133"/>
      <c r="Z179" s="133"/>
      <c r="AA179" s="133"/>
      <c r="AB179" s="133"/>
      <c r="AC179" s="133"/>
      <c r="AD179" s="133"/>
      <c r="AE179" s="133"/>
      <c r="AF179" s="133"/>
      <c r="AG179" s="133"/>
      <c r="AH179" s="133"/>
    </row>
    <row r="180" spans="1:34">
      <c r="C180" s="136" t="s">
        <v>858</v>
      </c>
      <c r="D180" s="212" t="s">
        <v>859</v>
      </c>
      <c r="E180" s="136" t="s">
        <v>858</v>
      </c>
      <c r="F180" s="137" t="s">
        <v>859</v>
      </c>
      <c r="G180" s="133"/>
      <c r="H180" s="133"/>
      <c r="I180" s="133"/>
      <c r="J180" s="133"/>
      <c r="K180" s="133"/>
      <c r="L180" s="133"/>
      <c r="M180" s="133"/>
      <c r="N180" s="133"/>
      <c r="O180" s="133"/>
      <c r="P180" s="133"/>
      <c r="Q180" s="133"/>
      <c r="R180" s="133"/>
      <c r="S180" s="133"/>
      <c r="T180" s="133"/>
      <c r="U180" s="133"/>
      <c r="V180" s="133"/>
      <c r="W180" s="133"/>
      <c r="X180" s="133"/>
      <c r="Y180" s="133"/>
      <c r="Z180" s="133"/>
      <c r="AA180" s="133"/>
      <c r="AB180" s="133"/>
      <c r="AC180" s="133"/>
      <c r="AD180" s="133"/>
      <c r="AE180" s="133"/>
      <c r="AF180" s="133"/>
      <c r="AG180" s="133"/>
      <c r="AH180" s="133"/>
    </row>
    <row r="181" spans="1:34" ht="14.5" thickBot="1">
      <c r="A181" s="138" t="s">
        <v>860</v>
      </c>
      <c r="B181" s="139" t="s">
        <v>861</v>
      </c>
      <c r="C181" s="205" t="s">
        <v>862</v>
      </c>
      <c r="D181" s="221" t="s">
        <v>863</v>
      </c>
      <c r="E181" s="205" t="s">
        <v>862</v>
      </c>
      <c r="F181" s="206" t="s">
        <v>863</v>
      </c>
      <c r="G181" s="133"/>
      <c r="H181" s="133"/>
      <c r="I181" s="133"/>
      <c r="J181" s="133"/>
      <c r="K181" s="133"/>
      <c r="L181" s="133"/>
      <c r="M181" s="133"/>
      <c r="N181" s="133"/>
      <c r="O181" s="133"/>
      <c r="P181" s="133"/>
      <c r="Q181" s="133"/>
      <c r="R181" s="133"/>
      <c r="S181" s="133"/>
      <c r="T181" s="133"/>
      <c r="U181" s="133"/>
      <c r="V181" s="133"/>
      <c r="W181" s="133"/>
      <c r="X181" s="133"/>
      <c r="Y181" s="133"/>
      <c r="Z181" s="133"/>
      <c r="AA181" s="133"/>
      <c r="AB181" s="133"/>
      <c r="AC181" s="133"/>
      <c r="AD181" s="133"/>
      <c r="AE181" s="133"/>
      <c r="AF181" s="133"/>
      <c r="AG181" s="133"/>
      <c r="AH181" s="133"/>
    </row>
    <row r="182" spans="1:34">
      <c r="A182" s="144">
        <v>22</v>
      </c>
      <c r="B182" s="145" t="s">
        <v>886</v>
      </c>
      <c r="C182" s="214">
        <v>0.540946314831665</v>
      </c>
      <c r="D182" s="214">
        <v>0.89922480620154999</v>
      </c>
      <c r="E182" s="187">
        <v>2.1151046405823402</v>
      </c>
      <c r="F182" s="188">
        <v>18.325581395348799</v>
      </c>
      <c r="G182" s="133"/>
      <c r="H182" s="133"/>
      <c r="I182" s="133"/>
      <c r="J182" s="133"/>
      <c r="K182" s="133"/>
      <c r="L182" s="133"/>
      <c r="M182" s="133"/>
      <c r="N182" s="133"/>
      <c r="O182" s="133"/>
      <c r="P182" s="133"/>
      <c r="Q182" s="133"/>
      <c r="R182" s="133"/>
      <c r="S182" s="133"/>
      <c r="T182" s="133"/>
      <c r="U182" s="133"/>
      <c r="V182" s="133"/>
      <c r="W182" s="133"/>
      <c r="X182" s="133"/>
      <c r="Y182" s="133"/>
      <c r="Z182" s="133"/>
      <c r="AA182" s="133"/>
      <c r="AB182" s="133"/>
      <c r="AC182" s="133"/>
      <c r="AD182" s="133"/>
      <c r="AE182" s="133"/>
      <c r="AF182" s="133"/>
      <c r="AG182" s="133"/>
      <c r="AH182" s="133"/>
    </row>
    <row r="183" spans="1:34">
      <c r="A183" s="150"/>
      <c r="B183" s="151"/>
      <c r="C183" s="214">
        <v>1.07779799818016</v>
      </c>
      <c r="D183" s="214">
        <v>1.86046511627906</v>
      </c>
      <c r="E183" s="187">
        <v>2.6428571428571401</v>
      </c>
      <c r="F183" s="188">
        <v>11.968992248061999</v>
      </c>
      <c r="G183" s="133"/>
      <c r="H183" s="133"/>
      <c r="I183" s="133"/>
      <c r="J183" s="133"/>
      <c r="K183" s="133"/>
      <c r="L183" s="133"/>
      <c r="M183" s="133"/>
      <c r="N183" s="133"/>
      <c r="O183" s="133"/>
      <c r="P183" s="133"/>
      <c r="Q183" s="133"/>
      <c r="R183" s="133"/>
      <c r="S183" s="133"/>
      <c r="T183" s="133"/>
      <c r="U183" s="133"/>
      <c r="V183" s="133"/>
      <c r="W183" s="133"/>
      <c r="X183" s="133"/>
      <c r="Y183" s="133"/>
      <c r="Z183" s="133"/>
      <c r="AA183" s="133"/>
      <c r="AB183" s="133"/>
      <c r="AC183" s="133"/>
      <c r="AD183" s="133"/>
      <c r="AE183" s="133"/>
      <c r="AF183" s="133"/>
      <c r="AG183" s="133"/>
      <c r="AH183" s="133"/>
    </row>
    <row r="184" spans="1:34">
      <c r="A184" s="150"/>
      <c r="B184" s="151"/>
      <c r="C184" s="214">
        <v>1.60555050045495</v>
      </c>
      <c r="D184" s="214">
        <v>4.3720930232558102</v>
      </c>
      <c r="E184" s="187">
        <v>3.1706096451319299</v>
      </c>
      <c r="F184" s="188">
        <v>7.8449612403100701</v>
      </c>
      <c r="G184" s="133"/>
      <c r="H184" s="133"/>
      <c r="I184" s="133"/>
      <c r="J184" s="133"/>
      <c r="K184" s="133"/>
      <c r="L184" s="133"/>
      <c r="M184" s="133"/>
      <c r="N184" s="133"/>
      <c r="O184" s="133"/>
      <c r="P184" s="133"/>
      <c r="Q184" s="133"/>
      <c r="R184" s="133"/>
      <c r="S184" s="133"/>
      <c r="T184" s="133"/>
      <c r="U184" s="133"/>
      <c r="V184" s="133"/>
      <c r="W184" s="133"/>
      <c r="X184" s="133"/>
      <c r="Y184" s="133"/>
      <c r="Z184" s="133"/>
      <c r="AA184" s="133"/>
      <c r="AB184" s="133"/>
      <c r="AC184" s="133"/>
      <c r="AD184" s="133"/>
      <c r="AE184" s="133"/>
      <c r="AF184" s="133"/>
      <c r="AG184" s="133"/>
      <c r="AH184" s="133"/>
    </row>
    <row r="185" spans="1:34">
      <c r="A185" s="150"/>
      <c r="B185" s="151"/>
      <c r="C185" s="214">
        <v>2.1242038216560499</v>
      </c>
      <c r="D185" s="214">
        <v>14.4806201550387</v>
      </c>
      <c r="E185" s="187">
        <v>3.6892629663330299</v>
      </c>
      <c r="F185" s="188">
        <v>4.8372093023255802</v>
      </c>
      <c r="G185" s="133"/>
      <c r="H185" s="133"/>
      <c r="I185" s="133"/>
      <c r="J185" s="133"/>
      <c r="K185" s="133"/>
      <c r="L185" s="133"/>
      <c r="M185" s="133"/>
      <c r="N185" s="133"/>
      <c r="O185" s="133"/>
      <c r="P185" s="133"/>
      <c r="Q185" s="133"/>
      <c r="R185" s="133"/>
      <c r="S185" s="133"/>
      <c r="T185" s="133"/>
      <c r="U185" s="133"/>
      <c r="V185" s="133"/>
      <c r="W185" s="133"/>
      <c r="X185" s="133"/>
      <c r="Y185" s="133"/>
      <c r="Z185" s="133"/>
      <c r="AA185" s="133"/>
      <c r="AB185" s="133"/>
      <c r="AC185" s="133"/>
      <c r="AD185" s="133"/>
      <c r="AE185" s="133"/>
      <c r="AF185" s="133"/>
      <c r="AG185" s="133"/>
      <c r="AH185" s="133"/>
    </row>
    <row r="186" spans="1:34">
      <c r="A186" s="150"/>
      <c r="B186" s="151"/>
      <c r="C186" s="210"/>
      <c r="D186" s="223"/>
      <c r="E186" s="187">
        <v>4.1897179253867103</v>
      </c>
      <c r="F186" s="188">
        <v>3.0077519379844899</v>
      </c>
      <c r="G186" s="133"/>
      <c r="H186" s="133"/>
      <c r="I186" s="133"/>
      <c r="J186" s="133"/>
      <c r="K186" s="133"/>
      <c r="L186" s="133"/>
      <c r="M186" s="133"/>
      <c r="N186" s="133"/>
      <c r="O186" s="133"/>
      <c r="P186" s="133"/>
      <c r="Q186" s="133"/>
      <c r="R186" s="133"/>
      <c r="S186" s="133"/>
      <c r="T186" s="133"/>
      <c r="U186" s="133"/>
      <c r="V186" s="133"/>
      <c r="W186" s="133"/>
      <c r="X186" s="133"/>
      <c r="Y186" s="133"/>
      <c r="Z186" s="133"/>
      <c r="AA186" s="133"/>
      <c r="AB186" s="133"/>
      <c r="AC186" s="133"/>
      <c r="AD186" s="133"/>
      <c r="AE186" s="133"/>
      <c r="AF186" s="133"/>
      <c r="AG186" s="133"/>
      <c r="AH186" s="133"/>
    </row>
    <row r="187" spans="1:34">
      <c r="A187" s="150"/>
      <c r="B187" s="151"/>
      <c r="C187" s="210"/>
      <c r="D187" s="223"/>
      <c r="E187" s="187">
        <v>4.69472247497725</v>
      </c>
      <c r="F187" s="188">
        <v>2.5116279069767402</v>
      </c>
      <c r="G187" s="133"/>
      <c r="H187" s="133"/>
      <c r="I187" s="133"/>
      <c r="J187" s="133"/>
      <c r="K187" s="133"/>
      <c r="L187" s="133"/>
      <c r="M187" s="133"/>
      <c r="N187" s="133"/>
      <c r="O187" s="133"/>
      <c r="P187" s="133"/>
      <c r="Q187" s="133"/>
      <c r="R187" s="133"/>
      <c r="S187" s="133"/>
      <c r="T187" s="133"/>
      <c r="U187" s="133"/>
      <c r="V187" s="133"/>
      <c r="W187" s="133"/>
      <c r="X187" s="133"/>
      <c r="Y187" s="133"/>
      <c r="Z187" s="133"/>
      <c r="AA187" s="133"/>
      <c r="AB187" s="133"/>
      <c r="AC187" s="133"/>
      <c r="AD187" s="133"/>
      <c r="AE187" s="133"/>
      <c r="AF187" s="133"/>
      <c r="AG187" s="133"/>
      <c r="AH187" s="133"/>
    </row>
    <row r="188" spans="1:34">
      <c r="A188" s="150"/>
      <c r="B188" s="151"/>
      <c r="C188" s="210"/>
      <c r="D188" s="223"/>
      <c r="E188" s="187">
        <v>5.19972702456778</v>
      </c>
      <c r="F188" s="188">
        <v>1.5813953488371999</v>
      </c>
      <c r="G188" s="133"/>
      <c r="H188" s="133"/>
      <c r="I188" s="133"/>
      <c r="J188" s="133"/>
      <c r="K188" s="133"/>
      <c r="L188" s="133"/>
      <c r="M188" s="133"/>
      <c r="N188" s="133"/>
      <c r="O188" s="133"/>
      <c r="P188" s="133"/>
      <c r="Q188" s="133"/>
      <c r="R188" s="133"/>
      <c r="S188" s="133"/>
      <c r="T188" s="133"/>
      <c r="U188" s="133"/>
      <c r="V188" s="133"/>
      <c r="W188" s="133"/>
      <c r="X188" s="133"/>
      <c r="Y188" s="133"/>
      <c r="Z188" s="133"/>
      <c r="AA188" s="133"/>
      <c r="AB188" s="133"/>
      <c r="AC188" s="133"/>
      <c r="AD188" s="133"/>
      <c r="AE188" s="133"/>
      <c r="AF188" s="133"/>
      <c r="AG188" s="133"/>
      <c r="AH188" s="133"/>
    </row>
    <row r="189" spans="1:34">
      <c r="A189" s="150"/>
      <c r="B189" s="151"/>
      <c r="C189" s="178"/>
      <c r="D189" s="217"/>
      <c r="E189" s="189"/>
      <c r="F189" s="190"/>
      <c r="G189" s="133"/>
      <c r="H189" s="133"/>
      <c r="I189" s="133"/>
      <c r="J189" s="133"/>
      <c r="K189" s="133"/>
      <c r="L189" s="133"/>
      <c r="M189" s="133"/>
      <c r="N189" s="133"/>
      <c r="O189" s="133"/>
      <c r="P189" s="133"/>
      <c r="Q189" s="133"/>
      <c r="R189" s="133"/>
      <c r="S189" s="133"/>
      <c r="T189" s="133"/>
      <c r="U189" s="133"/>
      <c r="V189" s="133"/>
      <c r="W189" s="133"/>
      <c r="X189" s="133"/>
      <c r="Y189" s="133"/>
      <c r="Z189" s="133"/>
      <c r="AA189" s="133"/>
      <c r="AB189" s="133"/>
      <c r="AC189" s="133"/>
      <c r="AD189" s="133"/>
      <c r="AE189" s="133"/>
      <c r="AF189" s="133"/>
      <c r="AG189" s="133"/>
      <c r="AH189" s="133"/>
    </row>
    <row r="190" spans="1:34">
      <c r="A190" s="150"/>
      <c r="B190" s="151"/>
      <c r="C190" s="178"/>
      <c r="D190" s="217"/>
      <c r="E190" s="189"/>
      <c r="F190" s="190"/>
      <c r="G190" s="133"/>
      <c r="H190" s="133"/>
      <c r="I190" s="133"/>
      <c r="J190" s="133"/>
      <c r="K190" s="133"/>
      <c r="L190" s="133"/>
      <c r="M190" s="133"/>
      <c r="N190" s="133"/>
      <c r="O190" s="133"/>
      <c r="P190" s="133"/>
      <c r="Q190" s="133"/>
      <c r="R190" s="133"/>
      <c r="S190" s="133"/>
      <c r="T190" s="133"/>
      <c r="U190" s="133"/>
      <c r="V190" s="133"/>
      <c r="W190" s="133"/>
      <c r="X190" s="133"/>
      <c r="Y190" s="133"/>
      <c r="Z190" s="133"/>
      <c r="AA190" s="133"/>
      <c r="AB190" s="133"/>
      <c r="AC190" s="133"/>
      <c r="AD190" s="133"/>
      <c r="AE190" s="133"/>
      <c r="AF190" s="133"/>
      <c r="AG190" s="133"/>
      <c r="AH190" s="133"/>
    </row>
    <row r="191" spans="1:34" ht="14.5" thickBot="1">
      <c r="A191" s="159"/>
      <c r="B191" s="160"/>
      <c r="C191" s="181"/>
      <c r="D191" s="218"/>
      <c r="E191" s="183"/>
      <c r="F191" s="182"/>
      <c r="G191" s="133"/>
      <c r="H191" s="133"/>
      <c r="I191" s="133"/>
      <c r="J191" s="133"/>
      <c r="K191" s="133"/>
      <c r="L191" s="133"/>
      <c r="M191" s="133"/>
      <c r="N191" s="133"/>
      <c r="O191" s="133"/>
      <c r="P191" s="133"/>
      <c r="Q191" s="133"/>
      <c r="R191" s="133"/>
      <c r="S191" s="133"/>
      <c r="T191" s="133"/>
      <c r="U191" s="133"/>
      <c r="V191" s="133"/>
      <c r="W191" s="133"/>
      <c r="X191" s="133"/>
      <c r="Y191" s="133"/>
      <c r="Z191" s="133"/>
      <c r="AA191" s="133"/>
      <c r="AB191" s="133"/>
      <c r="AC191" s="133"/>
      <c r="AD191" s="133"/>
      <c r="AE191" s="133"/>
      <c r="AF191" s="133"/>
      <c r="AG191" s="133"/>
      <c r="AH191" s="133"/>
    </row>
    <row r="192" spans="1:34">
      <c r="G192" s="133"/>
      <c r="H192" s="133"/>
      <c r="I192" s="133"/>
      <c r="J192" s="133"/>
      <c r="K192" s="133"/>
      <c r="L192" s="133"/>
      <c r="M192" s="133"/>
      <c r="N192" s="133"/>
      <c r="O192" s="133"/>
      <c r="P192" s="133"/>
      <c r="Q192" s="133"/>
      <c r="R192" s="133"/>
      <c r="S192" s="133"/>
      <c r="T192" s="133"/>
      <c r="U192" s="133"/>
      <c r="V192" s="133"/>
      <c r="W192" s="133"/>
      <c r="X192" s="133"/>
      <c r="Y192" s="133"/>
      <c r="Z192" s="133"/>
      <c r="AA192" s="133"/>
      <c r="AB192" s="133"/>
      <c r="AC192" s="133"/>
      <c r="AD192" s="133"/>
      <c r="AE192" s="133"/>
      <c r="AF192" s="133"/>
      <c r="AG192" s="133"/>
      <c r="AH192" s="133"/>
    </row>
    <row r="193" spans="1:34">
      <c r="G193" s="133"/>
      <c r="H193" s="133"/>
      <c r="I193" s="133"/>
      <c r="J193" s="133"/>
      <c r="K193" s="133"/>
      <c r="L193" s="133"/>
      <c r="M193" s="133"/>
      <c r="N193" s="133"/>
      <c r="O193" s="133"/>
      <c r="P193" s="133"/>
      <c r="Q193" s="133"/>
      <c r="R193" s="133"/>
      <c r="S193" s="133"/>
      <c r="T193" s="133"/>
      <c r="U193" s="133"/>
      <c r="V193" s="133"/>
      <c r="W193" s="133"/>
      <c r="X193" s="133"/>
      <c r="Y193" s="133"/>
      <c r="Z193" s="133"/>
      <c r="AA193" s="133"/>
      <c r="AB193" s="133"/>
      <c r="AC193" s="133"/>
      <c r="AD193" s="133"/>
      <c r="AE193" s="133"/>
      <c r="AF193" s="133"/>
      <c r="AG193" s="133"/>
      <c r="AH193" s="133"/>
    </row>
    <row r="194" spans="1:34">
      <c r="A194" s="130"/>
      <c r="B194" s="130"/>
      <c r="C194" s="131" t="s">
        <v>887</v>
      </c>
      <c r="D194" s="130"/>
      <c r="E194" s="130"/>
      <c r="F194" s="185" t="s">
        <v>870</v>
      </c>
      <c r="G194" s="133"/>
      <c r="H194" s="133"/>
      <c r="I194" s="133"/>
      <c r="J194" s="133"/>
      <c r="K194" s="133"/>
      <c r="L194" s="133"/>
      <c r="M194" s="133"/>
      <c r="N194" s="133"/>
      <c r="O194" s="133"/>
      <c r="P194" s="133"/>
      <c r="Q194" s="133"/>
      <c r="R194" s="133"/>
      <c r="S194" s="133"/>
      <c r="T194" s="133"/>
      <c r="U194" s="133"/>
      <c r="V194" s="133"/>
      <c r="W194" s="133"/>
      <c r="X194" s="133"/>
      <c r="Y194" s="133"/>
      <c r="Z194" s="133"/>
      <c r="AA194" s="133"/>
      <c r="AB194" s="133"/>
      <c r="AC194" s="133"/>
      <c r="AD194" s="133"/>
      <c r="AE194" s="133"/>
      <c r="AF194" s="133"/>
      <c r="AG194" s="133"/>
      <c r="AH194" s="133"/>
    </row>
    <row r="195" spans="1:34">
      <c r="C195" s="132" t="s">
        <v>856</v>
      </c>
      <c r="D195" s="132" t="s">
        <v>856</v>
      </c>
      <c r="G195" s="133"/>
      <c r="H195" s="133"/>
      <c r="I195" s="133"/>
      <c r="J195" s="133"/>
      <c r="K195" s="133"/>
      <c r="L195" s="133"/>
      <c r="M195" s="133"/>
      <c r="N195" s="133"/>
      <c r="O195" s="133"/>
      <c r="P195" s="133"/>
      <c r="Q195" s="133"/>
      <c r="R195" s="133"/>
      <c r="S195" s="133"/>
      <c r="T195" s="133"/>
      <c r="U195" s="133"/>
      <c r="V195" s="133"/>
      <c r="W195" s="133"/>
      <c r="X195" s="133"/>
      <c r="Y195" s="133"/>
      <c r="Z195" s="133"/>
      <c r="AA195" s="133"/>
      <c r="AB195" s="133"/>
      <c r="AC195" s="133"/>
      <c r="AD195" s="133"/>
      <c r="AE195" s="133"/>
      <c r="AF195" s="133"/>
      <c r="AG195" s="133"/>
      <c r="AH195" s="133"/>
    </row>
    <row r="196" spans="1:34" ht="14.5" thickBot="1">
      <c r="C196" s="134" t="s">
        <v>813</v>
      </c>
      <c r="D196" s="134" t="s">
        <v>813</v>
      </c>
      <c r="E196" s="135" t="s">
        <v>857</v>
      </c>
      <c r="F196" s="135" t="s">
        <v>857</v>
      </c>
      <c r="G196" s="133"/>
      <c r="H196" s="133"/>
      <c r="I196" s="133"/>
      <c r="J196" s="133"/>
      <c r="K196" s="133"/>
      <c r="L196" s="133"/>
      <c r="M196" s="133"/>
      <c r="N196" s="133"/>
      <c r="O196" s="133"/>
      <c r="P196" s="133"/>
      <c r="Q196" s="133"/>
      <c r="R196" s="133"/>
      <c r="S196" s="133"/>
      <c r="T196" s="133"/>
      <c r="U196" s="133"/>
      <c r="V196" s="133"/>
      <c r="W196" s="133"/>
      <c r="X196" s="133"/>
      <c r="Y196" s="133"/>
      <c r="Z196" s="133"/>
      <c r="AA196" s="133"/>
      <c r="AB196" s="133"/>
      <c r="AC196" s="133"/>
      <c r="AD196" s="133"/>
      <c r="AE196" s="133"/>
      <c r="AF196" s="133"/>
      <c r="AG196" s="133"/>
      <c r="AH196" s="133"/>
    </row>
    <row r="197" spans="1:34">
      <c r="C197" s="136" t="s">
        <v>858</v>
      </c>
      <c r="D197" s="212" t="s">
        <v>859</v>
      </c>
      <c r="E197" s="136" t="s">
        <v>858</v>
      </c>
      <c r="F197" s="137" t="s">
        <v>859</v>
      </c>
      <c r="G197" s="133"/>
      <c r="H197" s="133"/>
      <c r="I197" s="133"/>
      <c r="J197" s="133"/>
      <c r="K197" s="133"/>
      <c r="L197" s="133"/>
      <c r="M197" s="133"/>
      <c r="N197" s="133"/>
      <c r="O197" s="133"/>
      <c r="P197" s="133"/>
      <c r="Q197" s="133"/>
      <c r="R197" s="133"/>
      <c r="S197" s="133"/>
      <c r="T197" s="133"/>
      <c r="U197" s="133"/>
      <c r="V197" s="133"/>
      <c r="W197" s="133"/>
      <c r="X197" s="133"/>
      <c r="Y197" s="133"/>
      <c r="Z197" s="133"/>
      <c r="AA197" s="133"/>
      <c r="AB197" s="133"/>
      <c r="AC197" s="133"/>
      <c r="AD197" s="133"/>
      <c r="AE197" s="133"/>
      <c r="AF197" s="133"/>
      <c r="AG197" s="133"/>
      <c r="AH197" s="133"/>
    </row>
    <row r="198" spans="1:34" ht="14.5" thickBot="1">
      <c r="A198" s="138" t="s">
        <v>860</v>
      </c>
      <c r="B198" s="139" t="s">
        <v>861</v>
      </c>
      <c r="C198" s="205" t="s">
        <v>862</v>
      </c>
      <c r="D198" s="221" t="s">
        <v>863</v>
      </c>
      <c r="E198" s="205" t="s">
        <v>862</v>
      </c>
      <c r="F198" s="206" t="s">
        <v>863</v>
      </c>
      <c r="G198" s="133"/>
      <c r="H198" s="133"/>
      <c r="I198" s="133"/>
      <c r="J198" s="133"/>
      <c r="K198" s="133"/>
      <c r="L198" s="133"/>
      <c r="M198" s="133"/>
      <c r="N198" s="133"/>
      <c r="O198" s="133"/>
      <c r="P198" s="133"/>
      <c r="Q198" s="133"/>
      <c r="R198" s="133"/>
      <c r="S198" s="133"/>
      <c r="T198" s="133"/>
      <c r="U198" s="133"/>
      <c r="V198" s="133"/>
      <c r="W198" s="133"/>
      <c r="X198" s="133"/>
      <c r="Y198" s="133"/>
      <c r="Z198" s="133"/>
      <c r="AA198" s="133"/>
      <c r="AB198" s="133"/>
      <c r="AC198" s="133"/>
      <c r="AD198" s="133"/>
      <c r="AE198" s="133"/>
      <c r="AF198" s="133"/>
      <c r="AG198" s="133"/>
      <c r="AH198" s="133"/>
    </row>
    <row r="199" spans="1:34">
      <c r="A199" s="144">
        <v>23</v>
      </c>
      <c r="B199" s="145" t="s">
        <v>888</v>
      </c>
      <c r="C199" s="214">
        <v>0.53623188405797095</v>
      </c>
      <c r="D199" s="214">
        <v>0.893682588597842</v>
      </c>
      <c r="E199" s="187">
        <v>3.1721014492753601</v>
      </c>
      <c r="F199" s="188">
        <v>15.7</v>
      </c>
      <c r="G199" s="133"/>
      <c r="H199" s="133"/>
      <c r="I199" s="133"/>
      <c r="J199" s="133"/>
      <c r="K199" s="133"/>
      <c r="L199" s="133"/>
      <c r="M199" s="133"/>
      <c r="N199" s="133"/>
      <c r="O199" s="133"/>
      <c r="P199" s="133"/>
      <c r="Q199" s="133"/>
      <c r="R199" s="133"/>
      <c r="S199" s="133"/>
      <c r="T199" s="133"/>
      <c r="U199" s="133"/>
      <c r="V199" s="133"/>
      <c r="W199" s="133"/>
      <c r="X199" s="133"/>
      <c r="Y199" s="133"/>
      <c r="Z199" s="133"/>
      <c r="AA199" s="133"/>
      <c r="AB199" s="133"/>
      <c r="AC199" s="133"/>
      <c r="AD199" s="133"/>
      <c r="AE199" s="133"/>
      <c r="AF199" s="133"/>
      <c r="AG199" s="133"/>
      <c r="AH199" s="133"/>
    </row>
    <row r="200" spans="1:34">
      <c r="A200" s="150"/>
      <c r="B200" s="151"/>
      <c r="C200" s="214">
        <v>1.07518115942029</v>
      </c>
      <c r="D200" s="214">
        <v>1.8798151001540799</v>
      </c>
      <c r="E200" s="187">
        <v>3.6884057971014399</v>
      </c>
      <c r="F200" s="188">
        <v>10.1078582434514</v>
      </c>
      <c r="G200" s="133"/>
      <c r="H200" s="133"/>
      <c r="I200" s="133"/>
      <c r="J200" s="133"/>
      <c r="K200" s="133"/>
      <c r="L200" s="133"/>
      <c r="M200" s="133"/>
      <c r="N200" s="133"/>
      <c r="O200" s="133"/>
      <c r="P200" s="133"/>
      <c r="Q200" s="133"/>
      <c r="R200" s="133"/>
      <c r="S200" s="133"/>
      <c r="T200" s="133"/>
      <c r="U200" s="133"/>
      <c r="V200" s="133"/>
      <c r="W200" s="133"/>
      <c r="X200" s="133"/>
      <c r="Y200" s="133"/>
      <c r="Z200" s="133"/>
      <c r="AA200" s="133"/>
      <c r="AB200" s="133"/>
      <c r="AC200" s="133"/>
      <c r="AD200" s="133"/>
      <c r="AE200" s="133"/>
      <c r="AF200" s="133"/>
      <c r="AG200" s="133"/>
      <c r="AH200" s="133"/>
    </row>
    <row r="201" spans="1:34">
      <c r="A201" s="150"/>
      <c r="B201" s="151"/>
      <c r="C201" s="214">
        <v>1.60507246376811</v>
      </c>
      <c r="D201" s="214">
        <v>2.86594761171032</v>
      </c>
      <c r="E201" s="187">
        <v>4.7</v>
      </c>
      <c r="F201" s="188">
        <v>3.45</v>
      </c>
      <c r="G201" s="133"/>
      <c r="H201" s="133"/>
      <c r="I201" s="133"/>
      <c r="J201" s="133"/>
      <c r="K201" s="133"/>
      <c r="L201" s="133"/>
      <c r="M201" s="133"/>
      <c r="N201" s="133"/>
      <c r="O201" s="133"/>
      <c r="P201" s="133"/>
      <c r="Q201" s="133"/>
      <c r="R201" s="133"/>
      <c r="S201" s="133"/>
      <c r="T201" s="133"/>
      <c r="U201" s="133"/>
      <c r="V201" s="133"/>
      <c r="W201" s="133"/>
      <c r="X201" s="133"/>
      <c r="Y201" s="133"/>
      <c r="Z201" s="133"/>
      <c r="AA201" s="133"/>
      <c r="AB201" s="133"/>
      <c r="AC201" s="133"/>
      <c r="AD201" s="133"/>
      <c r="AE201" s="133"/>
      <c r="AF201" s="133"/>
      <c r="AG201" s="133"/>
      <c r="AH201" s="133"/>
    </row>
    <row r="202" spans="1:34">
      <c r="A202" s="150"/>
      <c r="B202" s="151"/>
      <c r="C202" s="214">
        <v>2.13043478260869</v>
      </c>
      <c r="D202" s="214">
        <v>3.2973805855161702</v>
      </c>
      <c r="E202" s="187">
        <v>5.2050000000000001</v>
      </c>
      <c r="F202" s="188">
        <v>1.95</v>
      </c>
      <c r="G202" s="133"/>
      <c r="H202" s="133"/>
      <c r="I202" s="133"/>
      <c r="J202" s="133"/>
      <c r="K202" s="133"/>
      <c r="L202" s="133"/>
      <c r="M202" s="133"/>
      <c r="N202" s="133"/>
      <c r="O202" s="133"/>
      <c r="P202" s="133"/>
      <c r="Q202" s="133"/>
      <c r="R202" s="133"/>
      <c r="S202" s="133"/>
      <c r="T202" s="133"/>
      <c r="U202" s="133"/>
      <c r="V202" s="133"/>
      <c r="W202" s="133"/>
      <c r="X202" s="133"/>
      <c r="Y202" s="133"/>
      <c r="Z202" s="133"/>
      <c r="AA202" s="133"/>
      <c r="AB202" s="133"/>
      <c r="AC202" s="133"/>
      <c r="AD202" s="133"/>
      <c r="AE202" s="133"/>
      <c r="AF202" s="133"/>
      <c r="AG202" s="133"/>
      <c r="AH202" s="133"/>
    </row>
    <row r="203" spans="1:34">
      <c r="A203" s="150"/>
      <c r="B203" s="151"/>
      <c r="C203" s="214">
        <v>2.65</v>
      </c>
      <c r="D203" s="214">
        <v>4.77657935285053</v>
      </c>
      <c r="E203" s="189"/>
      <c r="F203" s="190"/>
      <c r="G203" s="133"/>
      <c r="H203" s="133"/>
      <c r="I203" s="133"/>
      <c r="J203" s="133"/>
      <c r="K203" s="133"/>
      <c r="L203" s="133"/>
      <c r="M203" s="133"/>
      <c r="N203" s="133"/>
      <c r="O203" s="133"/>
      <c r="P203" s="133"/>
      <c r="Q203" s="133"/>
      <c r="R203" s="133"/>
      <c r="S203" s="133"/>
      <c r="T203" s="133"/>
      <c r="U203" s="133"/>
      <c r="V203" s="133"/>
      <c r="W203" s="133"/>
      <c r="X203" s="133"/>
      <c r="Y203" s="133"/>
      <c r="Z203" s="133"/>
      <c r="AA203" s="133"/>
      <c r="AB203" s="133"/>
      <c r="AC203" s="133"/>
      <c r="AD203" s="133"/>
      <c r="AE203" s="133"/>
      <c r="AF203" s="133"/>
      <c r="AG203" s="133"/>
      <c r="AH203" s="133"/>
    </row>
    <row r="204" spans="1:34">
      <c r="A204" s="150"/>
      <c r="B204" s="151"/>
      <c r="C204" s="214">
        <v>3.1749999999999998</v>
      </c>
      <c r="D204" s="214">
        <v>10.292758089368199</v>
      </c>
      <c r="E204" s="189"/>
      <c r="F204" s="190"/>
      <c r="G204" s="133"/>
      <c r="H204" s="133"/>
      <c r="I204" s="133"/>
      <c r="J204" s="133"/>
      <c r="K204" s="133"/>
      <c r="L204" s="133"/>
      <c r="M204" s="133"/>
      <c r="N204" s="133"/>
      <c r="O204" s="133"/>
      <c r="P204" s="133"/>
      <c r="Q204" s="133"/>
      <c r="R204" s="133"/>
      <c r="S204" s="133"/>
      <c r="T204" s="133"/>
      <c r="U204" s="133"/>
      <c r="V204" s="133"/>
      <c r="W204" s="133"/>
      <c r="X204" s="133"/>
      <c r="Y204" s="133"/>
      <c r="Z204" s="133"/>
      <c r="AA204" s="133"/>
      <c r="AB204" s="133"/>
      <c r="AC204" s="133"/>
      <c r="AD204" s="133"/>
      <c r="AE204" s="133"/>
      <c r="AF204" s="133"/>
      <c r="AG204" s="133"/>
      <c r="AH204" s="133"/>
    </row>
    <row r="205" spans="1:34">
      <c r="A205" s="150"/>
      <c r="B205" s="151"/>
      <c r="C205" s="214">
        <v>3.6884057971014399</v>
      </c>
      <c r="D205" s="214">
        <v>18.151001540831999</v>
      </c>
      <c r="E205" s="189"/>
      <c r="F205" s="190"/>
      <c r="G205" s="133"/>
      <c r="H205" s="133"/>
      <c r="I205" s="133"/>
      <c r="J205" s="133"/>
      <c r="K205" s="133"/>
      <c r="L205" s="133"/>
      <c r="M205" s="133"/>
      <c r="N205" s="133"/>
      <c r="O205" s="133"/>
      <c r="P205" s="133"/>
      <c r="Q205" s="133"/>
      <c r="R205" s="133"/>
      <c r="S205" s="133"/>
      <c r="T205" s="133"/>
      <c r="U205" s="133"/>
      <c r="V205" s="133"/>
      <c r="W205" s="133"/>
      <c r="X205" s="133"/>
      <c r="Y205" s="133"/>
      <c r="Z205" s="133"/>
      <c r="AA205" s="133"/>
      <c r="AB205" s="133"/>
      <c r="AC205" s="133"/>
      <c r="AD205" s="133"/>
      <c r="AE205" s="133"/>
      <c r="AF205" s="133"/>
      <c r="AG205" s="133"/>
      <c r="AH205" s="133"/>
    </row>
    <row r="206" spans="1:34">
      <c r="A206" s="150"/>
      <c r="B206" s="151"/>
      <c r="C206" s="178"/>
      <c r="D206" s="217"/>
      <c r="E206" s="189"/>
      <c r="F206" s="190"/>
      <c r="G206" s="133"/>
      <c r="H206" s="133"/>
      <c r="I206" s="133"/>
      <c r="J206" s="133"/>
      <c r="K206" s="133"/>
      <c r="L206" s="133"/>
      <c r="M206" s="133"/>
      <c r="N206" s="133"/>
      <c r="O206" s="133"/>
      <c r="P206" s="133"/>
      <c r="Q206" s="133"/>
      <c r="R206" s="133"/>
      <c r="S206" s="133"/>
      <c r="T206" s="133"/>
      <c r="U206" s="133"/>
      <c r="V206" s="133"/>
      <c r="W206" s="133"/>
      <c r="X206" s="133"/>
      <c r="Y206" s="133"/>
      <c r="Z206" s="133"/>
      <c r="AA206" s="133"/>
      <c r="AB206" s="133"/>
      <c r="AC206" s="133"/>
      <c r="AD206" s="133"/>
      <c r="AE206" s="133"/>
      <c r="AF206" s="133"/>
      <c r="AG206" s="133"/>
      <c r="AH206" s="133"/>
    </row>
    <row r="207" spans="1:34">
      <c r="A207" s="150"/>
      <c r="B207" s="151"/>
      <c r="C207" s="178"/>
      <c r="D207" s="217"/>
      <c r="E207" s="189"/>
      <c r="F207" s="190"/>
      <c r="G207" s="133"/>
      <c r="H207" s="133"/>
      <c r="I207" s="133"/>
      <c r="J207" s="133"/>
      <c r="K207" s="133"/>
      <c r="L207" s="133"/>
      <c r="M207" s="133"/>
      <c r="N207" s="133"/>
      <c r="O207" s="133"/>
      <c r="P207" s="133"/>
      <c r="Q207" s="133"/>
      <c r="R207" s="133"/>
      <c r="S207" s="133"/>
      <c r="T207" s="133"/>
      <c r="U207" s="133"/>
      <c r="V207" s="133"/>
      <c r="W207" s="133"/>
      <c r="X207" s="133"/>
      <c r="Y207" s="133"/>
      <c r="Z207" s="133"/>
      <c r="AA207" s="133"/>
      <c r="AB207" s="133"/>
      <c r="AC207" s="133"/>
      <c r="AD207" s="133"/>
      <c r="AE207" s="133"/>
      <c r="AF207" s="133"/>
      <c r="AG207" s="133"/>
      <c r="AH207" s="133"/>
    </row>
    <row r="208" spans="1:34" ht="14.5" thickBot="1">
      <c r="A208" s="159"/>
      <c r="B208" s="160"/>
      <c r="C208" s="181"/>
      <c r="D208" s="218"/>
      <c r="E208" s="183"/>
      <c r="F208" s="182"/>
      <c r="G208" s="133"/>
      <c r="H208" s="133"/>
      <c r="I208" s="133"/>
      <c r="J208" s="133"/>
      <c r="K208" s="133"/>
      <c r="L208" s="133"/>
      <c r="M208" s="133"/>
      <c r="N208" s="133"/>
      <c r="O208" s="133"/>
      <c r="P208" s="133"/>
      <c r="Q208" s="133"/>
      <c r="R208" s="133"/>
      <c r="S208" s="133"/>
      <c r="T208" s="133"/>
      <c r="U208" s="133"/>
      <c r="V208" s="133"/>
      <c r="W208" s="133"/>
      <c r="X208" s="133"/>
      <c r="Y208" s="133"/>
      <c r="Z208" s="133"/>
      <c r="AA208" s="133"/>
      <c r="AB208" s="133"/>
      <c r="AC208" s="133"/>
      <c r="AD208" s="133"/>
      <c r="AE208" s="133"/>
      <c r="AF208" s="133"/>
      <c r="AG208" s="133"/>
      <c r="AH208" s="133"/>
    </row>
    <row r="209" spans="1:34">
      <c r="G209" s="133"/>
      <c r="H209" s="133"/>
      <c r="I209" s="133"/>
      <c r="J209" s="133"/>
      <c r="K209" s="133"/>
      <c r="L209" s="133"/>
      <c r="M209" s="133"/>
      <c r="N209" s="133"/>
      <c r="O209" s="133"/>
      <c r="P209" s="133"/>
      <c r="Q209" s="133"/>
      <c r="R209" s="133"/>
      <c r="S209" s="133"/>
      <c r="T209" s="133"/>
      <c r="U209" s="133"/>
      <c r="V209" s="133"/>
      <c r="W209" s="133"/>
      <c r="X209" s="133"/>
      <c r="Y209" s="133"/>
      <c r="Z209" s="133"/>
      <c r="AA209" s="133"/>
      <c r="AB209" s="133"/>
      <c r="AC209" s="133"/>
      <c r="AD209" s="133"/>
      <c r="AE209" s="133"/>
      <c r="AF209" s="133"/>
      <c r="AG209" s="133"/>
      <c r="AH209" s="133"/>
    </row>
    <row r="210" spans="1:34">
      <c r="G210" s="133"/>
      <c r="H210" s="133"/>
      <c r="I210" s="133"/>
      <c r="J210" s="133"/>
      <c r="K210" s="133"/>
      <c r="L210" s="133"/>
      <c r="M210" s="133"/>
      <c r="N210" s="133"/>
      <c r="O210" s="133"/>
      <c r="P210" s="133"/>
      <c r="Q210" s="133"/>
      <c r="R210" s="133"/>
      <c r="S210" s="133"/>
      <c r="T210" s="133"/>
      <c r="U210" s="133"/>
      <c r="V210" s="133"/>
      <c r="W210" s="133"/>
      <c r="X210" s="133"/>
      <c r="Y210" s="133"/>
      <c r="Z210" s="133"/>
      <c r="AA210" s="133"/>
      <c r="AB210" s="133"/>
      <c r="AC210" s="133"/>
      <c r="AD210" s="133"/>
      <c r="AE210" s="133"/>
      <c r="AF210" s="133"/>
      <c r="AG210" s="133"/>
      <c r="AH210" s="133"/>
    </row>
    <row r="211" spans="1:34">
      <c r="A211" s="130"/>
      <c r="B211" s="130"/>
      <c r="C211" s="131" t="s">
        <v>889</v>
      </c>
      <c r="D211" s="130"/>
      <c r="E211" s="130"/>
      <c r="F211" s="185" t="s">
        <v>870</v>
      </c>
      <c r="G211" s="133"/>
      <c r="H211" s="133"/>
      <c r="I211" s="133"/>
      <c r="J211" s="133"/>
      <c r="K211" s="133"/>
      <c r="L211" s="133"/>
      <c r="M211" s="133"/>
      <c r="N211" s="133"/>
      <c r="O211" s="133"/>
      <c r="P211" s="133"/>
      <c r="Q211" s="133"/>
      <c r="R211" s="133"/>
      <c r="S211" s="133"/>
      <c r="T211" s="133"/>
      <c r="U211" s="133"/>
      <c r="V211" s="133"/>
      <c r="W211" s="133"/>
      <c r="X211" s="133"/>
      <c r="Y211" s="133"/>
      <c r="Z211" s="133"/>
      <c r="AA211" s="133"/>
      <c r="AB211" s="133"/>
      <c r="AC211" s="133"/>
      <c r="AD211" s="133"/>
      <c r="AE211" s="133"/>
      <c r="AF211" s="133"/>
      <c r="AG211" s="133"/>
      <c r="AH211" s="133"/>
    </row>
    <row r="212" spans="1:34">
      <c r="C212" s="132" t="s">
        <v>856</v>
      </c>
      <c r="D212" s="132" t="s">
        <v>856</v>
      </c>
      <c r="G212" s="133"/>
      <c r="H212" s="133"/>
      <c r="I212" s="133"/>
      <c r="J212" s="133"/>
      <c r="K212" s="133"/>
      <c r="L212" s="133"/>
      <c r="M212" s="133"/>
      <c r="N212" s="133"/>
      <c r="O212" s="133"/>
      <c r="P212" s="133"/>
      <c r="Q212" s="133"/>
      <c r="R212" s="133"/>
      <c r="S212" s="133"/>
      <c r="T212" s="133"/>
      <c r="U212" s="133"/>
      <c r="V212" s="133"/>
      <c r="W212" s="133"/>
      <c r="X212" s="133"/>
      <c r="Y212" s="133"/>
      <c r="Z212" s="133"/>
      <c r="AA212" s="133"/>
      <c r="AB212" s="133"/>
      <c r="AC212" s="133"/>
      <c r="AD212" s="133"/>
      <c r="AE212" s="133"/>
      <c r="AF212" s="133"/>
      <c r="AG212" s="133"/>
      <c r="AH212" s="133"/>
    </row>
    <row r="213" spans="1:34" ht="14.5" thickBot="1">
      <c r="C213" s="134" t="s">
        <v>813</v>
      </c>
      <c r="D213" s="134" t="s">
        <v>813</v>
      </c>
      <c r="E213" s="135" t="s">
        <v>857</v>
      </c>
      <c r="F213" s="135" t="s">
        <v>857</v>
      </c>
      <c r="G213" s="133"/>
      <c r="H213" s="133"/>
      <c r="I213" s="133"/>
      <c r="J213" s="133"/>
      <c r="K213" s="133"/>
      <c r="L213" s="133"/>
      <c r="M213" s="133"/>
      <c r="N213" s="133"/>
      <c r="O213" s="133"/>
      <c r="P213" s="133"/>
      <c r="Q213" s="133"/>
      <c r="R213" s="133"/>
      <c r="S213" s="133"/>
      <c r="T213" s="133"/>
      <c r="U213" s="133"/>
      <c r="V213" s="133"/>
      <c r="W213" s="133"/>
      <c r="X213" s="133"/>
      <c r="Y213" s="133"/>
      <c r="Z213" s="133"/>
      <c r="AA213" s="133"/>
      <c r="AB213" s="133"/>
      <c r="AC213" s="133"/>
      <c r="AD213" s="133"/>
      <c r="AE213" s="133"/>
      <c r="AF213" s="133"/>
      <c r="AG213" s="133"/>
      <c r="AH213" s="133"/>
    </row>
    <row r="214" spans="1:34">
      <c r="C214" s="136" t="s">
        <v>858</v>
      </c>
      <c r="D214" s="137" t="s">
        <v>859</v>
      </c>
      <c r="E214" s="136" t="s">
        <v>858</v>
      </c>
      <c r="F214" s="137" t="s">
        <v>859</v>
      </c>
      <c r="G214" s="133"/>
      <c r="H214" s="133"/>
      <c r="I214" s="133"/>
      <c r="J214" s="133"/>
      <c r="K214" s="133"/>
      <c r="L214" s="133"/>
      <c r="M214" s="133"/>
      <c r="N214" s="133"/>
      <c r="O214" s="133"/>
      <c r="P214" s="133"/>
      <c r="Q214" s="133"/>
      <c r="R214" s="133"/>
      <c r="S214" s="133"/>
      <c r="T214" s="133"/>
      <c r="U214" s="133"/>
      <c r="V214" s="133"/>
      <c r="W214" s="133"/>
      <c r="X214" s="133"/>
      <c r="Y214" s="133"/>
      <c r="Z214" s="133"/>
      <c r="AA214" s="133"/>
      <c r="AB214" s="133"/>
      <c r="AC214" s="133"/>
      <c r="AD214" s="133"/>
      <c r="AE214" s="133"/>
      <c r="AF214" s="133"/>
      <c r="AG214" s="133"/>
      <c r="AH214" s="133"/>
    </row>
    <row r="215" spans="1:34" ht="14.5" thickBot="1">
      <c r="A215" s="138" t="s">
        <v>860</v>
      </c>
      <c r="B215" s="139" t="s">
        <v>861</v>
      </c>
      <c r="C215" s="205" t="s">
        <v>862</v>
      </c>
      <c r="D215" s="206" t="s">
        <v>863</v>
      </c>
      <c r="E215" s="205" t="s">
        <v>862</v>
      </c>
      <c r="F215" s="206" t="s">
        <v>863</v>
      </c>
      <c r="G215" s="133"/>
      <c r="H215" s="133"/>
      <c r="I215" s="133"/>
      <c r="J215" s="133"/>
      <c r="K215" s="133"/>
      <c r="L215" s="133"/>
      <c r="M215" s="133"/>
      <c r="N215" s="133"/>
      <c r="O215" s="133"/>
      <c r="P215" s="133"/>
      <c r="Q215" s="133"/>
      <c r="R215" s="133"/>
      <c r="S215" s="133"/>
      <c r="T215" s="133"/>
      <c r="U215" s="133"/>
      <c r="V215" s="133"/>
      <c r="W215" s="133"/>
      <c r="X215" s="133"/>
      <c r="Y215" s="133"/>
      <c r="Z215" s="133"/>
      <c r="AA215" s="133"/>
      <c r="AB215" s="133"/>
      <c r="AC215" s="133"/>
      <c r="AD215" s="133"/>
      <c r="AE215" s="133"/>
      <c r="AF215" s="133"/>
      <c r="AG215" s="133"/>
      <c r="AH215" s="133"/>
    </row>
    <row r="216" spans="1:34">
      <c r="A216" s="144">
        <v>23</v>
      </c>
      <c r="B216" s="145" t="s">
        <v>890</v>
      </c>
      <c r="C216" s="187">
        <v>0.54</v>
      </c>
      <c r="D216" s="188">
        <v>0.97331240188382995</v>
      </c>
      <c r="E216" s="187">
        <v>4.6950321987120498</v>
      </c>
      <c r="F216" s="188">
        <v>15.395</v>
      </c>
      <c r="G216" s="133"/>
      <c r="H216" s="133"/>
      <c r="I216" s="133"/>
      <c r="J216" s="133"/>
      <c r="K216" s="133"/>
      <c r="L216" s="133"/>
      <c r="M216" s="133"/>
      <c r="N216" s="133"/>
      <c r="O216" s="133"/>
      <c r="P216" s="133"/>
      <c r="Q216" s="133"/>
      <c r="R216" s="133"/>
      <c r="S216" s="133"/>
      <c r="T216" s="133"/>
      <c r="U216" s="133"/>
      <c r="V216" s="133"/>
      <c r="W216" s="133"/>
      <c r="X216" s="133"/>
      <c r="Y216" s="133"/>
      <c r="Z216" s="133"/>
      <c r="AA216" s="133"/>
      <c r="AB216" s="133"/>
      <c r="AC216" s="133"/>
      <c r="AD216" s="133"/>
      <c r="AE216" s="133"/>
      <c r="AF216" s="133"/>
      <c r="AG216" s="133"/>
      <c r="AH216" s="133"/>
    </row>
    <row r="217" spans="1:34">
      <c r="A217" s="150"/>
      <c r="B217" s="151"/>
      <c r="C217" s="187">
        <v>1.08</v>
      </c>
      <c r="D217" s="188">
        <v>1.9780219780219701</v>
      </c>
      <c r="E217" s="187">
        <v>5.2</v>
      </c>
      <c r="F217" s="188">
        <v>5.4003139717425404</v>
      </c>
      <c r="G217" s="133"/>
      <c r="H217" s="133"/>
      <c r="I217" s="133"/>
      <c r="J217" s="133"/>
      <c r="K217" s="133"/>
      <c r="L217" s="133"/>
      <c r="M217" s="133"/>
      <c r="N217" s="133"/>
      <c r="O217" s="133"/>
      <c r="P217" s="133"/>
      <c r="Q217" s="133"/>
      <c r="R217" s="133"/>
      <c r="S217" s="133"/>
      <c r="T217" s="133"/>
      <c r="U217" s="133"/>
      <c r="V217" s="133"/>
      <c r="W217" s="133"/>
      <c r="X217" s="133"/>
      <c r="Y217" s="133"/>
      <c r="Z217" s="133"/>
      <c r="AA217" s="133"/>
      <c r="AB217" s="133"/>
      <c r="AC217" s="133"/>
      <c r="AD217" s="133"/>
      <c r="AE217" s="133"/>
      <c r="AF217" s="133"/>
      <c r="AG217" s="133"/>
      <c r="AH217" s="133"/>
    </row>
    <row r="218" spans="1:34">
      <c r="A218" s="150"/>
      <c r="B218" s="151"/>
      <c r="C218" s="187">
        <v>1.61</v>
      </c>
      <c r="D218" s="188">
        <v>2.4803767660910498</v>
      </c>
      <c r="E218" s="189"/>
      <c r="F218" s="190"/>
      <c r="G218" s="133"/>
      <c r="H218" s="133"/>
      <c r="I218" s="133"/>
      <c r="J218" s="133"/>
      <c r="K218" s="133"/>
      <c r="L218" s="133"/>
      <c r="M218" s="133"/>
      <c r="N218" s="133"/>
      <c r="O218" s="133"/>
      <c r="P218" s="133"/>
      <c r="Q218" s="133"/>
      <c r="R218" s="133"/>
      <c r="S218" s="133"/>
      <c r="T218" s="133"/>
      <c r="U218" s="133"/>
      <c r="V218" s="133"/>
      <c r="W218" s="133"/>
      <c r="X218" s="133"/>
      <c r="Y218" s="133"/>
      <c r="Z218" s="133"/>
      <c r="AA218" s="133"/>
      <c r="AB218" s="133"/>
      <c r="AC218" s="133"/>
      <c r="AD218" s="133"/>
      <c r="AE218" s="133"/>
      <c r="AF218" s="133"/>
      <c r="AG218" s="133"/>
      <c r="AH218" s="133"/>
    </row>
    <row r="219" spans="1:34">
      <c r="A219" s="150"/>
      <c r="B219" s="151"/>
      <c r="C219" s="187">
        <v>2.13</v>
      </c>
      <c r="D219" s="188">
        <v>2.9513343799057998</v>
      </c>
      <c r="E219" s="189"/>
      <c r="F219" s="190"/>
      <c r="G219" s="133"/>
      <c r="H219" s="133"/>
      <c r="I219" s="133"/>
      <c r="J219" s="133"/>
      <c r="K219" s="133"/>
      <c r="L219" s="133"/>
      <c r="M219" s="133"/>
      <c r="N219" s="133"/>
      <c r="O219" s="133"/>
      <c r="P219" s="133"/>
      <c r="Q219" s="133"/>
      <c r="R219" s="133"/>
      <c r="S219" s="133"/>
      <c r="T219" s="133"/>
      <c r="U219" s="133"/>
      <c r="V219" s="133"/>
      <c r="W219" s="133"/>
      <c r="X219" s="133"/>
      <c r="Y219" s="133"/>
      <c r="Z219" s="133"/>
      <c r="AA219" s="133"/>
      <c r="AB219" s="133"/>
      <c r="AC219" s="133"/>
      <c r="AD219" s="133"/>
      <c r="AE219" s="133"/>
      <c r="AF219" s="133"/>
      <c r="AG219" s="133"/>
      <c r="AH219" s="133"/>
    </row>
    <row r="220" spans="1:34">
      <c r="A220" s="150"/>
      <c r="B220" s="151"/>
      <c r="C220" s="187">
        <v>2.6549999999999998</v>
      </c>
      <c r="D220" s="188">
        <v>3.95604395604395</v>
      </c>
      <c r="E220" s="189"/>
      <c r="F220" s="190"/>
      <c r="G220" s="133"/>
      <c r="H220" s="133"/>
      <c r="I220" s="133"/>
      <c r="J220" s="133"/>
      <c r="K220" s="133"/>
      <c r="L220" s="133"/>
      <c r="M220" s="133"/>
      <c r="N220" s="133"/>
      <c r="O220" s="133"/>
      <c r="P220" s="133"/>
      <c r="Q220" s="133"/>
      <c r="R220" s="133"/>
      <c r="S220" s="133"/>
      <c r="T220" s="133"/>
      <c r="U220" s="133"/>
      <c r="V220" s="133"/>
      <c r="W220" s="133"/>
      <c r="X220" s="133"/>
      <c r="Y220" s="133"/>
      <c r="Z220" s="133"/>
      <c r="AA220" s="133"/>
      <c r="AB220" s="133"/>
      <c r="AC220" s="133"/>
      <c r="AD220" s="133"/>
      <c r="AE220" s="133"/>
      <c r="AF220" s="133"/>
      <c r="AG220" s="133"/>
      <c r="AH220" s="133"/>
    </row>
    <row r="221" spans="1:34">
      <c r="A221" s="150"/>
      <c r="B221" s="151"/>
      <c r="C221" s="187">
        <v>3.1749999999999998</v>
      </c>
      <c r="D221" s="188">
        <v>4.3328100470957596</v>
      </c>
      <c r="E221" s="189"/>
      <c r="F221" s="190"/>
      <c r="G221" s="133"/>
      <c r="H221" s="133"/>
      <c r="I221" s="133"/>
      <c r="J221" s="133"/>
      <c r="K221" s="133"/>
      <c r="L221" s="133"/>
      <c r="M221" s="133"/>
      <c r="N221" s="133"/>
      <c r="O221" s="133"/>
      <c r="P221" s="133"/>
      <c r="Q221" s="133"/>
      <c r="R221" s="133"/>
      <c r="S221" s="133"/>
      <c r="T221" s="133"/>
      <c r="U221" s="133"/>
      <c r="V221" s="133"/>
      <c r="W221" s="133"/>
      <c r="X221" s="133"/>
      <c r="Y221" s="133"/>
      <c r="Z221" s="133"/>
      <c r="AA221" s="133"/>
      <c r="AB221" s="133"/>
      <c r="AC221" s="133"/>
      <c r="AD221" s="133"/>
      <c r="AE221" s="133"/>
      <c r="AF221" s="133"/>
      <c r="AG221" s="133"/>
      <c r="AH221" s="133"/>
    </row>
    <row r="222" spans="1:34">
      <c r="A222" s="150"/>
      <c r="B222" s="151"/>
      <c r="C222" s="187">
        <v>3.69</v>
      </c>
      <c r="D222" s="188">
        <v>7.9120879120879097</v>
      </c>
      <c r="E222" s="189"/>
      <c r="F222" s="190"/>
      <c r="G222" s="133"/>
      <c r="H222" s="133"/>
      <c r="I222" s="133"/>
      <c r="J222" s="133"/>
      <c r="K222" s="133"/>
      <c r="L222" s="133"/>
      <c r="M222" s="133"/>
      <c r="N222" s="133"/>
      <c r="O222" s="133"/>
      <c r="P222" s="133"/>
      <c r="Q222" s="133"/>
      <c r="R222" s="133"/>
      <c r="S222" s="133"/>
      <c r="T222" s="133"/>
      <c r="U222" s="133"/>
      <c r="V222" s="133"/>
      <c r="W222" s="133"/>
      <c r="X222" s="133"/>
      <c r="Y222" s="133"/>
      <c r="Z222" s="133"/>
      <c r="AA222" s="133"/>
      <c r="AB222" s="133"/>
      <c r="AC222" s="133"/>
      <c r="AD222" s="133"/>
      <c r="AE222" s="133"/>
      <c r="AF222" s="133"/>
      <c r="AG222" s="133"/>
      <c r="AH222" s="133"/>
    </row>
    <row r="223" spans="1:34">
      <c r="A223" s="150"/>
      <c r="B223" s="151"/>
      <c r="C223" s="187">
        <v>4.1982520699172001</v>
      </c>
      <c r="D223" s="188">
        <v>7.2841444270015696</v>
      </c>
      <c r="E223" s="189"/>
      <c r="F223" s="190"/>
      <c r="G223" s="133"/>
      <c r="H223" s="133"/>
      <c r="I223" s="133"/>
      <c r="J223" s="133"/>
      <c r="K223" s="133"/>
      <c r="L223" s="133"/>
      <c r="M223" s="133"/>
      <c r="N223" s="133"/>
      <c r="O223" s="133"/>
      <c r="P223" s="133"/>
      <c r="Q223" s="133"/>
      <c r="R223" s="133"/>
      <c r="S223" s="133"/>
      <c r="T223" s="133"/>
      <c r="U223" s="133"/>
      <c r="V223" s="133"/>
      <c r="W223" s="133"/>
      <c r="X223" s="133"/>
      <c r="Y223" s="133"/>
      <c r="Z223" s="133"/>
      <c r="AA223" s="133"/>
      <c r="AB223" s="133"/>
      <c r="AC223" s="133"/>
      <c r="AD223" s="133"/>
      <c r="AE223" s="133"/>
      <c r="AF223" s="133"/>
      <c r="AG223" s="133"/>
      <c r="AH223" s="133"/>
    </row>
    <row r="224" spans="1:34">
      <c r="A224" s="150"/>
      <c r="B224" s="151"/>
      <c r="C224" s="187">
        <v>4.6950000000000003</v>
      </c>
      <c r="D224" s="188">
        <v>9.6075353218210306</v>
      </c>
      <c r="E224" s="189"/>
      <c r="F224" s="190"/>
      <c r="G224" s="133"/>
      <c r="H224" s="133"/>
      <c r="I224" s="133"/>
      <c r="J224" s="133"/>
      <c r="K224" s="133"/>
      <c r="L224" s="133"/>
      <c r="M224" s="133"/>
      <c r="N224" s="133"/>
      <c r="O224" s="133"/>
      <c r="P224" s="133"/>
      <c r="Q224" s="133"/>
      <c r="R224" s="133"/>
      <c r="S224" s="133"/>
      <c r="T224" s="133"/>
      <c r="U224" s="133"/>
      <c r="V224" s="133"/>
      <c r="W224" s="133"/>
      <c r="X224" s="133"/>
      <c r="Y224" s="133"/>
      <c r="Z224" s="133"/>
      <c r="AA224" s="133"/>
      <c r="AB224" s="133"/>
      <c r="AC224" s="133"/>
      <c r="AD224" s="133"/>
      <c r="AE224" s="133"/>
      <c r="AF224" s="133"/>
      <c r="AG224" s="133"/>
      <c r="AH224" s="133"/>
    </row>
    <row r="225" spans="1:34" ht="14.5" thickBot="1">
      <c r="A225" s="159"/>
      <c r="B225" s="160"/>
      <c r="C225" s="228">
        <v>5.2</v>
      </c>
      <c r="D225" s="229">
        <v>15.2276295133437</v>
      </c>
      <c r="E225" s="183"/>
      <c r="F225" s="182"/>
      <c r="G225" s="133"/>
      <c r="H225" s="133"/>
      <c r="I225" s="133"/>
      <c r="J225" s="133"/>
      <c r="K225" s="133"/>
      <c r="L225" s="133"/>
      <c r="M225" s="133"/>
      <c r="N225" s="133"/>
      <c r="O225" s="133"/>
      <c r="P225" s="133"/>
      <c r="Q225" s="133"/>
      <c r="R225" s="133"/>
      <c r="S225" s="133"/>
      <c r="T225" s="133"/>
      <c r="U225" s="133"/>
      <c r="V225" s="133"/>
      <c r="W225" s="133"/>
      <c r="X225" s="133"/>
      <c r="Y225" s="133"/>
      <c r="Z225" s="133"/>
      <c r="AA225" s="133"/>
      <c r="AB225" s="133"/>
      <c r="AC225" s="133"/>
      <c r="AD225" s="133"/>
      <c r="AE225" s="133"/>
      <c r="AF225" s="133"/>
      <c r="AG225" s="133"/>
      <c r="AH225" s="133"/>
    </row>
    <row r="226" spans="1:34">
      <c r="G226" s="133"/>
      <c r="H226" s="133"/>
      <c r="I226" s="133"/>
      <c r="J226" s="133"/>
      <c r="K226" s="133"/>
      <c r="L226" s="133"/>
      <c r="M226" s="133"/>
      <c r="N226" s="133"/>
      <c r="O226" s="133"/>
      <c r="P226" s="133"/>
      <c r="Q226" s="133"/>
      <c r="R226" s="133"/>
      <c r="S226" s="133"/>
      <c r="T226" s="133"/>
      <c r="U226" s="133"/>
      <c r="V226" s="133"/>
      <c r="W226" s="133"/>
      <c r="X226" s="133"/>
      <c r="Y226" s="133"/>
      <c r="Z226" s="133"/>
      <c r="AA226" s="133"/>
      <c r="AB226" s="133"/>
      <c r="AC226" s="133"/>
      <c r="AD226" s="133"/>
      <c r="AE226" s="133"/>
      <c r="AF226" s="133"/>
      <c r="AG226" s="133"/>
      <c r="AH226" s="133"/>
    </row>
    <row r="227" spans="1:34">
      <c r="G227" s="133"/>
      <c r="H227" s="133"/>
      <c r="I227" s="133"/>
      <c r="J227" s="133"/>
      <c r="K227" s="133"/>
      <c r="L227" s="133"/>
      <c r="M227" s="133"/>
      <c r="N227" s="133"/>
      <c r="O227" s="133"/>
      <c r="P227" s="133"/>
      <c r="Q227" s="133"/>
      <c r="R227" s="133"/>
      <c r="S227" s="133"/>
      <c r="T227" s="133"/>
      <c r="U227" s="133"/>
      <c r="V227" s="133"/>
      <c r="W227" s="133"/>
      <c r="X227" s="133"/>
      <c r="Y227" s="133"/>
      <c r="Z227" s="133"/>
      <c r="AA227" s="133"/>
      <c r="AB227" s="133"/>
      <c r="AC227" s="133"/>
      <c r="AD227" s="133"/>
      <c r="AE227" s="133"/>
      <c r="AF227" s="133"/>
      <c r="AG227" s="133"/>
      <c r="AH227" s="133"/>
    </row>
    <row r="228" spans="1:34">
      <c r="A228" s="130"/>
      <c r="B228" s="130"/>
      <c r="C228" s="131" t="s">
        <v>891</v>
      </c>
      <c r="D228" s="130"/>
      <c r="E228" s="130"/>
      <c r="F228" s="185" t="s">
        <v>870</v>
      </c>
      <c r="G228" s="133"/>
      <c r="H228" s="133"/>
      <c r="I228" s="133"/>
      <c r="J228" s="133"/>
      <c r="K228" s="133"/>
      <c r="L228" s="133"/>
      <c r="M228" s="133"/>
      <c r="N228" s="133"/>
      <c r="O228" s="133"/>
      <c r="P228" s="133"/>
      <c r="Q228" s="133"/>
      <c r="R228" s="133"/>
      <c r="S228" s="133"/>
      <c r="T228" s="133"/>
      <c r="U228" s="133"/>
      <c r="V228" s="133"/>
      <c r="W228" s="133"/>
      <c r="X228" s="133"/>
      <c r="Y228" s="133"/>
      <c r="Z228" s="133"/>
      <c r="AA228" s="133"/>
      <c r="AB228" s="133"/>
      <c r="AC228" s="133"/>
      <c r="AD228" s="133"/>
      <c r="AE228" s="133"/>
      <c r="AF228" s="133"/>
      <c r="AG228" s="133"/>
      <c r="AH228" s="133"/>
    </row>
    <row r="229" spans="1:34">
      <c r="C229" s="132" t="s">
        <v>856</v>
      </c>
      <c r="D229" s="132" t="s">
        <v>856</v>
      </c>
      <c r="G229" s="133"/>
      <c r="H229" s="133"/>
      <c r="I229" s="133"/>
      <c r="J229" s="133"/>
      <c r="K229" s="133"/>
      <c r="L229" s="133"/>
      <c r="M229" s="133"/>
      <c r="N229" s="133"/>
      <c r="O229" s="133"/>
      <c r="P229" s="133"/>
      <c r="Q229" s="133"/>
      <c r="R229" s="133"/>
      <c r="S229" s="133"/>
      <c r="T229" s="133"/>
      <c r="U229" s="133"/>
      <c r="V229" s="133"/>
      <c r="W229" s="133"/>
      <c r="X229" s="133"/>
      <c r="Y229" s="133"/>
      <c r="Z229" s="133"/>
      <c r="AA229" s="133"/>
      <c r="AB229" s="133"/>
      <c r="AC229" s="133"/>
      <c r="AD229" s="133"/>
      <c r="AE229" s="133"/>
      <c r="AF229" s="133"/>
      <c r="AG229" s="133"/>
      <c r="AH229" s="133"/>
    </row>
    <row r="230" spans="1:34" ht="14.5" thickBot="1">
      <c r="C230" s="134" t="s">
        <v>813</v>
      </c>
      <c r="D230" s="134" t="s">
        <v>813</v>
      </c>
      <c r="E230" s="135" t="s">
        <v>857</v>
      </c>
      <c r="F230" s="135" t="s">
        <v>857</v>
      </c>
      <c r="G230" s="133"/>
      <c r="H230" s="133"/>
      <c r="I230" s="133"/>
      <c r="J230" s="133"/>
      <c r="K230" s="133"/>
      <c r="L230" s="133"/>
      <c r="M230" s="133"/>
      <c r="N230" s="133"/>
      <c r="O230" s="133"/>
      <c r="P230" s="133"/>
      <c r="Q230" s="133"/>
      <c r="R230" s="133"/>
      <c r="S230" s="133"/>
      <c r="T230" s="133"/>
      <c r="U230" s="133"/>
      <c r="V230" s="133"/>
      <c r="W230" s="133"/>
      <c r="X230" s="133"/>
      <c r="Y230" s="133"/>
      <c r="Z230" s="133"/>
      <c r="AA230" s="133"/>
      <c r="AB230" s="133"/>
      <c r="AC230" s="133"/>
      <c r="AD230" s="133"/>
      <c r="AE230" s="133"/>
      <c r="AF230" s="133"/>
      <c r="AG230" s="133"/>
      <c r="AH230" s="133"/>
    </row>
    <row r="231" spans="1:34">
      <c r="C231" s="136" t="s">
        <v>858</v>
      </c>
      <c r="D231" s="137" t="s">
        <v>859</v>
      </c>
      <c r="E231" s="136" t="s">
        <v>858</v>
      </c>
      <c r="F231" s="137" t="s">
        <v>859</v>
      </c>
      <c r="G231" s="133"/>
      <c r="H231" s="133"/>
      <c r="I231" s="133"/>
      <c r="J231" s="133"/>
      <c r="K231" s="133"/>
      <c r="L231" s="133"/>
      <c r="M231" s="133"/>
      <c r="N231" s="133"/>
      <c r="O231" s="133"/>
      <c r="P231" s="133"/>
      <c r="Q231" s="133"/>
      <c r="R231" s="133"/>
      <c r="S231" s="133"/>
      <c r="T231" s="133"/>
      <c r="U231" s="133"/>
      <c r="V231" s="133"/>
      <c r="W231" s="133"/>
      <c r="X231" s="133"/>
      <c r="Y231" s="133"/>
      <c r="Z231" s="133"/>
      <c r="AA231" s="133"/>
      <c r="AB231" s="133"/>
      <c r="AC231" s="133"/>
      <c r="AD231" s="133"/>
      <c r="AE231" s="133"/>
      <c r="AF231" s="133"/>
      <c r="AG231" s="133"/>
      <c r="AH231" s="133"/>
    </row>
    <row r="232" spans="1:34" ht="14.5" thickBot="1">
      <c r="A232" s="138" t="s">
        <v>860</v>
      </c>
      <c r="B232" s="139" t="s">
        <v>861</v>
      </c>
      <c r="C232" s="205" t="s">
        <v>862</v>
      </c>
      <c r="D232" s="206" t="s">
        <v>863</v>
      </c>
      <c r="E232" s="205" t="s">
        <v>862</v>
      </c>
      <c r="F232" s="206" t="s">
        <v>863</v>
      </c>
      <c r="G232" s="133"/>
      <c r="H232" s="133"/>
      <c r="I232" s="133"/>
      <c r="J232" s="133"/>
      <c r="K232" s="133"/>
      <c r="L232" s="133"/>
      <c r="M232" s="133"/>
      <c r="N232" s="133"/>
      <c r="O232" s="133"/>
      <c r="P232" s="133"/>
      <c r="Q232" s="133"/>
      <c r="R232" s="133"/>
      <c r="S232" s="133"/>
      <c r="T232" s="133"/>
      <c r="U232" s="133"/>
      <c r="V232" s="133"/>
      <c r="W232" s="133"/>
      <c r="X232" s="133"/>
      <c r="Y232" s="133"/>
      <c r="Z232" s="133"/>
      <c r="AA232" s="133"/>
      <c r="AB232" s="133"/>
      <c r="AC232" s="133"/>
      <c r="AD232" s="133"/>
      <c r="AE232" s="133"/>
      <c r="AF232" s="133"/>
      <c r="AG232" s="133"/>
      <c r="AH232" s="133"/>
    </row>
    <row r="233" spans="1:34">
      <c r="A233" s="144">
        <v>24</v>
      </c>
      <c r="B233" s="145" t="s">
        <v>892</v>
      </c>
      <c r="C233" s="187">
        <v>0.53693444136657398</v>
      </c>
      <c r="D233" s="188">
        <v>2.3861852433281001</v>
      </c>
      <c r="E233" s="187">
        <v>3.1731301939058101</v>
      </c>
      <c r="F233" s="188">
        <v>12.2448979591836</v>
      </c>
      <c r="G233" s="133"/>
      <c r="H233" s="133"/>
      <c r="I233" s="133"/>
      <c r="J233" s="133"/>
      <c r="K233" s="133"/>
      <c r="L233" s="133"/>
      <c r="M233" s="133"/>
      <c r="N233" s="133"/>
      <c r="O233" s="133"/>
      <c r="P233" s="133"/>
      <c r="Q233" s="133"/>
      <c r="R233" s="133"/>
      <c r="S233" s="133"/>
      <c r="T233" s="133"/>
      <c r="U233" s="133"/>
      <c r="V233" s="133"/>
      <c r="W233" s="133"/>
      <c r="X233" s="133"/>
      <c r="Y233" s="133"/>
      <c r="Z233" s="133"/>
      <c r="AA233" s="133"/>
      <c r="AB233" s="133"/>
      <c r="AC233" s="133"/>
      <c r="AD233" s="133"/>
      <c r="AE233" s="133"/>
      <c r="AF233" s="133"/>
      <c r="AG233" s="133"/>
      <c r="AH233" s="133"/>
    </row>
    <row r="234" spans="1:34">
      <c r="A234" s="150"/>
      <c r="B234" s="151"/>
      <c r="C234" s="187">
        <v>1.07710064635272</v>
      </c>
      <c r="D234" s="188">
        <v>2.9513343799057998</v>
      </c>
      <c r="E234" s="187">
        <v>3.69482917820867</v>
      </c>
      <c r="F234" s="188">
        <v>5.4317111459968599</v>
      </c>
      <c r="G234" s="133"/>
      <c r="H234" s="133"/>
      <c r="I234" s="133"/>
      <c r="J234" s="133"/>
      <c r="K234" s="133"/>
      <c r="L234" s="133"/>
      <c r="M234" s="133"/>
      <c r="N234" s="133"/>
      <c r="O234" s="133"/>
      <c r="P234" s="133"/>
      <c r="Q234" s="133"/>
      <c r="R234" s="133"/>
      <c r="S234" s="133"/>
      <c r="T234" s="133"/>
      <c r="U234" s="133"/>
      <c r="V234" s="133"/>
      <c r="W234" s="133"/>
      <c r="X234" s="133"/>
      <c r="Y234" s="133"/>
      <c r="Z234" s="133"/>
      <c r="AA234" s="133"/>
      <c r="AB234" s="133"/>
      <c r="AC234" s="133"/>
      <c r="AD234" s="133"/>
      <c r="AE234" s="133"/>
      <c r="AF234" s="133"/>
      <c r="AG234" s="133"/>
      <c r="AH234" s="133"/>
    </row>
    <row r="235" spans="1:34">
      <c r="A235" s="150"/>
      <c r="B235" s="151"/>
      <c r="C235" s="187">
        <v>1.5987996306555801</v>
      </c>
      <c r="D235" s="188">
        <v>5.2747252747252702</v>
      </c>
      <c r="E235" s="187">
        <v>4.19806094182825</v>
      </c>
      <c r="F235" s="188">
        <v>2.9513343799057998</v>
      </c>
      <c r="G235" s="133"/>
      <c r="H235" s="133"/>
      <c r="I235" s="133"/>
      <c r="J235" s="133"/>
      <c r="K235" s="133"/>
      <c r="L235" s="133"/>
      <c r="M235" s="133"/>
      <c r="N235" s="133"/>
      <c r="O235" s="133"/>
      <c r="P235" s="133"/>
      <c r="Q235" s="133"/>
      <c r="R235" s="133"/>
      <c r="S235" s="133"/>
      <c r="T235" s="133"/>
      <c r="U235" s="133"/>
      <c r="V235" s="133"/>
      <c r="W235" s="133"/>
      <c r="X235" s="133"/>
      <c r="Y235" s="133"/>
      <c r="Z235" s="133"/>
      <c r="AA235" s="133"/>
      <c r="AB235" s="133"/>
      <c r="AC235" s="133"/>
      <c r="AD235" s="133"/>
      <c r="AE235" s="133"/>
      <c r="AF235" s="133"/>
      <c r="AG235" s="133"/>
      <c r="AH235" s="133"/>
    </row>
    <row r="236" spans="1:34">
      <c r="A236" s="150"/>
      <c r="B236" s="151"/>
      <c r="C236" s="187">
        <v>2.1297322253000899</v>
      </c>
      <c r="D236" s="188">
        <v>7.3155416012558803</v>
      </c>
      <c r="E236" s="187">
        <v>4.6966759002770004</v>
      </c>
      <c r="F236" s="188">
        <v>2.5117739403453601</v>
      </c>
      <c r="G236" s="133"/>
      <c r="H236" s="133"/>
      <c r="I236" s="133"/>
      <c r="J236" s="133"/>
      <c r="K236" s="133"/>
      <c r="L236" s="133"/>
      <c r="M236" s="133"/>
      <c r="N236" s="133"/>
      <c r="O236" s="133"/>
      <c r="P236" s="133"/>
      <c r="Q236" s="133"/>
      <c r="R236" s="133"/>
      <c r="S236" s="133"/>
      <c r="T236" s="133"/>
      <c r="U236" s="133"/>
      <c r="V236" s="133"/>
      <c r="W236" s="133"/>
      <c r="X236" s="133"/>
      <c r="Y236" s="133"/>
      <c r="Z236" s="133"/>
      <c r="AA236" s="133"/>
      <c r="AB236" s="133"/>
      <c r="AC236" s="133"/>
      <c r="AD236" s="133"/>
      <c r="AE236" s="133"/>
      <c r="AF236" s="133"/>
      <c r="AG236" s="133"/>
      <c r="AH236" s="133"/>
    </row>
    <row r="237" spans="1:34">
      <c r="A237" s="150"/>
      <c r="B237" s="151"/>
      <c r="C237" s="187">
        <v>2.64681440443213</v>
      </c>
      <c r="D237" s="188">
        <v>13.5007849293563</v>
      </c>
      <c r="E237" s="187">
        <v>5.1952908587257598</v>
      </c>
      <c r="F237" s="188">
        <v>2.0408163265306101</v>
      </c>
      <c r="G237" s="133"/>
      <c r="H237" s="133"/>
      <c r="I237" s="133"/>
      <c r="J237" s="133"/>
      <c r="K237" s="133"/>
      <c r="L237" s="133"/>
      <c r="M237" s="133"/>
      <c r="N237" s="133"/>
      <c r="O237" s="133"/>
      <c r="P237" s="133"/>
      <c r="Q237" s="133"/>
      <c r="R237" s="133"/>
      <c r="S237" s="133"/>
      <c r="T237" s="133"/>
      <c r="U237" s="133"/>
      <c r="V237" s="133"/>
      <c r="W237" s="133"/>
      <c r="X237" s="133"/>
      <c r="Y237" s="133"/>
      <c r="Z237" s="133"/>
      <c r="AA237" s="133"/>
      <c r="AB237" s="133"/>
      <c r="AC237" s="133"/>
      <c r="AD237" s="133"/>
      <c r="AE237" s="133"/>
      <c r="AF237" s="133"/>
      <c r="AG237" s="133"/>
      <c r="AH237" s="133"/>
    </row>
    <row r="238" spans="1:34">
      <c r="A238" s="150"/>
      <c r="B238" s="151"/>
      <c r="C238" s="187">
        <v>3.1685133887349899</v>
      </c>
      <c r="D238" s="188">
        <v>20</v>
      </c>
      <c r="E238" s="189"/>
      <c r="F238" s="190"/>
      <c r="G238" s="133"/>
      <c r="H238" s="133"/>
      <c r="I238" s="133"/>
      <c r="J238" s="133"/>
      <c r="K238" s="133"/>
      <c r="L238" s="133"/>
      <c r="M238" s="133"/>
      <c r="N238" s="133"/>
      <c r="O238" s="133"/>
      <c r="P238" s="133"/>
      <c r="Q238" s="133"/>
      <c r="R238" s="133"/>
      <c r="S238" s="133"/>
      <c r="T238" s="133"/>
      <c r="U238" s="133"/>
      <c r="V238" s="133"/>
      <c r="W238" s="133"/>
      <c r="X238" s="133"/>
      <c r="Y238" s="133"/>
      <c r="Z238" s="133"/>
      <c r="AA238" s="133"/>
      <c r="AB238" s="133"/>
      <c r="AC238" s="133"/>
      <c r="AD238" s="133"/>
      <c r="AE238" s="133"/>
      <c r="AF238" s="133"/>
      <c r="AG238" s="133"/>
      <c r="AH238" s="133"/>
    </row>
    <row r="239" spans="1:34">
      <c r="A239" s="150"/>
      <c r="B239" s="151"/>
      <c r="C239" s="210"/>
      <c r="D239" s="211"/>
      <c r="E239" s="189"/>
      <c r="F239" s="190"/>
      <c r="G239" s="133"/>
      <c r="H239" s="133"/>
      <c r="I239" s="133"/>
      <c r="J239" s="133"/>
      <c r="K239" s="133"/>
      <c r="L239" s="133"/>
      <c r="M239" s="133"/>
      <c r="N239" s="133"/>
      <c r="O239" s="133"/>
      <c r="P239" s="133"/>
      <c r="Q239" s="133"/>
      <c r="R239" s="133"/>
      <c r="S239" s="133"/>
      <c r="T239" s="133"/>
      <c r="U239" s="133"/>
      <c r="V239" s="133"/>
      <c r="W239" s="133"/>
      <c r="X239" s="133"/>
      <c r="Y239" s="133"/>
      <c r="Z239" s="133"/>
      <c r="AA239" s="133"/>
      <c r="AB239" s="133"/>
      <c r="AC239" s="133"/>
      <c r="AD239" s="133"/>
      <c r="AE239" s="133"/>
      <c r="AF239" s="133"/>
      <c r="AG239" s="133"/>
      <c r="AH239" s="133"/>
    </row>
    <row r="240" spans="1:34">
      <c r="A240" s="150"/>
      <c r="B240" s="151"/>
      <c r="C240" s="178"/>
      <c r="D240" s="179"/>
      <c r="E240" s="189"/>
      <c r="F240" s="190"/>
      <c r="G240" s="133"/>
      <c r="H240" s="133"/>
      <c r="I240" s="133"/>
      <c r="J240" s="133"/>
      <c r="K240" s="133"/>
      <c r="L240" s="133"/>
      <c r="M240" s="133"/>
      <c r="N240" s="133"/>
      <c r="O240" s="133"/>
      <c r="P240" s="133"/>
      <c r="Q240" s="133"/>
      <c r="R240" s="133"/>
      <c r="S240" s="133"/>
      <c r="T240" s="133"/>
      <c r="U240" s="133"/>
      <c r="V240" s="133"/>
      <c r="W240" s="133"/>
      <c r="X240" s="133"/>
      <c r="Y240" s="133"/>
      <c r="Z240" s="133"/>
      <c r="AA240" s="133"/>
      <c r="AB240" s="133"/>
      <c r="AC240" s="133"/>
      <c r="AD240" s="133"/>
      <c r="AE240" s="133"/>
      <c r="AF240" s="133"/>
      <c r="AG240" s="133"/>
      <c r="AH240" s="133"/>
    </row>
    <row r="241" spans="1:34">
      <c r="A241" s="150"/>
      <c r="B241" s="151"/>
      <c r="C241" s="178"/>
      <c r="D241" s="179"/>
      <c r="E241" s="189"/>
      <c r="F241" s="190"/>
      <c r="G241" s="133"/>
      <c r="H241" s="133"/>
      <c r="I241" s="133"/>
      <c r="J241" s="133"/>
      <c r="K241" s="133"/>
      <c r="L241" s="133"/>
      <c r="M241" s="133"/>
      <c r="N241" s="133"/>
      <c r="O241" s="133"/>
      <c r="P241" s="133"/>
      <c r="Q241" s="133"/>
      <c r="R241" s="133"/>
      <c r="S241" s="133"/>
      <c r="T241" s="133"/>
      <c r="U241" s="133"/>
      <c r="V241" s="133"/>
      <c r="W241" s="133"/>
      <c r="X241" s="133"/>
      <c r="Y241" s="133"/>
      <c r="Z241" s="133"/>
      <c r="AA241" s="133"/>
      <c r="AB241" s="133"/>
      <c r="AC241" s="133"/>
      <c r="AD241" s="133"/>
      <c r="AE241" s="133"/>
      <c r="AF241" s="133"/>
      <c r="AG241" s="133"/>
      <c r="AH241" s="133"/>
    </row>
    <row r="242" spans="1:34" ht="14.5" thickBot="1">
      <c r="A242" s="159"/>
      <c r="B242" s="160"/>
      <c r="C242" s="181"/>
      <c r="D242" s="182"/>
      <c r="E242" s="183"/>
      <c r="F242" s="182"/>
      <c r="G242" s="133"/>
      <c r="H242" s="133"/>
      <c r="I242" s="133"/>
      <c r="J242" s="133"/>
      <c r="K242" s="133"/>
      <c r="L242" s="133"/>
      <c r="M242" s="133"/>
      <c r="N242" s="133"/>
      <c r="O242" s="133"/>
      <c r="P242" s="133"/>
      <c r="Q242" s="133"/>
      <c r="R242" s="133"/>
      <c r="S242" s="133"/>
      <c r="T242" s="133"/>
      <c r="U242" s="133"/>
      <c r="V242" s="133"/>
      <c r="W242" s="133"/>
      <c r="X242" s="133"/>
      <c r="Y242" s="133"/>
      <c r="Z242" s="133"/>
      <c r="AA242" s="133"/>
      <c r="AB242" s="133"/>
      <c r="AC242" s="133"/>
      <c r="AD242" s="133"/>
      <c r="AE242" s="133"/>
      <c r="AF242" s="133"/>
      <c r="AG242" s="133"/>
      <c r="AH242" s="133"/>
    </row>
    <row r="243" spans="1:34">
      <c r="G243" s="133"/>
      <c r="H243" s="133"/>
      <c r="I243" s="133"/>
      <c r="J243" s="133"/>
      <c r="K243" s="133"/>
      <c r="L243" s="133"/>
      <c r="M243" s="133"/>
      <c r="N243" s="133"/>
      <c r="O243" s="133"/>
      <c r="P243" s="133"/>
      <c r="Q243" s="133"/>
      <c r="R243" s="133"/>
      <c r="S243" s="133"/>
      <c r="T243" s="133"/>
      <c r="U243" s="133"/>
      <c r="V243" s="133"/>
      <c r="W243" s="133"/>
      <c r="X243" s="133"/>
      <c r="Y243" s="133"/>
      <c r="Z243" s="133"/>
      <c r="AA243" s="133"/>
      <c r="AB243" s="133"/>
      <c r="AC243" s="133"/>
      <c r="AD243" s="133"/>
      <c r="AE243" s="133"/>
      <c r="AF243" s="133"/>
      <c r="AG243" s="133"/>
      <c r="AH243" s="133"/>
    </row>
    <row r="244" spans="1:34">
      <c r="G244" s="133"/>
      <c r="H244" s="133"/>
      <c r="I244" s="133"/>
      <c r="J244" s="133"/>
      <c r="K244" s="133"/>
      <c r="L244" s="133"/>
      <c r="M244" s="133"/>
      <c r="N244" s="133"/>
      <c r="O244" s="133"/>
      <c r="P244" s="133"/>
      <c r="Q244" s="133"/>
      <c r="R244" s="133"/>
      <c r="S244" s="133"/>
      <c r="T244" s="133"/>
      <c r="U244" s="133"/>
      <c r="V244" s="133"/>
      <c r="W244" s="133"/>
      <c r="X244" s="133"/>
      <c r="Y244" s="133"/>
      <c r="Z244" s="133"/>
      <c r="AA244" s="133"/>
      <c r="AB244" s="133"/>
      <c r="AC244" s="133"/>
      <c r="AD244" s="133"/>
      <c r="AE244" s="133"/>
      <c r="AF244" s="133"/>
      <c r="AG244" s="133"/>
      <c r="AH244" s="133"/>
    </row>
    <row r="245" spans="1:34">
      <c r="A245" s="130"/>
      <c r="B245" s="130"/>
      <c r="C245" s="131" t="s">
        <v>893</v>
      </c>
      <c r="D245" s="130"/>
      <c r="E245" s="130"/>
      <c r="F245" s="185" t="s">
        <v>870</v>
      </c>
      <c r="G245" s="133"/>
      <c r="H245" s="133"/>
      <c r="I245" s="133"/>
      <c r="J245" s="133"/>
      <c r="K245" s="133"/>
      <c r="L245" s="133"/>
      <c r="M245" s="133"/>
      <c r="N245" s="133"/>
      <c r="O245" s="133"/>
      <c r="P245" s="133"/>
      <c r="Q245" s="133"/>
      <c r="R245" s="133"/>
      <c r="S245" s="133"/>
      <c r="T245" s="133"/>
      <c r="U245" s="133"/>
      <c r="V245" s="133"/>
      <c r="W245" s="133"/>
      <c r="X245" s="133"/>
      <c r="Y245" s="133"/>
      <c r="Z245" s="133"/>
      <c r="AA245" s="133"/>
      <c r="AB245" s="133"/>
      <c r="AC245" s="133"/>
      <c r="AD245" s="133"/>
      <c r="AE245" s="133"/>
      <c r="AF245" s="133"/>
      <c r="AG245" s="133"/>
      <c r="AH245" s="133"/>
    </row>
    <row r="246" spans="1:34">
      <c r="C246" s="132" t="s">
        <v>856</v>
      </c>
      <c r="D246" s="132" t="s">
        <v>856</v>
      </c>
      <c r="G246" s="133"/>
      <c r="H246" s="133"/>
      <c r="I246" s="133"/>
      <c r="J246" s="133"/>
      <c r="K246" s="133"/>
      <c r="L246" s="133"/>
      <c r="M246" s="133"/>
      <c r="N246" s="133"/>
      <c r="O246" s="133"/>
      <c r="P246" s="133"/>
      <c r="Q246" s="133"/>
      <c r="R246" s="133"/>
      <c r="S246" s="133"/>
      <c r="T246" s="133"/>
      <c r="U246" s="133"/>
      <c r="V246" s="133"/>
      <c r="W246" s="133"/>
      <c r="X246" s="133"/>
      <c r="Y246" s="133"/>
      <c r="Z246" s="133"/>
      <c r="AA246" s="133"/>
      <c r="AB246" s="133"/>
      <c r="AC246" s="133"/>
      <c r="AD246" s="133"/>
      <c r="AE246" s="133"/>
      <c r="AF246" s="133"/>
      <c r="AG246" s="133"/>
      <c r="AH246" s="133"/>
    </row>
    <row r="247" spans="1:34" ht="14.5" thickBot="1">
      <c r="C247" s="134" t="s">
        <v>813</v>
      </c>
      <c r="D247" s="134" t="s">
        <v>813</v>
      </c>
      <c r="E247" s="135" t="s">
        <v>857</v>
      </c>
      <c r="F247" s="135" t="s">
        <v>857</v>
      </c>
      <c r="G247" s="133"/>
      <c r="H247" s="133"/>
      <c r="I247" s="133"/>
      <c r="J247" s="133"/>
      <c r="K247" s="133"/>
      <c r="L247" s="133"/>
      <c r="M247" s="133"/>
      <c r="N247" s="133"/>
      <c r="O247" s="133"/>
      <c r="P247" s="133"/>
      <c r="Q247" s="133"/>
      <c r="R247" s="133"/>
      <c r="S247" s="133"/>
      <c r="T247" s="133"/>
      <c r="U247" s="133"/>
      <c r="V247" s="133"/>
      <c r="W247" s="133"/>
      <c r="X247" s="133"/>
      <c r="Y247" s="133"/>
      <c r="Z247" s="133"/>
      <c r="AA247" s="133"/>
      <c r="AB247" s="133"/>
      <c r="AC247" s="133"/>
      <c r="AD247" s="133"/>
      <c r="AE247" s="133"/>
      <c r="AF247" s="133"/>
      <c r="AG247" s="133"/>
      <c r="AH247" s="133"/>
    </row>
    <row r="248" spans="1:34">
      <c r="C248" s="136" t="s">
        <v>858</v>
      </c>
      <c r="D248" s="137" t="s">
        <v>859</v>
      </c>
      <c r="E248" s="136" t="s">
        <v>858</v>
      </c>
      <c r="F248" s="137" t="s">
        <v>859</v>
      </c>
      <c r="G248" s="133"/>
      <c r="H248" s="133"/>
      <c r="I248" s="133"/>
      <c r="J248" s="133"/>
      <c r="K248" s="133"/>
      <c r="L248" s="133"/>
      <c r="M248" s="133"/>
      <c r="N248" s="133"/>
      <c r="O248" s="133"/>
      <c r="P248" s="133"/>
      <c r="Q248" s="133"/>
      <c r="R248" s="133"/>
      <c r="S248" s="133"/>
      <c r="T248" s="133"/>
      <c r="U248" s="133"/>
      <c r="V248" s="133"/>
      <c r="W248" s="133"/>
      <c r="X248" s="133"/>
      <c r="Y248" s="133"/>
      <c r="Z248" s="133"/>
      <c r="AA248" s="133"/>
      <c r="AB248" s="133"/>
      <c r="AC248" s="133"/>
      <c r="AD248" s="133"/>
      <c r="AE248" s="133"/>
      <c r="AF248" s="133"/>
      <c r="AG248" s="133"/>
      <c r="AH248" s="133"/>
    </row>
    <row r="249" spans="1:34" ht="14.5" thickBot="1">
      <c r="A249" s="138" t="s">
        <v>860</v>
      </c>
      <c r="B249" s="139" t="s">
        <v>861</v>
      </c>
      <c r="C249" s="205" t="s">
        <v>862</v>
      </c>
      <c r="D249" s="206" t="s">
        <v>863</v>
      </c>
      <c r="E249" s="205" t="s">
        <v>862</v>
      </c>
      <c r="F249" s="206" t="s">
        <v>863</v>
      </c>
      <c r="G249" s="133"/>
      <c r="H249" s="133"/>
      <c r="I249" s="133"/>
      <c r="J249" s="133"/>
      <c r="K249" s="133"/>
      <c r="L249" s="133"/>
      <c r="M249" s="133"/>
      <c r="N249" s="133"/>
      <c r="O249" s="133"/>
      <c r="P249" s="133"/>
      <c r="Q249" s="133"/>
      <c r="R249" s="133"/>
      <c r="S249" s="133"/>
      <c r="T249" s="133"/>
      <c r="U249" s="133"/>
      <c r="V249" s="133"/>
      <c r="W249" s="133"/>
      <c r="X249" s="133"/>
      <c r="Y249" s="133"/>
      <c r="Z249" s="133"/>
      <c r="AA249" s="133"/>
      <c r="AB249" s="133"/>
      <c r="AC249" s="133"/>
      <c r="AD249" s="133"/>
      <c r="AE249" s="133"/>
      <c r="AF249" s="133"/>
      <c r="AG249" s="133"/>
      <c r="AH249" s="133"/>
    </row>
    <row r="250" spans="1:34">
      <c r="A250" s="144">
        <v>24</v>
      </c>
      <c r="B250" s="145" t="s">
        <v>894</v>
      </c>
      <c r="C250" s="230">
        <v>0.54317789291882501</v>
      </c>
      <c r="D250" s="208">
        <v>2.9411764705882302</v>
      </c>
      <c r="E250" s="230">
        <v>2.6502590673575099</v>
      </c>
      <c r="F250" s="208">
        <v>6.3235294117647003</v>
      </c>
      <c r="G250" s="133"/>
      <c r="H250" s="133"/>
      <c r="I250" s="133"/>
      <c r="J250" s="133"/>
      <c r="K250" s="133"/>
      <c r="L250" s="133"/>
      <c r="M250" s="133"/>
      <c r="N250" s="133"/>
      <c r="O250" s="133"/>
      <c r="P250" s="133"/>
      <c r="Q250" s="133"/>
      <c r="R250" s="133"/>
      <c r="S250" s="133"/>
      <c r="T250" s="133"/>
      <c r="U250" s="133"/>
      <c r="V250" s="133"/>
      <c r="W250" s="133"/>
      <c r="X250" s="133"/>
      <c r="Y250" s="133"/>
      <c r="Z250" s="133"/>
      <c r="AA250" s="133"/>
      <c r="AB250" s="133"/>
      <c r="AC250" s="133"/>
      <c r="AD250" s="133"/>
      <c r="AE250" s="133"/>
      <c r="AF250" s="133"/>
      <c r="AG250" s="133"/>
      <c r="AH250" s="133"/>
    </row>
    <row r="251" spans="1:34">
      <c r="A251" s="150"/>
      <c r="B251" s="151"/>
      <c r="C251" s="187">
        <v>1.0785837651122601</v>
      </c>
      <c r="D251" s="188">
        <v>3.8235294117646998</v>
      </c>
      <c r="E251" s="187">
        <v>3.1727115716753</v>
      </c>
      <c r="F251" s="188">
        <v>3.8823529411764701</v>
      </c>
      <c r="G251" s="133"/>
      <c r="H251" s="133"/>
      <c r="I251" s="133"/>
      <c r="J251" s="133"/>
      <c r="K251" s="133"/>
      <c r="L251" s="133"/>
      <c r="M251" s="133"/>
      <c r="N251" s="133"/>
      <c r="O251" s="133"/>
      <c r="P251" s="133"/>
      <c r="Q251" s="133"/>
      <c r="R251" s="133"/>
      <c r="S251" s="133"/>
      <c r="T251" s="133"/>
      <c r="U251" s="133"/>
      <c r="V251" s="133"/>
      <c r="W251" s="133"/>
      <c r="X251" s="133"/>
      <c r="Y251" s="133"/>
      <c r="Z251" s="133"/>
      <c r="AA251" s="133"/>
      <c r="AB251" s="133"/>
      <c r="AC251" s="133"/>
      <c r="AD251" s="133"/>
      <c r="AE251" s="133"/>
      <c r="AF251" s="133"/>
      <c r="AG251" s="133"/>
      <c r="AH251" s="133"/>
    </row>
    <row r="252" spans="1:34">
      <c r="A252" s="150"/>
      <c r="B252" s="151"/>
      <c r="C252" s="187">
        <v>1.6053540587219299</v>
      </c>
      <c r="D252" s="188">
        <v>5.8823529411764701</v>
      </c>
      <c r="E252" s="187">
        <v>3.6908462867012002</v>
      </c>
      <c r="F252" s="188">
        <v>1.97058823529411</v>
      </c>
      <c r="G252" s="133"/>
      <c r="H252" s="133"/>
      <c r="I252" s="133"/>
      <c r="J252" s="133"/>
      <c r="K252" s="133"/>
      <c r="L252" s="133"/>
      <c r="M252" s="133"/>
      <c r="N252" s="133"/>
      <c r="O252" s="133"/>
      <c r="P252" s="133"/>
      <c r="Q252" s="133"/>
      <c r="R252" s="133"/>
      <c r="S252" s="133"/>
      <c r="T252" s="133"/>
      <c r="U252" s="133"/>
      <c r="V252" s="133"/>
      <c r="W252" s="133"/>
      <c r="X252" s="133"/>
      <c r="Y252" s="133"/>
      <c r="Z252" s="133"/>
      <c r="AA252" s="133"/>
      <c r="AB252" s="133"/>
      <c r="AC252" s="133"/>
      <c r="AD252" s="133"/>
      <c r="AE252" s="133"/>
      <c r="AF252" s="133"/>
      <c r="AG252" s="133"/>
      <c r="AH252" s="133"/>
    </row>
    <row r="253" spans="1:34">
      <c r="A253" s="150"/>
      <c r="B253" s="151"/>
      <c r="C253" s="187">
        <v>2.1278065630397198</v>
      </c>
      <c r="D253" s="188">
        <v>16.029411764705799</v>
      </c>
      <c r="E253" s="187">
        <v>4.1960276338514602</v>
      </c>
      <c r="F253" s="188">
        <v>1.47058823529411</v>
      </c>
      <c r="G253" s="133"/>
      <c r="H253" s="133"/>
      <c r="I253" s="133"/>
      <c r="J253" s="133"/>
      <c r="K253" s="133"/>
      <c r="L253" s="133"/>
      <c r="M253" s="133"/>
      <c r="N253" s="133"/>
      <c r="O253" s="133"/>
      <c r="P253" s="133"/>
      <c r="Q253" s="133"/>
      <c r="R253" s="133"/>
      <c r="S253" s="133"/>
      <c r="T253" s="133"/>
      <c r="U253" s="133"/>
      <c r="V253" s="133"/>
      <c r="W253" s="133"/>
      <c r="X253" s="133"/>
      <c r="Y253" s="133"/>
      <c r="Z253" s="133"/>
      <c r="AA253" s="133"/>
      <c r="AB253" s="133"/>
      <c r="AC253" s="133"/>
      <c r="AD253" s="133"/>
      <c r="AE253" s="133"/>
      <c r="AF253" s="133"/>
      <c r="AG253" s="133"/>
      <c r="AH253" s="133"/>
    </row>
    <row r="254" spans="1:34">
      <c r="A254" s="150"/>
      <c r="B254" s="151"/>
      <c r="C254" s="210"/>
      <c r="D254" s="211"/>
      <c r="E254" s="187">
        <v>4.6925734024179597</v>
      </c>
      <c r="F254" s="188">
        <v>1</v>
      </c>
      <c r="G254" s="133"/>
      <c r="H254" s="133"/>
      <c r="I254" s="133"/>
      <c r="J254" s="133"/>
      <c r="K254" s="133"/>
      <c r="L254" s="133"/>
      <c r="M254" s="133"/>
      <c r="N254" s="133"/>
      <c r="O254" s="133"/>
      <c r="P254" s="133"/>
      <c r="Q254" s="133"/>
      <c r="R254" s="133"/>
      <c r="S254" s="133"/>
      <c r="T254" s="133"/>
      <c r="U254" s="133"/>
      <c r="V254" s="133"/>
      <c r="W254" s="133"/>
      <c r="X254" s="133"/>
      <c r="Y254" s="133"/>
      <c r="Z254" s="133"/>
      <c r="AA254" s="133"/>
      <c r="AB254" s="133"/>
      <c r="AC254" s="133"/>
      <c r="AD254" s="133"/>
      <c r="AE254" s="133"/>
      <c r="AF254" s="133"/>
      <c r="AG254" s="133"/>
      <c r="AH254" s="133"/>
    </row>
    <row r="255" spans="1:34">
      <c r="A255" s="150"/>
      <c r="B255" s="151"/>
      <c r="C255" s="210"/>
      <c r="D255" s="211"/>
      <c r="E255" s="187">
        <v>5.2063903281519801</v>
      </c>
      <c r="F255" s="188">
        <v>2.94117647058823E-2</v>
      </c>
      <c r="G255" s="133"/>
      <c r="H255" s="133"/>
      <c r="I255" s="133"/>
      <c r="J255" s="133"/>
      <c r="K255" s="133"/>
      <c r="L255" s="133"/>
      <c r="M255" s="133"/>
      <c r="N255" s="133"/>
      <c r="O255" s="133"/>
      <c r="P255" s="133"/>
      <c r="Q255" s="133"/>
      <c r="R255" s="133"/>
      <c r="S255" s="133"/>
      <c r="T255" s="133"/>
      <c r="U255" s="133"/>
      <c r="V255" s="133"/>
      <c r="W255" s="133"/>
      <c r="X255" s="133"/>
      <c r="Y255" s="133"/>
      <c r="Z255" s="133"/>
      <c r="AA255" s="133"/>
      <c r="AB255" s="133"/>
      <c r="AC255" s="133"/>
      <c r="AD255" s="133"/>
      <c r="AE255" s="133"/>
      <c r="AF255" s="133"/>
      <c r="AG255" s="133"/>
      <c r="AH255" s="133"/>
    </row>
    <row r="256" spans="1:34">
      <c r="A256" s="150"/>
      <c r="B256" s="151"/>
      <c r="C256" s="210"/>
      <c r="D256" s="211"/>
      <c r="E256" s="189"/>
      <c r="F256" s="190"/>
      <c r="G256" s="133"/>
      <c r="H256" s="133"/>
      <c r="I256" s="133"/>
      <c r="J256" s="133"/>
      <c r="K256" s="133"/>
      <c r="L256" s="133"/>
      <c r="M256" s="133"/>
      <c r="N256" s="133"/>
      <c r="O256" s="133"/>
      <c r="P256" s="133"/>
      <c r="Q256" s="133"/>
      <c r="R256" s="133"/>
      <c r="S256" s="133"/>
      <c r="T256" s="133"/>
      <c r="U256" s="133"/>
      <c r="V256" s="133"/>
      <c r="W256" s="133"/>
      <c r="X256" s="133"/>
      <c r="Y256" s="133"/>
      <c r="Z256" s="133"/>
      <c r="AA256" s="133"/>
      <c r="AB256" s="133"/>
      <c r="AC256" s="133"/>
      <c r="AD256" s="133"/>
      <c r="AE256" s="133"/>
      <c r="AF256" s="133"/>
      <c r="AG256" s="133"/>
      <c r="AH256" s="133"/>
    </row>
    <row r="257" spans="1:34">
      <c r="A257" s="150"/>
      <c r="B257" s="151"/>
      <c r="C257" s="178"/>
      <c r="D257" s="179"/>
      <c r="E257" s="189"/>
      <c r="F257" s="190"/>
      <c r="G257" s="133"/>
      <c r="H257" s="133"/>
      <c r="I257" s="133"/>
      <c r="J257" s="133"/>
      <c r="K257" s="133"/>
      <c r="L257" s="133"/>
      <c r="M257" s="133"/>
      <c r="N257" s="133"/>
      <c r="O257" s="133"/>
      <c r="P257" s="133"/>
      <c r="Q257" s="133"/>
      <c r="R257" s="133"/>
      <c r="S257" s="133"/>
      <c r="T257" s="133"/>
      <c r="U257" s="133"/>
      <c r="V257" s="133"/>
      <c r="W257" s="133"/>
      <c r="X257" s="133"/>
      <c r="Y257" s="133"/>
      <c r="Z257" s="133"/>
      <c r="AA257" s="133"/>
      <c r="AB257" s="133"/>
      <c r="AC257" s="133"/>
      <c r="AD257" s="133"/>
      <c r="AE257" s="133"/>
      <c r="AF257" s="133"/>
      <c r="AG257" s="133"/>
      <c r="AH257" s="133"/>
    </row>
    <row r="258" spans="1:34">
      <c r="A258" s="150"/>
      <c r="B258" s="151"/>
      <c r="C258" s="178"/>
      <c r="D258" s="179"/>
      <c r="E258" s="189"/>
      <c r="F258" s="190"/>
      <c r="G258" s="133"/>
      <c r="H258" s="133"/>
      <c r="I258" s="133"/>
      <c r="J258" s="133"/>
      <c r="K258" s="133"/>
      <c r="L258" s="133"/>
      <c r="M258" s="133"/>
      <c r="N258" s="133"/>
      <c r="O258" s="133"/>
      <c r="P258" s="133"/>
      <c r="Q258" s="133"/>
      <c r="R258" s="133"/>
      <c r="S258" s="133"/>
      <c r="T258" s="133"/>
      <c r="U258" s="133"/>
      <c r="V258" s="133"/>
      <c r="W258" s="133"/>
      <c r="X258" s="133"/>
      <c r="Y258" s="133"/>
      <c r="Z258" s="133"/>
      <c r="AA258" s="133"/>
      <c r="AB258" s="133"/>
      <c r="AC258" s="133"/>
      <c r="AD258" s="133"/>
      <c r="AE258" s="133"/>
      <c r="AF258" s="133"/>
      <c r="AG258" s="133"/>
      <c r="AH258" s="133"/>
    </row>
    <row r="259" spans="1:34" ht="14.5" thickBot="1">
      <c r="A259" s="159"/>
      <c r="B259" s="160"/>
      <c r="C259" s="181"/>
      <c r="D259" s="182"/>
      <c r="E259" s="183"/>
      <c r="F259" s="182"/>
      <c r="G259" s="133"/>
      <c r="H259" s="133"/>
      <c r="I259" s="133"/>
      <c r="J259" s="133"/>
      <c r="K259" s="133"/>
      <c r="L259" s="133"/>
      <c r="M259" s="133"/>
      <c r="N259" s="133"/>
      <c r="O259" s="133"/>
      <c r="P259" s="133"/>
      <c r="Q259" s="133"/>
      <c r="R259" s="133"/>
      <c r="S259" s="133"/>
      <c r="T259" s="133"/>
      <c r="U259" s="133"/>
      <c r="V259" s="133"/>
      <c r="W259" s="133"/>
      <c r="X259" s="133"/>
      <c r="Y259" s="133"/>
      <c r="Z259" s="133"/>
      <c r="AA259" s="133"/>
      <c r="AB259" s="133"/>
      <c r="AC259" s="133"/>
      <c r="AD259" s="133"/>
      <c r="AE259" s="133"/>
      <c r="AF259" s="133"/>
      <c r="AG259" s="133"/>
      <c r="AH259" s="133"/>
    </row>
    <row r="260" spans="1:34">
      <c r="G260" s="133"/>
      <c r="H260" s="133"/>
      <c r="I260" s="133"/>
      <c r="J260" s="133"/>
      <c r="K260" s="133"/>
      <c r="L260" s="133"/>
      <c r="M260" s="133"/>
      <c r="N260" s="133"/>
      <c r="O260" s="133"/>
      <c r="P260" s="133"/>
      <c r="Q260" s="133"/>
      <c r="R260" s="133"/>
      <c r="S260" s="133"/>
      <c r="T260" s="133"/>
      <c r="U260" s="133"/>
      <c r="V260" s="133"/>
      <c r="W260" s="133"/>
      <c r="X260" s="133"/>
      <c r="Y260" s="133"/>
      <c r="Z260" s="133"/>
      <c r="AA260" s="133"/>
      <c r="AB260" s="133"/>
      <c r="AC260" s="133"/>
      <c r="AD260" s="133"/>
      <c r="AE260" s="133"/>
      <c r="AF260" s="133"/>
      <c r="AG260" s="133"/>
      <c r="AH260" s="133"/>
    </row>
    <row r="261" spans="1:34">
      <c r="G261" s="133"/>
      <c r="H261" s="133"/>
      <c r="I261" s="133"/>
      <c r="J261" s="133"/>
      <c r="K261" s="133"/>
      <c r="L261" s="133"/>
      <c r="M261" s="133"/>
      <c r="N261" s="133"/>
      <c r="O261" s="133"/>
      <c r="P261" s="133"/>
      <c r="Q261" s="133"/>
      <c r="R261" s="133"/>
      <c r="S261" s="133"/>
      <c r="T261" s="133"/>
      <c r="U261" s="133"/>
      <c r="V261" s="133"/>
      <c r="W261" s="133"/>
      <c r="X261" s="133"/>
      <c r="Y261" s="133"/>
      <c r="Z261" s="133"/>
      <c r="AA261" s="133"/>
      <c r="AB261" s="133"/>
      <c r="AC261" s="133"/>
      <c r="AD261" s="133"/>
      <c r="AE261" s="133"/>
      <c r="AF261" s="133"/>
      <c r="AG261" s="133"/>
      <c r="AH261" s="133"/>
    </row>
    <row r="262" spans="1:34">
      <c r="A262" s="130"/>
      <c r="B262" s="130"/>
      <c r="C262" s="131" t="s">
        <v>895</v>
      </c>
      <c r="D262" s="130"/>
      <c r="E262" s="130"/>
      <c r="F262" s="185" t="s">
        <v>870</v>
      </c>
      <c r="G262" s="133"/>
      <c r="H262" s="133"/>
      <c r="I262" s="133"/>
      <c r="J262" s="133"/>
      <c r="K262" s="133"/>
      <c r="L262" s="133"/>
      <c r="M262" s="133"/>
      <c r="N262" s="133"/>
      <c r="O262" s="133"/>
      <c r="P262" s="133"/>
      <c r="Q262" s="133"/>
      <c r="R262" s="133"/>
      <c r="S262" s="133"/>
      <c r="T262" s="133"/>
      <c r="U262" s="133"/>
      <c r="V262" s="133"/>
      <c r="W262" s="133"/>
      <c r="X262" s="133"/>
      <c r="Y262" s="133"/>
      <c r="Z262" s="133"/>
      <c r="AA262" s="133"/>
      <c r="AB262" s="133"/>
      <c r="AC262" s="133"/>
      <c r="AD262" s="133"/>
      <c r="AE262" s="133"/>
      <c r="AF262" s="133"/>
      <c r="AG262" s="133"/>
      <c r="AH262" s="133"/>
    </row>
    <row r="263" spans="1:34">
      <c r="C263" s="132" t="s">
        <v>856</v>
      </c>
      <c r="D263" s="132" t="s">
        <v>856</v>
      </c>
      <c r="G263" s="133"/>
      <c r="H263" s="133"/>
      <c r="I263" s="133"/>
      <c r="J263" s="133"/>
      <c r="K263" s="133"/>
      <c r="L263" s="133"/>
      <c r="M263" s="133"/>
      <c r="N263" s="133"/>
      <c r="O263" s="133"/>
      <c r="P263" s="133"/>
      <c r="Q263" s="133"/>
      <c r="R263" s="133"/>
      <c r="S263" s="133"/>
      <c r="T263" s="133"/>
      <c r="U263" s="133"/>
      <c r="V263" s="133"/>
      <c r="W263" s="133"/>
      <c r="X263" s="133"/>
      <c r="Y263" s="133"/>
      <c r="Z263" s="133"/>
      <c r="AA263" s="133"/>
      <c r="AB263" s="133"/>
      <c r="AC263" s="133"/>
      <c r="AD263" s="133"/>
      <c r="AE263" s="133"/>
      <c r="AF263" s="133"/>
      <c r="AG263" s="133"/>
      <c r="AH263" s="133"/>
    </row>
    <row r="264" spans="1:34" ht="14.5" thickBot="1">
      <c r="C264" s="134" t="s">
        <v>813</v>
      </c>
      <c r="D264" s="134" t="s">
        <v>813</v>
      </c>
      <c r="E264" s="135" t="s">
        <v>857</v>
      </c>
      <c r="F264" s="135" t="s">
        <v>857</v>
      </c>
      <c r="G264" s="133"/>
      <c r="H264" s="133"/>
      <c r="I264" s="133"/>
      <c r="J264" s="133"/>
      <c r="K264" s="133"/>
      <c r="L264" s="133"/>
      <c r="M264" s="133"/>
      <c r="N264" s="133"/>
      <c r="O264" s="133"/>
      <c r="P264" s="133"/>
      <c r="Q264" s="133"/>
      <c r="R264" s="133"/>
      <c r="S264" s="133"/>
      <c r="T264" s="133"/>
      <c r="U264" s="133"/>
      <c r="V264" s="133"/>
      <c r="W264" s="133"/>
      <c r="X264" s="133"/>
      <c r="Y264" s="133"/>
      <c r="Z264" s="133"/>
      <c r="AA264" s="133"/>
      <c r="AB264" s="133"/>
      <c r="AC264" s="133"/>
      <c r="AD264" s="133"/>
      <c r="AE264" s="133"/>
      <c r="AF264" s="133"/>
      <c r="AG264" s="133"/>
      <c r="AH264" s="133"/>
    </row>
    <row r="265" spans="1:34">
      <c r="C265" s="136" t="s">
        <v>858</v>
      </c>
      <c r="D265" s="137" t="s">
        <v>859</v>
      </c>
      <c r="E265" s="136" t="s">
        <v>858</v>
      </c>
      <c r="F265" s="137" t="s">
        <v>859</v>
      </c>
      <c r="G265" s="133"/>
      <c r="H265" s="133"/>
      <c r="I265" s="133"/>
      <c r="J265" s="133"/>
      <c r="K265" s="133"/>
      <c r="L265" s="133"/>
      <c r="M265" s="133"/>
      <c r="N265" s="133"/>
      <c r="O265" s="133"/>
      <c r="P265" s="133"/>
      <c r="Q265" s="133"/>
      <c r="R265" s="133"/>
      <c r="S265" s="133"/>
      <c r="T265" s="133"/>
      <c r="U265" s="133"/>
      <c r="V265" s="133"/>
      <c r="W265" s="133"/>
      <c r="X265" s="133"/>
      <c r="Y265" s="133"/>
      <c r="Z265" s="133"/>
      <c r="AA265" s="133"/>
      <c r="AB265" s="133"/>
      <c r="AC265" s="133"/>
      <c r="AD265" s="133"/>
      <c r="AE265" s="133"/>
      <c r="AF265" s="133"/>
      <c r="AG265" s="133"/>
      <c r="AH265" s="133"/>
    </row>
    <row r="266" spans="1:34" ht="14.5" thickBot="1">
      <c r="A266" s="138" t="s">
        <v>860</v>
      </c>
      <c r="B266" s="139" t="s">
        <v>861</v>
      </c>
      <c r="C266" s="205" t="s">
        <v>862</v>
      </c>
      <c r="D266" s="206" t="s">
        <v>863</v>
      </c>
      <c r="E266" s="205" t="s">
        <v>862</v>
      </c>
      <c r="F266" s="206" t="s">
        <v>863</v>
      </c>
      <c r="G266" s="133"/>
      <c r="H266" s="133"/>
      <c r="I266" s="133"/>
      <c r="J266" s="133"/>
      <c r="K266" s="133"/>
      <c r="L266" s="133"/>
      <c r="M266" s="133"/>
      <c r="N266" s="133"/>
      <c r="O266" s="133"/>
      <c r="P266" s="133"/>
      <c r="Q266" s="133"/>
      <c r="R266" s="133"/>
      <c r="S266" s="133"/>
      <c r="T266" s="133"/>
      <c r="U266" s="133"/>
      <c r="V266" s="133"/>
      <c r="W266" s="133"/>
      <c r="X266" s="133"/>
      <c r="Y266" s="133"/>
      <c r="Z266" s="133"/>
      <c r="AA266" s="133"/>
      <c r="AB266" s="133"/>
      <c r="AC266" s="133"/>
      <c r="AD266" s="133"/>
      <c r="AE266" s="133"/>
      <c r="AF266" s="133"/>
      <c r="AG266" s="133"/>
      <c r="AH266" s="133"/>
    </row>
    <row r="267" spans="1:34">
      <c r="A267" s="144">
        <v>25</v>
      </c>
      <c r="B267" s="145">
        <v>29</v>
      </c>
      <c r="C267" s="230">
        <v>0.54946043165467595</v>
      </c>
      <c r="D267" s="208">
        <v>1.99692780337941</v>
      </c>
      <c r="E267" s="230">
        <v>3.6879496402877598</v>
      </c>
      <c r="F267" s="208">
        <v>11.029185867895499</v>
      </c>
      <c r="G267" s="133"/>
      <c r="H267" s="133"/>
      <c r="I267" s="133"/>
      <c r="J267" s="133"/>
      <c r="K267" s="133"/>
      <c r="L267" s="133"/>
      <c r="M267" s="133"/>
      <c r="N267" s="133"/>
      <c r="O267" s="133"/>
      <c r="P267" s="133"/>
      <c r="Q267" s="133"/>
      <c r="R267" s="133"/>
      <c r="S267" s="133"/>
      <c r="T267" s="133"/>
      <c r="U267" s="133"/>
      <c r="V267" s="133"/>
      <c r="W267" s="133"/>
      <c r="X267" s="133"/>
      <c r="Y267" s="133"/>
      <c r="Z267" s="133"/>
      <c r="AA267" s="133"/>
      <c r="AB267" s="133"/>
      <c r="AC267" s="133"/>
      <c r="AD267" s="133"/>
      <c r="AE267" s="133"/>
      <c r="AF267" s="133"/>
      <c r="AG267" s="133"/>
      <c r="AH267" s="133"/>
    </row>
    <row r="268" spans="1:34">
      <c r="A268" s="150"/>
      <c r="B268" s="151"/>
      <c r="C268" s="187">
        <v>1.08453237410071</v>
      </c>
      <c r="D268" s="188">
        <v>3.4408602150537599</v>
      </c>
      <c r="E268" s="187">
        <v>4.1915467625899199</v>
      </c>
      <c r="F268" s="188">
        <v>7.3732718894009199</v>
      </c>
      <c r="G268" s="133"/>
      <c r="H268" s="133"/>
      <c r="I268" s="133"/>
      <c r="J268" s="133"/>
      <c r="K268" s="133"/>
      <c r="L268" s="133"/>
      <c r="M268" s="133"/>
      <c r="N268" s="133"/>
      <c r="O268" s="133"/>
      <c r="P268" s="133"/>
      <c r="Q268" s="133"/>
      <c r="R268" s="133"/>
      <c r="S268" s="133"/>
      <c r="T268" s="133"/>
      <c r="U268" s="133"/>
      <c r="V268" s="133"/>
      <c r="W268" s="133"/>
      <c r="X268" s="133"/>
      <c r="Y268" s="133"/>
      <c r="Z268" s="133"/>
      <c r="AA268" s="133"/>
      <c r="AB268" s="133"/>
      <c r="AC268" s="133"/>
      <c r="AD268" s="133"/>
      <c r="AE268" s="133"/>
      <c r="AF268" s="133"/>
      <c r="AG268" s="133"/>
      <c r="AH268" s="133"/>
    </row>
    <row r="269" spans="1:34">
      <c r="A269" s="150"/>
      <c r="B269" s="151"/>
      <c r="C269" s="187">
        <v>1.6106115107913599</v>
      </c>
      <c r="D269" s="188">
        <v>3.4101382488479199</v>
      </c>
      <c r="E269" s="187">
        <v>4.6951438848920803</v>
      </c>
      <c r="F269" s="188">
        <v>4.8540706605222699</v>
      </c>
      <c r="G269" s="133"/>
      <c r="H269" s="133"/>
      <c r="I269" s="133"/>
      <c r="J269" s="133"/>
      <c r="K269" s="133"/>
      <c r="L269" s="133"/>
      <c r="M269" s="133"/>
      <c r="N269" s="133"/>
      <c r="O269" s="133"/>
      <c r="P269" s="133"/>
      <c r="Q269" s="133"/>
      <c r="R269" s="133"/>
      <c r="S269" s="133"/>
      <c r="T269" s="133"/>
      <c r="U269" s="133"/>
      <c r="V269" s="133"/>
      <c r="W269" s="133"/>
      <c r="X269" s="133"/>
      <c r="Y269" s="133"/>
      <c r="Z269" s="133"/>
      <c r="AA269" s="133"/>
      <c r="AB269" s="133"/>
      <c r="AC269" s="133"/>
      <c r="AD269" s="133"/>
      <c r="AE269" s="133"/>
      <c r="AF269" s="133"/>
      <c r="AG269" s="133"/>
      <c r="AH269" s="133"/>
    </row>
    <row r="270" spans="1:34">
      <c r="A270" s="150"/>
      <c r="B270" s="151"/>
      <c r="C270" s="187">
        <v>2.1321942446043098</v>
      </c>
      <c r="D270" s="188">
        <v>4.8540706605222699</v>
      </c>
      <c r="E270" s="187">
        <v>5.1987410071942399</v>
      </c>
      <c r="F270" s="188">
        <v>2.9800307219661999</v>
      </c>
      <c r="G270" s="133"/>
      <c r="H270" s="133"/>
      <c r="I270" s="133"/>
      <c r="J270" s="133"/>
      <c r="K270" s="133"/>
      <c r="L270" s="133"/>
      <c r="M270" s="133"/>
      <c r="N270" s="133"/>
      <c r="O270" s="133"/>
      <c r="P270" s="133"/>
      <c r="Q270" s="133"/>
      <c r="R270" s="133"/>
      <c r="S270" s="133"/>
      <c r="T270" s="133"/>
      <c r="U270" s="133"/>
      <c r="V270" s="133"/>
      <c r="W270" s="133"/>
      <c r="X270" s="133"/>
      <c r="Y270" s="133"/>
      <c r="Z270" s="133"/>
      <c r="AA270" s="133"/>
      <c r="AB270" s="133"/>
      <c r="AC270" s="133"/>
      <c r="AD270" s="133"/>
      <c r="AE270" s="133"/>
      <c r="AF270" s="133"/>
      <c r="AG270" s="133"/>
      <c r="AH270" s="133"/>
    </row>
    <row r="271" spans="1:34">
      <c r="A271" s="150"/>
      <c r="B271" s="151"/>
      <c r="C271" s="187">
        <v>2.6582733812949599</v>
      </c>
      <c r="D271" s="188">
        <v>4.7926267281105899</v>
      </c>
      <c r="E271" s="189"/>
      <c r="F271" s="190"/>
      <c r="G271" s="133"/>
      <c r="H271" s="133"/>
      <c r="I271" s="133"/>
      <c r="J271" s="133"/>
      <c r="K271" s="133"/>
      <c r="L271" s="133"/>
      <c r="M271" s="133"/>
      <c r="N271" s="133"/>
      <c r="O271" s="133"/>
      <c r="P271" s="133"/>
      <c r="Q271" s="133"/>
      <c r="R271" s="133"/>
      <c r="S271" s="133"/>
      <c r="T271" s="133"/>
      <c r="U271" s="133"/>
      <c r="V271" s="133"/>
      <c r="W271" s="133"/>
      <c r="X271" s="133"/>
      <c r="Y271" s="133"/>
      <c r="Z271" s="133"/>
      <c r="AA271" s="133"/>
      <c r="AB271" s="133"/>
      <c r="AC271" s="133"/>
      <c r="AD271" s="133"/>
      <c r="AE271" s="133"/>
      <c r="AF271" s="133"/>
      <c r="AG271" s="133"/>
      <c r="AH271" s="133"/>
    </row>
    <row r="272" spans="1:34">
      <c r="A272" s="150"/>
      <c r="B272" s="151"/>
      <c r="C272" s="187">
        <v>3.1798561151079099</v>
      </c>
      <c r="D272" s="188">
        <v>8.8786482334869401</v>
      </c>
      <c r="E272" s="189"/>
      <c r="F272" s="190"/>
      <c r="G272" s="133"/>
      <c r="H272" s="133"/>
      <c r="I272" s="133"/>
      <c r="J272" s="133"/>
      <c r="K272" s="133"/>
      <c r="L272" s="133"/>
      <c r="M272" s="133"/>
      <c r="N272" s="133"/>
      <c r="O272" s="133"/>
      <c r="P272" s="133"/>
      <c r="Q272" s="133"/>
      <c r="R272" s="133"/>
      <c r="S272" s="133"/>
      <c r="T272" s="133"/>
      <c r="U272" s="133"/>
      <c r="V272" s="133"/>
      <c r="W272" s="133"/>
      <c r="X272" s="133"/>
      <c r="Y272" s="133"/>
      <c r="Z272" s="133"/>
      <c r="AA272" s="133"/>
      <c r="AB272" s="133"/>
      <c r="AC272" s="133"/>
      <c r="AD272" s="133"/>
      <c r="AE272" s="133"/>
      <c r="AF272" s="133"/>
      <c r="AG272" s="133"/>
      <c r="AH272" s="133"/>
    </row>
    <row r="273" spans="1:34">
      <c r="A273" s="150"/>
      <c r="B273" s="151"/>
      <c r="C273" s="187">
        <v>3.6879496402877598</v>
      </c>
      <c r="D273" s="188">
        <v>14.009216589861699</v>
      </c>
      <c r="E273" s="189"/>
      <c r="F273" s="190"/>
      <c r="G273" s="133"/>
      <c r="H273" s="133"/>
      <c r="I273" s="133"/>
      <c r="J273" s="133"/>
      <c r="K273" s="133"/>
      <c r="L273" s="133"/>
      <c r="M273" s="133"/>
      <c r="N273" s="133"/>
      <c r="O273" s="133"/>
      <c r="P273" s="133"/>
      <c r="Q273" s="133"/>
      <c r="R273" s="133"/>
      <c r="S273" s="133"/>
      <c r="T273" s="133"/>
      <c r="U273" s="133"/>
      <c r="V273" s="133"/>
      <c r="W273" s="133"/>
      <c r="X273" s="133"/>
      <c r="Y273" s="133"/>
      <c r="Z273" s="133"/>
      <c r="AA273" s="133"/>
      <c r="AB273" s="133"/>
      <c r="AC273" s="133"/>
      <c r="AD273" s="133"/>
      <c r="AE273" s="133"/>
      <c r="AF273" s="133"/>
      <c r="AG273" s="133"/>
      <c r="AH273" s="133"/>
    </row>
    <row r="274" spans="1:34">
      <c r="A274" s="150"/>
      <c r="B274" s="151"/>
      <c r="C274" s="187">
        <v>4.1915467625899199</v>
      </c>
      <c r="D274" s="188">
        <v>17.235023041474602</v>
      </c>
      <c r="E274" s="189"/>
      <c r="F274" s="190"/>
      <c r="G274" s="133"/>
      <c r="H274" s="133"/>
      <c r="I274" s="133"/>
      <c r="J274" s="133"/>
      <c r="K274" s="133"/>
      <c r="L274" s="133"/>
      <c r="M274" s="133"/>
      <c r="N274" s="133"/>
      <c r="O274" s="133"/>
      <c r="P274" s="133"/>
      <c r="Q274" s="133"/>
      <c r="R274" s="133"/>
      <c r="S274" s="133"/>
      <c r="T274" s="133"/>
      <c r="U274" s="133"/>
      <c r="V274" s="133"/>
      <c r="W274" s="133"/>
      <c r="X274" s="133"/>
      <c r="Y274" s="133"/>
      <c r="Z274" s="133"/>
      <c r="AA274" s="133"/>
      <c r="AB274" s="133"/>
      <c r="AC274" s="133"/>
      <c r="AD274" s="133"/>
      <c r="AE274" s="133"/>
      <c r="AF274" s="133"/>
      <c r="AG274" s="133"/>
      <c r="AH274" s="133"/>
    </row>
    <row r="275" spans="1:34">
      <c r="A275" s="150"/>
      <c r="B275" s="151"/>
      <c r="C275" s="178"/>
      <c r="D275" s="179"/>
      <c r="E275" s="189"/>
      <c r="F275" s="190"/>
      <c r="G275" s="133"/>
      <c r="H275" s="133"/>
      <c r="I275" s="133"/>
      <c r="J275" s="133"/>
      <c r="K275" s="133"/>
      <c r="L275" s="133"/>
      <c r="M275" s="133"/>
      <c r="N275" s="133"/>
      <c r="O275" s="133"/>
      <c r="P275" s="133"/>
      <c r="Q275" s="133"/>
      <c r="R275" s="133"/>
      <c r="S275" s="133"/>
      <c r="T275" s="133"/>
      <c r="U275" s="133"/>
      <c r="V275" s="133"/>
      <c r="W275" s="133"/>
      <c r="X275" s="133"/>
      <c r="Y275" s="133"/>
      <c r="Z275" s="133"/>
      <c r="AA275" s="133"/>
      <c r="AB275" s="133"/>
      <c r="AC275" s="133"/>
      <c r="AD275" s="133"/>
      <c r="AE275" s="133"/>
      <c r="AF275" s="133"/>
      <c r="AG275" s="133"/>
      <c r="AH275" s="133"/>
    </row>
    <row r="276" spans="1:34" ht="14.5" thickBot="1">
      <c r="A276" s="159"/>
      <c r="B276" s="160"/>
      <c r="C276" s="181"/>
      <c r="D276" s="182"/>
      <c r="E276" s="183"/>
      <c r="F276" s="182"/>
      <c r="G276" s="133"/>
      <c r="H276" s="133"/>
      <c r="I276" s="133"/>
      <c r="J276" s="133"/>
      <c r="K276" s="133"/>
      <c r="L276" s="133"/>
      <c r="M276" s="133"/>
      <c r="N276" s="133"/>
      <c r="O276" s="133"/>
      <c r="P276" s="133"/>
      <c r="Q276" s="133"/>
      <c r="R276" s="133"/>
      <c r="S276" s="133"/>
      <c r="T276" s="133"/>
      <c r="U276" s="133"/>
      <c r="V276" s="133"/>
      <c r="W276" s="133"/>
      <c r="X276" s="133"/>
      <c r="Y276" s="133"/>
      <c r="Z276" s="133"/>
      <c r="AA276" s="133"/>
      <c r="AB276" s="133"/>
      <c r="AC276" s="133"/>
      <c r="AD276" s="133"/>
      <c r="AE276" s="133"/>
      <c r="AF276" s="133"/>
      <c r="AG276" s="133"/>
      <c r="AH276" s="133"/>
    </row>
    <row r="277" spans="1:34">
      <c r="G277" s="133"/>
      <c r="H277" s="133"/>
      <c r="I277" s="133"/>
      <c r="J277" s="133"/>
      <c r="K277" s="133"/>
      <c r="L277" s="133"/>
      <c r="M277" s="133"/>
      <c r="N277" s="133"/>
      <c r="O277" s="133"/>
      <c r="P277" s="133"/>
      <c r="Q277" s="133"/>
      <c r="R277" s="133"/>
      <c r="S277" s="133"/>
      <c r="T277" s="133"/>
      <c r="U277" s="133"/>
      <c r="V277" s="133"/>
      <c r="W277" s="133"/>
      <c r="X277" s="133"/>
      <c r="Y277" s="133"/>
      <c r="Z277" s="133"/>
      <c r="AA277" s="133"/>
      <c r="AB277" s="133"/>
      <c r="AC277" s="133"/>
      <c r="AD277" s="133"/>
      <c r="AE277" s="133"/>
      <c r="AF277" s="133"/>
      <c r="AG277" s="133"/>
      <c r="AH277" s="133"/>
    </row>
    <row r="278" spans="1:34">
      <c r="G278" s="133"/>
      <c r="H278" s="133"/>
      <c r="I278" s="133"/>
      <c r="J278" s="133"/>
      <c r="K278" s="133"/>
      <c r="L278" s="133"/>
      <c r="M278" s="133"/>
      <c r="N278" s="133"/>
      <c r="O278" s="133"/>
      <c r="P278" s="133"/>
      <c r="Q278" s="133"/>
      <c r="R278" s="133"/>
      <c r="S278" s="133"/>
      <c r="T278" s="133"/>
      <c r="U278" s="133"/>
      <c r="V278" s="133"/>
      <c r="W278" s="133"/>
      <c r="X278" s="133"/>
      <c r="Y278" s="133"/>
      <c r="Z278" s="133"/>
      <c r="AA278" s="133"/>
      <c r="AB278" s="133"/>
      <c r="AC278" s="133"/>
      <c r="AD278" s="133"/>
      <c r="AE278" s="133"/>
      <c r="AF278" s="133"/>
      <c r="AG278" s="133"/>
      <c r="AH278" s="133"/>
    </row>
    <row r="279" spans="1:34">
      <c r="A279" s="130"/>
      <c r="B279" s="130"/>
      <c r="C279" s="131" t="s">
        <v>896</v>
      </c>
      <c r="D279" s="130"/>
      <c r="E279" s="130"/>
      <c r="F279" s="185" t="s">
        <v>870</v>
      </c>
      <c r="G279" s="133"/>
      <c r="H279" s="133"/>
      <c r="I279" s="133"/>
      <c r="J279" s="133"/>
      <c r="K279" s="133"/>
      <c r="L279" s="133"/>
      <c r="M279" s="133"/>
      <c r="N279" s="133"/>
      <c r="O279" s="133"/>
      <c r="P279" s="133"/>
      <c r="Q279" s="133"/>
      <c r="R279" s="133"/>
      <c r="S279" s="133"/>
      <c r="T279" s="133"/>
      <c r="U279" s="133"/>
      <c r="V279" s="133"/>
      <c r="W279" s="133"/>
      <c r="X279" s="133"/>
      <c r="Y279" s="133"/>
      <c r="Z279" s="133"/>
      <c r="AA279" s="133"/>
      <c r="AB279" s="133"/>
      <c r="AC279" s="133"/>
      <c r="AD279" s="133"/>
      <c r="AE279" s="133"/>
      <c r="AF279" s="133"/>
      <c r="AG279" s="133"/>
      <c r="AH279" s="133"/>
    </row>
    <row r="280" spans="1:34">
      <c r="C280" s="132" t="s">
        <v>856</v>
      </c>
      <c r="D280" s="132" t="s">
        <v>856</v>
      </c>
      <c r="G280" s="133"/>
      <c r="H280" s="133"/>
      <c r="I280" s="133"/>
      <c r="J280" s="133"/>
      <c r="K280" s="133"/>
      <c r="L280" s="133"/>
      <c r="M280" s="133"/>
      <c r="N280" s="133"/>
      <c r="O280" s="133"/>
      <c r="P280" s="133"/>
      <c r="Q280" s="133"/>
      <c r="R280" s="133"/>
      <c r="S280" s="133"/>
      <c r="T280" s="133"/>
      <c r="U280" s="133"/>
      <c r="V280" s="133"/>
      <c r="W280" s="133"/>
      <c r="X280" s="133"/>
      <c r="Y280" s="133"/>
      <c r="Z280" s="133"/>
      <c r="AA280" s="133"/>
      <c r="AB280" s="133"/>
      <c r="AC280" s="133"/>
      <c r="AD280" s="133"/>
      <c r="AE280" s="133"/>
      <c r="AF280" s="133"/>
      <c r="AG280" s="133"/>
      <c r="AH280" s="133"/>
    </row>
    <row r="281" spans="1:34" ht="14.5" thickBot="1">
      <c r="C281" s="134" t="s">
        <v>813</v>
      </c>
      <c r="D281" s="134" t="s">
        <v>813</v>
      </c>
      <c r="E281" s="135" t="s">
        <v>857</v>
      </c>
      <c r="F281" s="135" t="s">
        <v>857</v>
      </c>
      <c r="G281" s="133"/>
      <c r="H281" s="133"/>
      <c r="I281" s="133"/>
      <c r="J281" s="133"/>
      <c r="K281" s="133"/>
      <c r="L281" s="133"/>
      <c r="M281" s="133"/>
      <c r="N281" s="133"/>
      <c r="O281" s="133"/>
      <c r="P281" s="133"/>
      <c r="Q281" s="133"/>
      <c r="R281" s="133"/>
      <c r="S281" s="133"/>
      <c r="T281" s="133"/>
      <c r="U281" s="133"/>
      <c r="V281" s="133"/>
      <c r="W281" s="133"/>
      <c r="X281" s="133"/>
      <c r="Y281" s="133"/>
      <c r="Z281" s="133"/>
      <c r="AA281" s="133"/>
      <c r="AB281" s="133"/>
      <c r="AC281" s="133"/>
      <c r="AD281" s="133"/>
      <c r="AE281" s="133"/>
      <c r="AF281" s="133"/>
      <c r="AG281" s="133"/>
      <c r="AH281" s="133"/>
    </row>
    <row r="282" spans="1:34">
      <c r="C282" s="136" t="s">
        <v>858</v>
      </c>
      <c r="D282" s="137" t="s">
        <v>859</v>
      </c>
      <c r="E282" s="136" t="s">
        <v>858</v>
      </c>
      <c r="F282" s="137" t="s">
        <v>859</v>
      </c>
      <c r="G282" s="133"/>
      <c r="H282" s="133"/>
      <c r="I282" s="133"/>
      <c r="J282" s="133"/>
      <c r="K282" s="133"/>
      <c r="L282" s="133"/>
      <c r="M282" s="133"/>
      <c r="N282" s="133"/>
      <c r="O282" s="133"/>
      <c r="P282" s="133"/>
      <c r="Q282" s="133"/>
      <c r="R282" s="133"/>
      <c r="S282" s="133"/>
      <c r="T282" s="133"/>
      <c r="U282" s="133"/>
      <c r="V282" s="133"/>
      <c r="W282" s="133"/>
      <c r="X282" s="133"/>
      <c r="Y282" s="133"/>
      <c r="Z282" s="133"/>
      <c r="AA282" s="133"/>
      <c r="AB282" s="133"/>
      <c r="AC282" s="133"/>
      <c r="AD282" s="133"/>
      <c r="AE282" s="133"/>
      <c r="AF282" s="133"/>
      <c r="AG282" s="133"/>
      <c r="AH282" s="133"/>
    </row>
    <row r="283" spans="1:34" ht="14.5" thickBot="1">
      <c r="A283" s="138" t="s">
        <v>860</v>
      </c>
      <c r="B283" s="139" t="s">
        <v>861</v>
      </c>
      <c r="C283" s="205" t="s">
        <v>862</v>
      </c>
      <c r="D283" s="206" t="s">
        <v>863</v>
      </c>
      <c r="E283" s="205" t="s">
        <v>862</v>
      </c>
      <c r="F283" s="206" t="s">
        <v>863</v>
      </c>
      <c r="G283" s="133"/>
      <c r="H283" s="133"/>
      <c r="I283" s="133"/>
      <c r="J283" s="133"/>
      <c r="K283" s="133"/>
      <c r="L283" s="133"/>
      <c r="M283" s="133"/>
      <c r="N283" s="133"/>
      <c r="O283" s="133"/>
      <c r="P283" s="133"/>
      <c r="Q283" s="133"/>
      <c r="R283" s="133"/>
      <c r="S283" s="133"/>
      <c r="T283" s="133"/>
      <c r="U283" s="133"/>
      <c r="V283" s="133"/>
      <c r="W283" s="133"/>
      <c r="X283" s="133"/>
      <c r="Y283" s="133"/>
      <c r="Z283" s="133"/>
      <c r="AA283" s="133"/>
      <c r="AB283" s="133"/>
      <c r="AC283" s="133"/>
      <c r="AD283" s="133"/>
      <c r="AE283" s="133"/>
      <c r="AF283" s="133"/>
      <c r="AG283" s="133"/>
      <c r="AH283" s="133"/>
    </row>
    <row r="284" spans="1:34">
      <c r="A284" s="144">
        <v>25</v>
      </c>
      <c r="B284" s="145" t="s">
        <v>897</v>
      </c>
      <c r="C284" s="187">
        <v>0.54440497335701599</v>
      </c>
      <c r="D284" s="188">
        <v>2.39393939393939</v>
      </c>
      <c r="E284" s="187">
        <v>4.6918294849022999</v>
      </c>
      <c r="F284" s="188">
        <v>13.1818181818181</v>
      </c>
      <c r="G284" s="133"/>
      <c r="H284" s="133"/>
      <c r="I284" s="133"/>
      <c r="J284" s="133"/>
      <c r="K284" s="133"/>
      <c r="L284" s="133"/>
      <c r="M284" s="133"/>
      <c r="N284" s="133"/>
      <c r="O284" s="133"/>
      <c r="P284" s="133"/>
      <c r="Q284" s="133"/>
      <c r="R284" s="133"/>
      <c r="S284" s="133"/>
      <c r="T284" s="133"/>
      <c r="U284" s="133"/>
      <c r="V284" s="133"/>
      <c r="W284" s="133"/>
      <c r="X284" s="133"/>
      <c r="Y284" s="133"/>
      <c r="Z284" s="133"/>
      <c r="AA284" s="133"/>
      <c r="AB284" s="133"/>
      <c r="AC284" s="133"/>
      <c r="AD284" s="133"/>
      <c r="AE284" s="133"/>
      <c r="AF284" s="133"/>
      <c r="AG284" s="133"/>
      <c r="AH284" s="133"/>
    </row>
    <row r="285" spans="1:34">
      <c r="A285" s="150"/>
      <c r="B285" s="151"/>
      <c r="C285" s="187">
        <v>1.0817051509769</v>
      </c>
      <c r="D285" s="188">
        <v>3.3636363636363602</v>
      </c>
      <c r="E285" s="187">
        <v>5.1980461811722902</v>
      </c>
      <c r="F285" s="188">
        <v>5.39393939393939</v>
      </c>
      <c r="G285" s="133"/>
      <c r="H285" s="133"/>
      <c r="I285" s="133"/>
      <c r="J285" s="133"/>
      <c r="K285" s="133"/>
      <c r="L285" s="133"/>
      <c r="M285" s="133"/>
      <c r="N285" s="133"/>
      <c r="O285" s="133"/>
      <c r="P285" s="133"/>
      <c r="Q285" s="133"/>
      <c r="R285" s="133"/>
      <c r="S285" s="133"/>
      <c r="T285" s="133"/>
      <c r="U285" s="133"/>
      <c r="V285" s="133"/>
      <c r="W285" s="133"/>
      <c r="X285" s="133"/>
      <c r="Y285" s="133"/>
      <c r="Z285" s="133"/>
      <c r="AA285" s="133"/>
      <c r="AB285" s="133"/>
      <c r="AC285" s="133"/>
      <c r="AD285" s="133"/>
      <c r="AE285" s="133"/>
      <c r="AF285" s="133"/>
      <c r="AG285" s="133"/>
      <c r="AH285" s="133"/>
    </row>
    <row r="286" spans="1:34">
      <c r="A286" s="150"/>
      <c r="B286" s="151"/>
      <c r="C286" s="187">
        <v>1.6101243339253899</v>
      </c>
      <c r="D286" s="188">
        <v>2.87878787878787</v>
      </c>
      <c r="E286" s="189"/>
      <c r="F286" s="190"/>
      <c r="G286" s="133"/>
      <c r="H286" s="133"/>
      <c r="I286" s="133"/>
      <c r="J286" s="133"/>
      <c r="K286" s="133"/>
      <c r="L286" s="133"/>
      <c r="M286" s="133"/>
      <c r="N286" s="133"/>
      <c r="O286" s="133"/>
      <c r="P286" s="133"/>
      <c r="Q286" s="133"/>
      <c r="R286" s="133"/>
      <c r="S286" s="133"/>
      <c r="T286" s="133"/>
      <c r="U286" s="133"/>
      <c r="V286" s="133"/>
      <c r="W286" s="133"/>
      <c r="X286" s="133"/>
      <c r="Y286" s="133"/>
      <c r="Z286" s="133"/>
      <c r="AA286" s="133"/>
      <c r="AB286" s="133"/>
      <c r="AC286" s="133"/>
      <c r="AD286" s="133"/>
      <c r="AE286" s="133"/>
      <c r="AF286" s="133"/>
      <c r="AG286" s="133"/>
      <c r="AH286" s="133"/>
    </row>
    <row r="287" spans="1:34">
      <c r="A287" s="150"/>
      <c r="B287" s="151"/>
      <c r="C287" s="187">
        <v>2.13854351687388</v>
      </c>
      <c r="D287" s="188">
        <v>4.39393939393939</v>
      </c>
      <c r="E287" s="189"/>
      <c r="F287" s="190"/>
      <c r="G287" s="133"/>
      <c r="H287" s="133"/>
      <c r="I287" s="133"/>
      <c r="J287" s="133"/>
      <c r="K287" s="133"/>
      <c r="L287" s="133"/>
      <c r="M287" s="133"/>
      <c r="N287" s="133"/>
      <c r="O287" s="133"/>
      <c r="P287" s="133"/>
      <c r="Q287" s="133"/>
      <c r="R287" s="133"/>
      <c r="S287" s="133"/>
      <c r="T287" s="133"/>
      <c r="U287" s="133"/>
      <c r="V287" s="133"/>
      <c r="W287" s="133"/>
      <c r="X287" s="133"/>
      <c r="Y287" s="133"/>
      <c r="Z287" s="133"/>
      <c r="AA287" s="133"/>
      <c r="AB287" s="133"/>
      <c r="AC287" s="133"/>
      <c r="AD287" s="133"/>
      <c r="AE287" s="133"/>
      <c r="AF287" s="133"/>
      <c r="AG287" s="133"/>
      <c r="AH287" s="133"/>
    </row>
    <row r="288" spans="1:34">
      <c r="A288" s="150"/>
      <c r="B288" s="151"/>
      <c r="C288" s="187">
        <v>2.6580817051509702</v>
      </c>
      <c r="D288" s="188">
        <v>5.8484848484848397</v>
      </c>
      <c r="E288" s="189"/>
      <c r="F288" s="190"/>
      <c r="G288" s="133"/>
      <c r="H288" s="133"/>
      <c r="I288" s="133"/>
      <c r="J288" s="133"/>
      <c r="K288" s="133"/>
      <c r="L288" s="133"/>
      <c r="M288" s="133"/>
      <c r="N288" s="133"/>
      <c r="O288" s="133"/>
      <c r="P288" s="133"/>
      <c r="Q288" s="133"/>
      <c r="R288" s="133"/>
      <c r="S288" s="133"/>
      <c r="T288" s="133"/>
      <c r="U288" s="133"/>
      <c r="V288" s="133"/>
      <c r="W288" s="133"/>
      <c r="X288" s="133"/>
      <c r="Y288" s="133"/>
      <c r="Z288" s="133"/>
      <c r="AA288" s="133"/>
      <c r="AB288" s="133"/>
      <c r="AC288" s="133"/>
      <c r="AD288" s="133"/>
      <c r="AE288" s="133"/>
      <c r="AF288" s="133"/>
      <c r="AG288" s="133"/>
      <c r="AH288" s="133"/>
    </row>
    <row r="289" spans="1:34">
      <c r="A289" s="150"/>
      <c r="B289" s="151"/>
      <c r="C289" s="187">
        <v>3.1776198934280599</v>
      </c>
      <c r="D289" s="188">
        <v>6.1818181818181799</v>
      </c>
      <c r="E289" s="189"/>
      <c r="F289" s="190"/>
      <c r="G289" s="133"/>
      <c r="H289" s="133"/>
      <c r="I289" s="133"/>
      <c r="J289" s="133"/>
      <c r="K289" s="133"/>
      <c r="L289" s="133"/>
      <c r="M289" s="133"/>
      <c r="N289" s="133"/>
      <c r="O289" s="133"/>
      <c r="P289" s="133"/>
      <c r="Q289" s="133"/>
      <c r="R289" s="133"/>
      <c r="S289" s="133"/>
      <c r="T289" s="133"/>
      <c r="U289" s="133"/>
      <c r="V289" s="133"/>
      <c r="W289" s="133"/>
      <c r="X289" s="133"/>
      <c r="Y289" s="133"/>
      <c r="Z289" s="133"/>
      <c r="AA289" s="133"/>
      <c r="AB289" s="133"/>
      <c r="AC289" s="133"/>
      <c r="AD289" s="133"/>
      <c r="AE289" s="133"/>
      <c r="AF289" s="133"/>
      <c r="AG289" s="133"/>
      <c r="AH289" s="133"/>
    </row>
    <row r="290" spans="1:34">
      <c r="A290" s="150"/>
      <c r="B290" s="151"/>
      <c r="C290" s="187">
        <v>3.69271758436944</v>
      </c>
      <c r="D290" s="188">
        <v>9.3333333333333304</v>
      </c>
      <c r="E290" s="189"/>
      <c r="F290" s="190"/>
      <c r="G290" s="133"/>
      <c r="H290" s="133"/>
      <c r="I290" s="133"/>
      <c r="J290" s="133"/>
      <c r="K290" s="133"/>
      <c r="L290" s="133"/>
      <c r="M290" s="133"/>
      <c r="N290" s="133"/>
      <c r="O290" s="133"/>
      <c r="P290" s="133"/>
      <c r="Q290" s="133"/>
      <c r="R290" s="133"/>
      <c r="S290" s="133"/>
      <c r="T290" s="133"/>
      <c r="U290" s="133"/>
      <c r="V290" s="133"/>
      <c r="W290" s="133"/>
      <c r="X290" s="133"/>
      <c r="Y290" s="133"/>
      <c r="Z290" s="133"/>
      <c r="AA290" s="133"/>
      <c r="AB290" s="133"/>
      <c r="AC290" s="133"/>
      <c r="AD290" s="133"/>
      <c r="AE290" s="133"/>
      <c r="AF290" s="133"/>
      <c r="AG290" s="133"/>
      <c r="AH290" s="133"/>
    </row>
    <row r="291" spans="1:34">
      <c r="A291" s="150"/>
      <c r="B291" s="151"/>
      <c r="C291" s="187">
        <v>4.1989342806394303</v>
      </c>
      <c r="D291" s="188">
        <v>15.5757575757575</v>
      </c>
      <c r="E291" s="189"/>
      <c r="F291" s="190"/>
      <c r="G291" s="133"/>
      <c r="H291" s="133"/>
      <c r="I291" s="133"/>
      <c r="J291" s="133"/>
      <c r="K291" s="133"/>
      <c r="L291" s="133"/>
      <c r="M291" s="133"/>
      <c r="N291" s="133"/>
      <c r="O291" s="133"/>
      <c r="P291" s="133"/>
      <c r="Q291" s="133"/>
      <c r="R291" s="133"/>
      <c r="S291" s="133"/>
      <c r="T291" s="133"/>
      <c r="U291" s="133"/>
      <c r="V291" s="133"/>
      <c r="W291" s="133"/>
      <c r="X291" s="133"/>
      <c r="Y291" s="133"/>
      <c r="Z291" s="133"/>
      <c r="AA291" s="133"/>
      <c r="AB291" s="133"/>
      <c r="AC291" s="133"/>
      <c r="AD291" s="133"/>
      <c r="AE291" s="133"/>
      <c r="AF291" s="133"/>
      <c r="AG291" s="133"/>
      <c r="AH291" s="133"/>
    </row>
    <row r="292" spans="1:34">
      <c r="A292" s="150"/>
      <c r="B292" s="151"/>
      <c r="C292" s="178"/>
      <c r="D292" s="179"/>
      <c r="E292" s="189"/>
      <c r="F292" s="190"/>
      <c r="G292" s="133"/>
      <c r="H292" s="133"/>
      <c r="I292" s="133"/>
      <c r="J292" s="133"/>
      <c r="K292" s="133"/>
      <c r="L292" s="133"/>
      <c r="M292" s="133"/>
      <c r="N292" s="133"/>
      <c r="O292" s="133"/>
      <c r="P292" s="133"/>
      <c r="Q292" s="133"/>
      <c r="R292" s="133"/>
      <c r="S292" s="133"/>
      <c r="T292" s="133"/>
      <c r="U292" s="133"/>
      <c r="V292" s="133"/>
      <c r="W292" s="133"/>
      <c r="X292" s="133"/>
      <c r="Y292" s="133"/>
      <c r="Z292" s="133"/>
      <c r="AA292" s="133"/>
      <c r="AB292" s="133"/>
      <c r="AC292" s="133"/>
      <c r="AD292" s="133"/>
      <c r="AE292" s="133"/>
      <c r="AF292" s="133"/>
      <c r="AG292" s="133"/>
      <c r="AH292" s="133"/>
    </row>
    <row r="293" spans="1:34" ht="14.5" thickBot="1">
      <c r="A293" s="159"/>
      <c r="B293" s="160"/>
      <c r="C293" s="181"/>
      <c r="D293" s="182"/>
      <c r="E293" s="183"/>
      <c r="F293" s="182"/>
      <c r="G293" s="133"/>
      <c r="H293" s="133"/>
      <c r="I293" s="133"/>
      <c r="J293" s="133"/>
      <c r="K293" s="133"/>
      <c r="L293" s="133"/>
      <c r="M293" s="133"/>
      <c r="N293" s="133"/>
      <c r="O293" s="133"/>
      <c r="P293" s="133"/>
      <c r="Q293" s="133"/>
      <c r="R293" s="133"/>
      <c r="S293" s="133"/>
      <c r="T293" s="133"/>
      <c r="U293" s="133"/>
      <c r="V293" s="133"/>
      <c r="W293" s="133"/>
      <c r="X293" s="133"/>
      <c r="Y293" s="133"/>
      <c r="Z293" s="133"/>
      <c r="AA293" s="133"/>
      <c r="AB293" s="133"/>
      <c r="AC293" s="133"/>
      <c r="AD293" s="133"/>
      <c r="AE293" s="133"/>
      <c r="AF293" s="133"/>
      <c r="AG293" s="133"/>
      <c r="AH293" s="133"/>
    </row>
    <row r="294" spans="1:34">
      <c r="G294" s="133"/>
      <c r="H294" s="133"/>
      <c r="I294" s="133"/>
      <c r="J294" s="133"/>
      <c r="K294" s="133"/>
      <c r="L294" s="133"/>
      <c r="M294" s="133"/>
      <c r="N294" s="133"/>
      <c r="O294" s="133"/>
      <c r="P294" s="133"/>
      <c r="Q294" s="133"/>
      <c r="R294" s="133"/>
      <c r="S294" s="133"/>
      <c r="T294" s="133"/>
      <c r="U294" s="133"/>
      <c r="V294" s="133"/>
      <c r="W294" s="133"/>
      <c r="X294" s="133"/>
      <c r="Y294" s="133"/>
      <c r="Z294" s="133"/>
      <c r="AA294" s="133"/>
      <c r="AB294" s="133"/>
      <c r="AC294" s="133"/>
      <c r="AD294" s="133"/>
      <c r="AE294" s="133"/>
      <c r="AF294" s="133"/>
      <c r="AG294" s="133"/>
      <c r="AH294" s="133"/>
    </row>
    <row r="295" spans="1:34">
      <c r="G295" s="133"/>
      <c r="H295" s="133"/>
      <c r="I295" s="133"/>
      <c r="J295" s="133"/>
      <c r="K295" s="133"/>
      <c r="L295" s="133"/>
      <c r="M295" s="133"/>
      <c r="N295" s="133"/>
      <c r="O295" s="133"/>
      <c r="P295" s="133"/>
      <c r="Q295" s="133"/>
      <c r="R295" s="133"/>
      <c r="S295" s="133"/>
      <c r="T295" s="133"/>
      <c r="U295" s="133"/>
      <c r="V295" s="133"/>
      <c r="W295" s="133"/>
      <c r="X295" s="133"/>
      <c r="Y295" s="133"/>
      <c r="Z295" s="133"/>
      <c r="AA295" s="133"/>
      <c r="AB295" s="133"/>
      <c r="AC295" s="133"/>
      <c r="AD295" s="133"/>
      <c r="AE295" s="133"/>
      <c r="AF295" s="133"/>
      <c r="AG295" s="133"/>
      <c r="AH295" s="133"/>
    </row>
    <row r="296" spans="1:34">
      <c r="A296" s="130"/>
      <c r="B296" s="130"/>
      <c r="C296" s="131" t="s">
        <v>898</v>
      </c>
      <c r="D296" s="130"/>
      <c r="E296" s="130"/>
      <c r="F296" s="185" t="s">
        <v>870</v>
      </c>
      <c r="G296" s="133"/>
      <c r="H296" s="133"/>
      <c r="I296" s="133"/>
      <c r="J296" s="133"/>
      <c r="K296" s="133"/>
      <c r="L296" s="133"/>
      <c r="M296" s="133"/>
      <c r="N296" s="133"/>
      <c r="O296" s="133"/>
      <c r="P296" s="133"/>
      <c r="Q296" s="133"/>
      <c r="R296" s="133"/>
      <c r="S296" s="133"/>
      <c r="T296" s="133"/>
      <c r="U296" s="133"/>
      <c r="V296" s="133"/>
      <c r="W296" s="133"/>
      <c r="X296" s="133"/>
      <c r="Y296" s="133"/>
      <c r="Z296" s="133"/>
      <c r="AA296" s="133"/>
      <c r="AB296" s="133"/>
      <c r="AC296" s="133"/>
      <c r="AD296" s="133"/>
      <c r="AE296" s="133"/>
      <c r="AF296" s="133"/>
      <c r="AG296" s="133"/>
      <c r="AH296" s="133"/>
    </row>
    <row r="297" spans="1:34">
      <c r="C297" s="132" t="s">
        <v>856</v>
      </c>
      <c r="D297" s="132" t="s">
        <v>856</v>
      </c>
      <c r="G297" s="133"/>
      <c r="H297" s="133"/>
      <c r="I297" s="133"/>
      <c r="J297" s="133"/>
      <c r="K297" s="133"/>
      <c r="L297" s="133"/>
      <c r="M297" s="133"/>
      <c r="N297" s="133"/>
      <c r="O297" s="133"/>
      <c r="P297" s="133"/>
      <c r="Q297" s="133"/>
      <c r="R297" s="133"/>
      <c r="S297" s="133"/>
      <c r="T297" s="133"/>
      <c r="U297" s="133"/>
      <c r="V297" s="133"/>
      <c r="W297" s="133"/>
      <c r="X297" s="133"/>
      <c r="Y297" s="133"/>
      <c r="Z297" s="133"/>
      <c r="AA297" s="133"/>
      <c r="AB297" s="133"/>
      <c r="AC297" s="133"/>
      <c r="AD297" s="133"/>
      <c r="AE297" s="133"/>
      <c r="AF297" s="133"/>
      <c r="AG297" s="133"/>
      <c r="AH297" s="133"/>
    </row>
    <row r="298" spans="1:34" ht="14.5" thickBot="1">
      <c r="C298" s="134" t="s">
        <v>813</v>
      </c>
      <c r="D298" s="134" t="s">
        <v>813</v>
      </c>
      <c r="E298" s="135" t="s">
        <v>857</v>
      </c>
      <c r="F298" s="135" t="s">
        <v>857</v>
      </c>
      <c r="G298" s="133"/>
      <c r="H298" s="133"/>
      <c r="I298" s="133"/>
      <c r="J298" s="133"/>
      <c r="K298" s="133"/>
      <c r="L298" s="133"/>
      <c r="M298" s="133"/>
      <c r="N298" s="133"/>
      <c r="O298" s="133"/>
      <c r="P298" s="133"/>
      <c r="Q298" s="133"/>
      <c r="R298" s="133"/>
      <c r="S298" s="133"/>
      <c r="T298" s="133"/>
      <c r="U298" s="133"/>
      <c r="V298" s="133"/>
      <c r="W298" s="133"/>
      <c r="X298" s="133"/>
      <c r="Y298" s="133"/>
      <c r="Z298" s="133"/>
      <c r="AA298" s="133"/>
      <c r="AB298" s="133"/>
      <c r="AC298" s="133"/>
      <c r="AD298" s="133"/>
      <c r="AE298" s="133"/>
      <c r="AF298" s="133"/>
      <c r="AG298" s="133"/>
      <c r="AH298" s="133"/>
    </row>
    <row r="299" spans="1:34">
      <c r="C299" s="136" t="s">
        <v>858</v>
      </c>
      <c r="D299" s="137" t="s">
        <v>859</v>
      </c>
      <c r="E299" s="136" t="s">
        <v>858</v>
      </c>
      <c r="F299" s="137" t="s">
        <v>859</v>
      </c>
      <c r="G299" s="133"/>
      <c r="H299" s="133"/>
      <c r="I299" s="133"/>
      <c r="J299" s="133"/>
      <c r="K299" s="133"/>
      <c r="L299" s="133"/>
      <c r="M299" s="133"/>
      <c r="N299" s="133"/>
      <c r="O299" s="133"/>
      <c r="P299" s="133"/>
      <c r="Q299" s="133"/>
      <c r="R299" s="133"/>
      <c r="S299" s="133"/>
      <c r="T299" s="133"/>
      <c r="U299" s="133"/>
      <c r="V299" s="133"/>
      <c r="W299" s="133"/>
      <c r="X299" s="133"/>
      <c r="Y299" s="133"/>
      <c r="Z299" s="133"/>
      <c r="AA299" s="133"/>
      <c r="AB299" s="133"/>
      <c r="AC299" s="133"/>
      <c r="AD299" s="133"/>
      <c r="AE299" s="133"/>
      <c r="AF299" s="133"/>
      <c r="AG299" s="133"/>
      <c r="AH299" s="133"/>
    </row>
    <row r="300" spans="1:34" ht="14.5" thickBot="1">
      <c r="A300" s="138" t="s">
        <v>860</v>
      </c>
      <c r="B300" s="139" t="s">
        <v>861</v>
      </c>
      <c r="C300" s="205" t="s">
        <v>862</v>
      </c>
      <c r="D300" s="206" t="s">
        <v>863</v>
      </c>
      <c r="E300" s="205" t="s">
        <v>862</v>
      </c>
      <c r="F300" s="206" t="s">
        <v>863</v>
      </c>
      <c r="G300" s="133"/>
      <c r="H300" s="133"/>
      <c r="I300" s="133"/>
      <c r="J300" s="133"/>
      <c r="K300" s="133"/>
      <c r="L300" s="133"/>
      <c r="M300" s="133"/>
      <c r="N300" s="133"/>
      <c r="O300" s="133"/>
      <c r="P300" s="133"/>
      <c r="Q300" s="133"/>
      <c r="R300" s="133"/>
      <c r="S300" s="133"/>
      <c r="T300" s="133"/>
      <c r="U300" s="133"/>
      <c r="V300" s="133"/>
      <c r="W300" s="133"/>
      <c r="X300" s="133"/>
      <c r="Y300" s="133"/>
      <c r="Z300" s="133"/>
      <c r="AA300" s="133"/>
      <c r="AB300" s="133"/>
      <c r="AC300" s="133"/>
      <c r="AD300" s="133"/>
      <c r="AE300" s="133"/>
      <c r="AF300" s="133"/>
      <c r="AG300" s="133"/>
      <c r="AH300" s="133"/>
    </row>
    <row r="301" spans="1:34">
      <c r="A301" s="144">
        <v>26</v>
      </c>
      <c r="B301" s="145" t="s">
        <v>899</v>
      </c>
      <c r="C301" s="187">
        <v>0.54432624113475103</v>
      </c>
      <c r="D301" s="188">
        <v>2.43161094224924</v>
      </c>
      <c r="E301" s="187">
        <v>3.1684397163120499</v>
      </c>
      <c r="F301" s="188">
        <v>15.319148936170199</v>
      </c>
      <c r="G301" s="133"/>
      <c r="H301" s="133"/>
      <c r="I301" s="133"/>
      <c r="J301" s="133"/>
      <c r="K301" s="133"/>
      <c r="L301" s="133"/>
      <c r="M301" s="133"/>
      <c r="N301" s="133"/>
      <c r="O301" s="133"/>
      <c r="P301" s="133"/>
      <c r="Q301" s="133"/>
      <c r="R301" s="133"/>
      <c r="S301" s="133"/>
      <c r="T301" s="133"/>
      <c r="U301" s="133"/>
      <c r="V301" s="133"/>
      <c r="W301" s="133"/>
      <c r="X301" s="133"/>
      <c r="Y301" s="133"/>
      <c r="Z301" s="133"/>
      <c r="AA301" s="133"/>
      <c r="AB301" s="133"/>
      <c r="AC301" s="133"/>
      <c r="AD301" s="133"/>
      <c r="AE301" s="133"/>
      <c r="AF301" s="133"/>
      <c r="AG301" s="133"/>
      <c r="AH301" s="133"/>
    </row>
    <row r="302" spans="1:34">
      <c r="A302" s="150"/>
      <c r="B302" s="151"/>
      <c r="C302" s="187">
        <v>1.08067375886524</v>
      </c>
      <c r="D302" s="188">
        <v>3.3434650455927</v>
      </c>
      <c r="E302" s="187">
        <v>4.19237588652482</v>
      </c>
      <c r="F302" s="188">
        <v>6.3221884498480199</v>
      </c>
      <c r="G302" s="133"/>
      <c r="H302" s="133"/>
      <c r="I302" s="133"/>
      <c r="J302" s="133"/>
      <c r="K302" s="133"/>
      <c r="L302" s="133"/>
      <c r="M302" s="133"/>
      <c r="N302" s="133"/>
      <c r="O302" s="133"/>
      <c r="P302" s="133"/>
      <c r="Q302" s="133"/>
      <c r="R302" s="133"/>
      <c r="S302" s="133"/>
      <c r="T302" s="133"/>
      <c r="U302" s="133"/>
      <c r="V302" s="133"/>
      <c r="W302" s="133"/>
      <c r="X302" s="133"/>
      <c r="Y302" s="133"/>
      <c r="Z302" s="133"/>
      <c r="AA302" s="133"/>
      <c r="AB302" s="133"/>
      <c r="AC302" s="133"/>
      <c r="AD302" s="133"/>
      <c r="AE302" s="133"/>
      <c r="AF302" s="133"/>
      <c r="AG302" s="133"/>
      <c r="AH302" s="133"/>
    </row>
    <row r="303" spans="1:34">
      <c r="A303" s="150"/>
      <c r="B303" s="151"/>
      <c r="C303" s="187">
        <v>1.6081560283687899</v>
      </c>
      <c r="D303" s="188">
        <v>4.8936170212765902</v>
      </c>
      <c r="E303" s="187">
        <v>4.6950000000000003</v>
      </c>
      <c r="F303" s="188">
        <v>4.8024316109422402</v>
      </c>
      <c r="G303" s="133"/>
      <c r="H303" s="133"/>
      <c r="I303" s="133"/>
      <c r="J303" s="133"/>
      <c r="K303" s="133"/>
      <c r="L303" s="133"/>
      <c r="M303" s="133"/>
      <c r="N303" s="133"/>
      <c r="O303" s="133"/>
      <c r="P303" s="133"/>
      <c r="Q303" s="133"/>
      <c r="R303" s="133"/>
      <c r="S303" s="133"/>
      <c r="T303" s="133"/>
      <c r="U303" s="133"/>
      <c r="V303" s="133"/>
      <c r="W303" s="133"/>
      <c r="X303" s="133"/>
      <c r="Y303" s="133"/>
      <c r="Z303" s="133"/>
      <c r="AA303" s="133"/>
      <c r="AB303" s="133"/>
      <c r="AC303" s="133"/>
      <c r="AD303" s="133"/>
      <c r="AE303" s="133"/>
      <c r="AF303" s="133"/>
      <c r="AG303" s="133"/>
      <c r="AH303" s="133"/>
    </row>
    <row r="304" spans="1:34">
      <c r="A304" s="150"/>
      <c r="B304" s="151"/>
      <c r="C304" s="187">
        <v>2.1356382978723398</v>
      </c>
      <c r="D304" s="188">
        <v>5.25835866261398</v>
      </c>
      <c r="E304" s="187">
        <v>5.2</v>
      </c>
      <c r="F304" s="188">
        <v>3.93</v>
      </c>
      <c r="G304" s="133"/>
      <c r="H304" s="133"/>
      <c r="I304" s="133"/>
      <c r="J304" s="133"/>
      <c r="K304" s="133"/>
      <c r="L304" s="133"/>
      <c r="M304" s="133"/>
      <c r="N304" s="133"/>
      <c r="O304" s="133"/>
      <c r="P304" s="133"/>
      <c r="Q304" s="133"/>
      <c r="R304" s="133"/>
      <c r="S304" s="133"/>
      <c r="T304" s="133"/>
      <c r="U304" s="133"/>
      <c r="V304" s="133"/>
      <c r="W304" s="133"/>
      <c r="X304" s="133"/>
      <c r="Y304" s="133"/>
      <c r="Z304" s="133"/>
      <c r="AA304" s="133"/>
      <c r="AB304" s="133"/>
      <c r="AC304" s="133"/>
      <c r="AD304" s="133"/>
      <c r="AE304" s="133"/>
      <c r="AF304" s="133"/>
      <c r="AG304" s="133"/>
      <c r="AH304" s="133"/>
    </row>
    <row r="305" spans="1:34">
      <c r="A305" s="150"/>
      <c r="B305" s="151"/>
      <c r="C305" s="187">
        <v>2.65868794326241</v>
      </c>
      <c r="D305" s="188">
        <v>7.2948328267477196</v>
      </c>
      <c r="E305" s="189"/>
      <c r="F305" s="190"/>
      <c r="G305" s="133"/>
      <c r="H305" s="133"/>
      <c r="I305" s="133"/>
      <c r="J305" s="133"/>
      <c r="K305" s="133"/>
      <c r="L305" s="133"/>
      <c r="M305" s="133"/>
      <c r="N305" s="133"/>
      <c r="O305" s="133"/>
      <c r="P305" s="133"/>
      <c r="Q305" s="133"/>
      <c r="R305" s="133"/>
      <c r="S305" s="133"/>
      <c r="T305" s="133"/>
      <c r="U305" s="133"/>
      <c r="V305" s="133"/>
      <c r="W305" s="133"/>
      <c r="X305" s="133"/>
      <c r="Y305" s="133"/>
      <c r="Z305" s="133"/>
      <c r="AA305" s="133"/>
      <c r="AB305" s="133"/>
      <c r="AC305" s="133"/>
      <c r="AD305" s="133"/>
      <c r="AE305" s="133"/>
      <c r="AF305" s="133"/>
      <c r="AG305" s="133"/>
      <c r="AH305" s="133"/>
    </row>
    <row r="306" spans="1:34">
      <c r="A306" s="150"/>
      <c r="B306" s="151"/>
      <c r="C306" s="187">
        <v>3.1773049645390001</v>
      </c>
      <c r="D306" s="188">
        <v>10.455927051671701</v>
      </c>
      <c r="E306" s="189"/>
      <c r="F306" s="190"/>
      <c r="G306" s="133"/>
      <c r="H306" s="133"/>
      <c r="I306" s="133"/>
      <c r="J306" s="133"/>
      <c r="K306" s="133"/>
      <c r="L306" s="133"/>
      <c r="M306" s="133"/>
      <c r="N306" s="133"/>
      <c r="O306" s="133"/>
      <c r="P306" s="133"/>
      <c r="Q306" s="133"/>
      <c r="R306" s="133"/>
      <c r="S306" s="133"/>
      <c r="T306" s="133"/>
      <c r="U306" s="133"/>
      <c r="V306" s="133"/>
      <c r="W306" s="133"/>
      <c r="X306" s="133"/>
      <c r="Y306" s="133"/>
      <c r="Z306" s="133"/>
      <c r="AA306" s="133"/>
      <c r="AB306" s="133"/>
      <c r="AC306" s="133"/>
      <c r="AD306" s="133"/>
      <c r="AE306" s="133"/>
      <c r="AF306" s="133"/>
      <c r="AG306" s="133"/>
      <c r="AH306" s="133"/>
    </row>
    <row r="307" spans="1:34">
      <c r="A307" s="150"/>
      <c r="B307" s="151"/>
      <c r="C307" s="187">
        <v>3.68</v>
      </c>
      <c r="D307" s="188">
        <v>17.72</v>
      </c>
      <c r="E307" s="189"/>
      <c r="F307" s="190"/>
      <c r="G307" s="133"/>
      <c r="H307" s="133"/>
      <c r="I307" s="133"/>
      <c r="J307" s="133"/>
      <c r="K307" s="133"/>
      <c r="L307" s="133"/>
      <c r="M307" s="133"/>
      <c r="N307" s="133"/>
      <c r="O307" s="133"/>
      <c r="P307" s="133"/>
      <c r="Q307" s="133"/>
      <c r="R307" s="133"/>
      <c r="S307" s="133"/>
      <c r="T307" s="133"/>
      <c r="U307" s="133"/>
      <c r="V307" s="133"/>
      <c r="W307" s="133"/>
      <c r="X307" s="133"/>
      <c r="Y307" s="133"/>
      <c r="Z307" s="133"/>
      <c r="AA307" s="133"/>
      <c r="AB307" s="133"/>
      <c r="AC307" s="133"/>
      <c r="AD307" s="133"/>
      <c r="AE307" s="133"/>
      <c r="AF307" s="133"/>
      <c r="AG307" s="133"/>
      <c r="AH307" s="133"/>
    </row>
    <row r="308" spans="1:34">
      <c r="A308" s="150"/>
      <c r="B308" s="151"/>
      <c r="C308" s="178"/>
      <c r="D308" s="179"/>
      <c r="E308" s="189"/>
      <c r="F308" s="190"/>
      <c r="G308" s="133"/>
      <c r="H308" s="133"/>
      <c r="I308" s="133"/>
      <c r="J308" s="133"/>
      <c r="K308" s="133"/>
      <c r="L308" s="133"/>
      <c r="M308" s="133"/>
      <c r="N308" s="133"/>
      <c r="O308" s="133"/>
      <c r="P308" s="133"/>
      <c r="Q308" s="133"/>
      <c r="R308" s="133"/>
      <c r="S308" s="133"/>
      <c r="T308" s="133"/>
      <c r="U308" s="133"/>
      <c r="V308" s="133"/>
      <c r="W308" s="133"/>
      <c r="X308" s="133"/>
      <c r="Y308" s="133"/>
      <c r="Z308" s="133"/>
      <c r="AA308" s="133"/>
      <c r="AB308" s="133"/>
      <c r="AC308" s="133"/>
      <c r="AD308" s="133"/>
      <c r="AE308" s="133"/>
      <c r="AF308" s="133"/>
      <c r="AG308" s="133"/>
      <c r="AH308" s="133"/>
    </row>
    <row r="309" spans="1:34">
      <c r="A309" s="150"/>
      <c r="B309" s="151"/>
      <c r="C309" s="178"/>
      <c r="D309" s="179"/>
      <c r="E309" s="189"/>
      <c r="F309" s="190"/>
      <c r="G309" s="133"/>
      <c r="H309" s="133"/>
      <c r="I309" s="133"/>
      <c r="J309" s="133"/>
      <c r="K309" s="133"/>
      <c r="L309" s="133"/>
      <c r="M309" s="133"/>
      <c r="N309" s="133"/>
      <c r="O309" s="133"/>
      <c r="P309" s="133"/>
      <c r="Q309" s="133"/>
      <c r="R309" s="133"/>
      <c r="S309" s="133"/>
      <c r="T309" s="133"/>
      <c r="U309" s="133"/>
      <c r="V309" s="133"/>
      <c r="W309" s="133"/>
      <c r="X309" s="133"/>
      <c r="Y309" s="133"/>
      <c r="Z309" s="133"/>
      <c r="AA309" s="133"/>
      <c r="AB309" s="133"/>
      <c r="AC309" s="133"/>
      <c r="AD309" s="133"/>
      <c r="AE309" s="133"/>
      <c r="AF309" s="133"/>
      <c r="AG309" s="133"/>
      <c r="AH309" s="133"/>
    </row>
    <row r="310" spans="1:34" ht="14.5" thickBot="1">
      <c r="A310" s="159"/>
      <c r="B310" s="160"/>
      <c r="C310" s="181"/>
      <c r="D310" s="182"/>
      <c r="E310" s="183"/>
      <c r="F310" s="182"/>
      <c r="G310" s="133"/>
      <c r="H310" s="133"/>
      <c r="I310" s="133"/>
      <c r="J310" s="133"/>
      <c r="K310" s="133"/>
      <c r="L310" s="133"/>
      <c r="M310" s="133"/>
      <c r="N310" s="133"/>
      <c r="O310" s="133"/>
      <c r="P310" s="133"/>
      <c r="Q310" s="133"/>
      <c r="R310" s="133"/>
      <c r="S310" s="133"/>
      <c r="T310" s="133"/>
      <c r="U310" s="133"/>
      <c r="V310" s="133"/>
      <c r="W310" s="133"/>
      <c r="X310" s="133"/>
      <c r="Y310" s="133"/>
      <c r="Z310" s="133"/>
      <c r="AA310" s="133"/>
      <c r="AB310" s="133"/>
      <c r="AC310" s="133"/>
      <c r="AD310" s="133"/>
      <c r="AE310" s="133"/>
      <c r="AF310" s="133"/>
      <c r="AG310" s="133"/>
      <c r="AH310" s="133"/>
    </row>
    <row r="311" spans="1:34">
      <c r="G311" s="133"/>
      <c r="H311" s="133"/>
      <c r="I311" s="133"/>
      <c r="J311" s="133"/>
      <c r="K311" s="133"/>
      <c r="L311" s="133"/>
      <c r="M311" s="133"/>
      <c r="N311" s="133"/>
      <c r="O311" s="133"/>
      <c r="P311" s="133"/>
      <c r="Q311" s="133"/>
      <c r="R311" s="133"/>
      <c r="S311" s="133"/>
      <c r="T311" s="133"/>
      <c r="U311" s="133"/>
      <c r="V311" s="133"/>
      <c r="W311" s="133"/>
      <c r="X311" s="133"/>
      <c r="Y311" s="133"/>
      <c r="Z311" s="133"/>
      <c r="AA311" s="133"/>
      <c r="AB311" s="133"/>
      <c r="AC311" s="133"/>
      <c r="AD311" s="133"/>
      <c r="AE311" s="133"/>
      <c r="AF311" s="133"/>
      <c r="AG311" s="133"/>
      <c r="AH311" s="133"/>
    </row>
    <row r="312" spans="1:34">
      <c r="G312" s="133"/>
      <c r="H312" s="133"/>
      <c r="I312" s="133"/>
      <c r="J312" s="133"/>
      <c r="K312" s="133"/>
      <c r="L312" s="133"/>
      <c r="M312" s="133"/>
      <c r="N312" s="133"/>
      <c r="O312" s="133"/>
      <c r="P312" s="133"/>
      <c r="Q312" s="133"/>
      <c r="R312" s="133"/>
      <c r="S312" s="133"/>
      <c r="T312" s="133"/>
      <c r="U312" s="133"/>
      <c r="V312" s="133"/>
      <c r="W312" s="133"/>
      <c r="X312" s="133"/>
      <c r="Y312" s="133"/>
      <c r="Z312" s="133"/>
      <c r="AA312" s="133"/>
      <c r="AB312" s="133"/>
      <c r="AC312" s="133"/>
      <c r="AD312" s="133"/>
      <c r="AE312" s="133"/>
      <c r="AF312" s="133"/>
      <c r="AG312" s="133"/>
      <c r="AH312" s="133"/>
    </row>
    <row r="313" spans="1:34">
      <c r="A313" s="130"/>
      <c r="B313" s="130"/>
      <c r="C313" s="131" t="s">
        <v>900</v>
      </c>
      <c r="D313" s="130"/>
      <c r="E313" s="130"/>
      <c r="F313" s="185" t="s">
        <v>870</v>
      </c>
      <c r="G313" s="133"/>
      <c r="H313" s="133"/>
      <c r="I313" s="133"/>
      <c r="J313" s="133"/>
      <c r="K313" s="133"/>
      <c r="L313" s="133"/>
      <c r="M313" s="133"/>
      <c r="N313" s="133"/>
      <c r="O313" s="133"/>
      <c r="P313" s="133"/>
      <c r="Q313" s="133"/>
      <c r="R313" s="133"/>
      <c r="S313" s="133"/>
      <c r="T313" s="133"/>
      <c r="U313" s="133"/>
      <c r="V313" s="133"/>
      <c r="W313" s="133"/>
      <c r="X313" s="133"/>
      <c r="Y313" s="133"/>
      <c r="Z313" s="133"/>
      <c r="AA313" s="133"/>
      <c r="AB313" s="133"/>
      <c r="AC313" s="133"/>
      <c r="AD313" s="133"/>
      <c r="AE313" s="133"/>
      <c r="AF313" s="133"/>
      <c r="AG313" s="133"/>
      <c r="AH313" s="133"/>
    </row>
    <row r="314" spans="1:34">
      <c r="C314" s="132" t="s">
        <v>856</v>
      </c>
      <c r="D314" s="132" t="s">
        <v>856</v>
      </c>
      <c r="G314" s="133"/>
      <c r="H314" s="133"/>
      <c r="I314" s="133"/>
      <c r="J314" s="133"/>
      <c r="K314" s="133"/>
      <c r="L314" s="133"/>
      <c r="M314" s="133"/>
      <c r="N314" s="133"/>
      <c r="O314" s="133"/>
      <c r="P314" s="133"/>
      <c r="Q314" s="133"/>
      <c r="R314" s="133"/>
      <c r="S314" s="133"/>
      <c r="T314" s="133"/>
      <c r="U314" s="133"/>
      <c r="V314" s="133"/>
      <c r="W314" s="133"/>
      <c r="X314" s="133"/>
      <c r="Y314" s="133"/>
      <c r="Z314" s="133"/>
      <c r="AA314" s="133"/>
      <c r="AB314" s="133"/>
      <c r="AC314" s="133"/>
      <c r="AD314" s="133"/>
      <c r="AE314" s="133"/>
      <c r="AF314" s="133"/>
      <c r="AG314" s="133"/>
      <c r="AH314" s="133"/>
    </row>
    <row r="315" spans="1:34" ht="14.5" thickBot="1">
      <c r="C315" s="134" t="s">
        <v>813</v>
      </c>
      <c r="D315" s="134" t="s">
        <v>813</v>
      </c>
      <c r="E315" s="135" t="s">
        <v>857</v>
      </c>
      <c r="F315" s="135" t="s">
        <v>857</v>
      </c>
      <c r="G315" s="133"/>
      <c r="H315" s="133"/>
      <c r="I315" s="133"/>
      <c r="J315" s="133"/>
      <c r="K315" s="133"/>
      <c r="L315" s="133"/>
      <c r="M315" s="133"/>
      <c r="N315" s="133"/>
      <c r="O315" s="133"/>
      <c r="P315" s="133"/>
      <c r="Q315" s="133"/>
      <c r="R315" s="133"/>
      <c r="S315" s="133"/>
      <c r="T315" s="133"/>
      <c r="U315" s="133"/>
      <c r="V315" s="133"/>
      <c r="W315" s="133"/>
      <c r="X315" s="133"/>
      <c r="Y315" s="133"/>
      <c r="Z315" s="133"/>
      <c r="AA315" s="133"/>
      <c r="AB315" s="133"/>
      <c r="AC315" s="133"/>
      <c r="AD315" s="133"/>
      <c r="AE315" s="133"/>
      <c r="AF315" s="133"/>
      <c r="AG315" s="133"/>
      <c r="AH315" s="133"/>
    </row>
    <row r="316" spans="1:34">
      <c r="C316" s="136" t="s">
        <v>858</v>
      </c>
      <c r="D316" s="212" t="s">
        <v>859</v>
      </c>
      <c r="E316" s="136" t="s">
        <v>858</v>
      </c>
      <c r="F316" s="137" t="s">
        <v>859</v>
      </c>
      <c r="G316" s="133"/>
      <c r="H316" s="133"/>
      <c r="I316" s="133"/>
      <c r="J316" s="133"/>
      <c r="K316" s="133"/>
      <c r="L316" s="133"/>
      <c r="M316" s="133"/>
      <c r="N316" s="133"/>
      <c r="O316" s="133"/>
      <c r="P316" s="133"/>
      <c r="Q316" s="133"/>
      <c r="R316" s="133"/>
      <c r="S316" s="133"/>
      <c r="T316" s="133"/>
      <c r="U316" s="133"/>
      <c r="V316" s="133"/>
      <c r="W316" s="133"/>
      <c r="X316" s="133"/>
      <c r="Y316" s="133"/>
      <c r="Z316" s="133"/>
      <c r="AA316" s="133"/>
      <c r="AB316" s="133"/>
      <c r="AC316" s="133"/>
      <c r="AD316" s="133"/>
      <c r="AE316" s="133"/>
      <c r="AF316" s="133"/>
      <c r="AG316" s="133"/>
      <c r="AH316" s="133"/>
    </row>
    <row r="317" spans="1:34" ht="14.5" thickBot="1">
      <c r="A317" s="138" t="s">
        <v>860</v>
      </c>
      <c r="B317" s="139" t="s">
        <v>861</v>
      </c>
      <c r="C317" s="205" t="s">
        <v>862</v>
      </c>
      <c r="D317" s="221" t="s">
        <v>863</v>
      </c>
      <c r="E317" s="205" t="s">
        <v>862</v>
      </c>
      <c r="F317" s="206" t="s">
        <v>863</v>
      </c>
      <c r="G317" s="133"/>
      <c r="H317" s="133"/>
      <c r="I317" s="133"/>
      <c r="J317" s="133"/>
      <c r="K317" s="133"/>
      <c r="L317" s="133"/>
      <c r="M317" s="133"/>
      <c r="N317" s="133"/>
      <c r="O317" s="133"/>
      <c r="P317" s="133"/>
      <c r="Q317" s="133"/>
      <c r="R317" s="133"/>
      <c r="S317" s="133"/>
      <c r="T317" s="133"/>
      <c r="U317" s="133"/>
      <c r="V317" s="133"/>
      <c r="W317" s="133"/>
      <c r="X317" s="133"/>
      <c r="Y317" s="133"/>
      <c r="Z317" s="133"/>
      <c r="AA317" s="133"/>
      <c r="AB317" s="133"/>
      <c r="AC317" s="133"/>
      <c r="AD317" s="133"/>
      <c r="AE317" s="133"/>
      <c r="AF317" s="133"/>
      <c r="AG317" s="133"/>
      <c r="AH317" s="133"/>
    </row>
    <row r="318" spans="1:34">
      <c r="A318" s="144">
        <v>26</v>
      </c>
      <c r="B318" s="145" t="s">
        <v>901</v>
      </c>
      <c r="C318" s="214">
        <v>0.53978779840848801</v>
      </c>
      <c r="D318" s="214">
        <v>1.90620272314674</v>
      </c>
      <c r="E318" s="187">
        <v>2.65</v>
      </c>
      <c r="F318" s="188">
        <v>11.649016639999999</v>
      </c>
      <c r="G318" s="133"/>
      <c r="H318" s="133"/>
      <c r="I318" s="133"/>
      <c r="J318" s="133"/>
      <c r="K318" s="133"/>
      <c r="L318" s="133"/>
      <c r="M318" s="133"/>
      <c r="N318" s="133"/>
      <c r="O318" s="133"/>
      <c r="P318" s="133"/>
      <c r="Q318" s="133"/>
      <c r="R318" s="133"/>
      <c r="S318" s="133"/>
      <c r="T318" s="133"/>
      <c r="U318" s="133"/>
      <c r="V318" s="133"/>
      <c r="W318" s="133"/>
      <c r="X318" s="133"/>
      <c r="Y318" s="133"/>
      <c r="Z318" s="133"/>
      <c r="AA318" s="133"/>
      <c r="AB318" s="133"/>
      <c r="AC318" s="133"/>
      <c r="AD318" s="133"/>
      <c r="AE318" s="133"/>
      <c r="AF318" s="133"/>
      <c r="AG318" s="133"/>
      <c r="AH318" s="133"/>
    </row>
    <row r="319" spans="1:34">
      <c r="A319" s="150"/>
      <c r="B319" s="151"/>
      <c r="C319" s="214">
        <v>1.07471264367816</v>
      </c>
      <c r="D319" s="214">
        <v>4.3570347957639903</v>
      </c>
      <c r="E319" s="187">
        <v>3.1702033599999999</v>
      </c>
      <c r="F319" s="188">
        <v>6.8381240539999997</v>
      </c>
      <c r="G319" s="133"/>
      <c r="H319" s="133"/>
      <c r="I319" s="133"/>
      <c r="J319" s="133"/>
      <c r="K319" s="133"/>
      <c r="L319" s="133"/>
      <c r="M319" s="133"/>
      <c r="N319" s="133"/>
      <c r="O319" s="133"/>
      <c r="P319" s="133"/>
      <c r="Q319" s="133"/>
      <c r="R319" s="133"/>
      <c r="S319" s="133"/>
      <c r="T319" s="133"/>
      <c r="U319" s="133"/>
      <c r="V319" s="133"/>
      <c r="W319" s="133"/>
      <c r="X319" s="133"/>
      <c r="Y319" s="133"/>
      <c r="Z319" s="133"/>
      <c r="AA319" s="133"/>
      <c r="AB319" s="133"/>
      <c r="AC319" s="133"/>
      <c r="AD319" s="133"/>
      <c r="AE319" s="133"/>
      <c r="AF319" s="133"/>
      <c r="AG319" s="133"/>
      <c r="AH319" s="133"/>
    </row>
    <row r="320" spans="1:34">
      <c r="A320" s="150"/>
      <c r="B320" s="151"/>
      <c r="C320" s="214">
        <v>1.60079575596816</v>
      </c>
      <c r="D320" s="214">
        <v>6.4145234493192103</v>
      </c>
      <c r="E320" s="187">
        <v>3.69</v>
      </c>
      <c r="F320" s="188">
        <v>3.963691377</v>
      </c>
      <c r="G320" s="133"/>
      <c r="H320" s="133"/>
      <c r="I320" s="133"/>
      <c r="J320" s="133"/>
      <c r="K320" s="133"/>
      <c r="L320" s="133"/>
      <c r="M320" s="133"/>
      <c r="N320" s="133"/>
      <c r="O320" s="133"/>
      <c r="P320" s="133"/>
      <c r="Q320" s="133"/>
      <c r="R320" s="133"/>
      <c r="S320" s="133"/>
      <c r="T320" s="133"/>
      <c r="U320" s="133"/>
      <c r="V320" s="133"/>
      <c r="W320" s="133"/>
      <c r="X320" s="133"/>
      <c r="Y320" s="133"/>
      <c r="Z320" s="133"/>
      <c r="AA320" s="133"/>
      <c r="AB320" s="133"/>
      <c r="AC320" s="133"/>
      <c r="AD320" s="133"/>
      <c r="AE320" s="133"/>
      <c r="AF320" s="133"/>
      <c r="AG320" s="133"/>
      <c r="AH320" s="133"/>
    </row>
    <row r="321" spans="1:34">
      <c r="A321" s="150"/>
      <c r="B321" s="151"/>
      <c r="C321" s="214">
        <v>2.1268788682581699</v>
      </c>
      <c r="D321" s="214">
        <v>9.7730711043872898</v>
      </c>
      <c r="E321" s="187">
        <v>4.2</v>
      </c>
      <c r="F321" s="188">
        <v>1.55</v>
      </c>
      <c r="G321" s="133"/>
      <c r="H321" s="133"/>
      <c r="I321" s="133"/>
      <c r="J321" s="133"/>
      <c r="K321" s="133"/>
      <c r="L321" s="133"/>
      <c r="M321" s="133"/>
      <c r="N321" s="133"/>
      <c r="O321" s="133"/>
      <c r="P321" s="133"/>
      <c r="Q321" s="133"/>
      <c r="R321" s="133"/>
      <c r="S321" s="133"/>
      <c r="T321" s="133"/>
      <c r="U321" s="133"/>
      <c r="V321" s="133"/>
      <c r="W321" s="133"/>
      <c r="X321" s="133"/>
      <c r="Y321" s="133"/>
      <c r="Z321" s="133"/>
      <c r="AA321" s="133"/>
      <c r="AB321" s="133"/>
      <c r="AC321" s="133"/>
      <c r="AD321" s="133"/>
      <c r="AE321" s="133"/>
      <c r="AF321" s="133"/>
      <c r="AG321" s="133"/>
      <c r="AH321" s="133"/>
    </row>
    <row r="322" spans="1:34">
      <c r="A322" s="150"/>
      <c r="B322" s="151"/>
      <c r="C322" s="214">
        <v>2.6485411140583501</v>
      </c>
      <c r="D322" s="214">
        <v>15.9757942511346</v>
      </c>
      <c r="E322" s="187">
        <v>4.7</v>
      </c>
      <c r="F322" s="188">
        <v>1.04</v>
      </c>
      <c r="G322" s="133"/>
      <c r="H322" s="133"/>
      <c r="I322" s="133"/>
      <c r="J322" s="133"/>
      <c r="K322" s="133"/>
      <c r="L322" s="133"/>
      <c r="M322" s="133"/>
      <c r="N322" s="133"/>
      <c r="O322" s="133"/>
      <c r="P322" s="133"/>
      <c r="Q322" s="133"/>
      <c r="R322" s="133"/>
      <c r="S322" s="133"/>
      <c r="T322" s="133"/>
      <c r="U322" s="133"/>
      <c r="V322" s="133"/>
      <c r="W322" s="133"/>
      <c r="X322" s="133"/>
      <c r="Y322" s="133"/>
      <c r="Z322" s="133"/>
      <c r="AA322" s="133"/>
      <c r="AB322" s="133"/>
      <c r="AC322" s="133"/>
      <c r="AD322" s="133"/>
      <c r="AE322" s="133"/>
      <c r="AF322" s="133"/>
      <c r="AG322" s="133"/>
      <c r="AH322" s="133"/>
    </row>
    <row r="323" spans="1:34">
      <c r="A323" s="150"/>
      <c r="B323" s="151"/>
      <c r="C323" s="210"/>
      <c r="D323" s="223"/>
      <c r="E323" s="187">
        <v>5.21</v>
      </c>
      <c r="F323" s="188">
        <v>0.64</v>
      </c>
      <c r="G323" s="133"/>
      <c r="H323" s="133"/>
      <c r="I323" s="133"/>
      <c r="J323" s="133"/>
      <c r="K323" s="133"/>
      <c r="L323" s="133"/>
      <c r="M323" s="133"/>
      <c r="N323" s="133"/>
      <c r="O323" s="133"/>
      <c r="P323" s="133"/>
      <c r="Q323" s="133"/>
      <c r="R323" s="133"/>
      <c r="S323" s="133"/>
      <c r="T323" s="133"/>
      <c r="U323" s="133"/>
      <c r="V323" s="133"/>
      <c r="W323" s="133"/>
      <c r="X323" s="133"/>
      <c r="Y323" s="133"/>
      <c r="Z323" s="133"/>
      <c r="AA323" s="133"/>
      <c r="AB323" s="133"/>
      <c r="AC323" s="133"/>
      <c r="AD323" s="133"/>
      <c r="AE323" s="133"/>
      <c r="AF323" s="133"/>
      <c r="AG323" s="133"/>
      <c r="AH323" s="133"/>
    </row>
    <row r="324" spans="1:34">
      <c r="A324" s="150"/>
      <c r="B324" s="151"/>
      <c r="C324" s="210"/>
      <c r="D324" s="223"/>
      <c r="E324" s="189"/>
      <c r="F324" s="190"/>
      <c r="G324" s="133"/>
      <c r="H324" s="133"/>
      <c r="I324" s="133"/>
      <c r="J324" s="133"/>
      <c r="K324" s="133"/>
      <c r="L324" s="133"/>
      <c r="M324" s="133"/>
      <c r="N324" s="133"/>
      <c r="O324" s="133"/>
      <c r="P324" s="133"/>
      <c r="Q324" s="133"/>
      <c r="R324" s="133"/>
      <c r="S324" s="133"/>
      <c r="T324" s="133"/>
      <c r="U324" s="133"/>
      <c r="V324" s="133"/>
      <c r="W324" s="133"/>
      <c r="X324" s="133"/>
      <c r="Y324" s="133"/>
      <c r="Z324" s="133"/>
      <c r="AA324" s="133"/>
      <c r="AB324" s="133"/>
      <c r="AC324" s="133"/>
      <c r="AD324" s="133"/>
      <c r="AE324" s="133"/>
      <c r="AF324" s="133"/>
      <c r="AG324" s="133"/>
      <c r="AH324" s="133"/>
    </row>
    <row r="325" spans="1:34">
      <c r="A325" s="150"/>
      <c r="B325" s="151"/>
      <c r="C325" s="178"/>
      <c r="D325" s="217"/>
      <c r="E325" s="189"/>
      <c r="F325" s="190"/>
      <c r="G325" s="133"/>
      <c r="H325" s="133"/>
      <c r="I325" s="133"/>
      <c r="J325" s="133"/>
      <c r="K325" s="133"/>
      <c r="L325" s="133"/>
      <c r="M325" s="133"/>
      <c r="N325" s="133"/>
      <c r="O325" s="133"/>
      <c r="P325" s="133"/>
      <c r="Q325" s="133"/>
      <c r="R325" s="133"/>
      <c r="S325" s="133"/>
      <c r="T325" s="133"/>
      <c r="U325" s="133"/>
      <c r="V325" s="133"/>
      <c r="W325" s="133"/>
      <c r="X325" s="133"/>
      <c r="Y325" s="133"/>
      <c r="Z325" s="133"/>
      <c r="AA325" s="133"/>
      <c r="AB325" s="133"/>
      <c r="AC325" s="133"/>
      <c r="AD325" s="133"/>
      <c r="AE325" s="133"/>
      <c r="AF325" s="133"/>
      <c r="AG325" s="133"/>
      <c r="AH325" s="133"/>
    </row>
    <row r="326" spans="1:34">
      <c r="A326" s="150"/>
      <c r="B326" s="151"/>
      <c r="C326" s="178"/>
      <c r="D326" s="217"/>
      <c r="E326" s="189"/>
      <c r="F326" s="190"/>
      <c r="G326" s="133"/>
      <c r="H326" s="133"/>
      <c r="I326" s="133"/>
      <c r="J326" s="133"/>
      <c r="K326" s="133"/>
      <c r="L326" s="133"/>
      <c r="M326" s="133"/>
      <c r="N326" s="133"/>
      <c r="O326" s="133"/>
      <c r="P326" s="133"/>
      <c r="Q326" s="133"/>
      <c r="R326" s="133"/>
      <c r="S326" s="133"/>
      <c r="T326" s="133"/>
      <c r="U326" s="133"/>
      <c r="V326" s="133"/>
      <c r="W326" s="133"/>
      <c r="X326" s="133"/>
      <c r="Y326" s="133"/>
      <c r="Z326" s="133"/>
      <c r="AA326" s="133"/>
      <c r="AB326" s="133"/>
      <c r="AC326" s="133"/>
      <c r="AD326" s="133"/>
      <c r="AE326" s="133"/>
      <c r="AF326" s="133"/>
      <c r="AG326" s="133"/>
      <c r="AH326" s="133"/>
    </row>
    <row r="327" spans="1:34" ht="14.5" thickBot="1">
      <c r="A327" s="159"/>
      <c r="B327" s="160"/>
      <c r="C327" s="181"/>
      <c r="D327" s="218"/>
      <c r="E327" s="183"/>
      <c r="F327" s="182"/>
      <c r="G327" s="133"/>
      <c r="H327" s="133"/>
      <c r="I327" s="133"/>
      <c r="J327" s="133"/>
      <c r="K327" s="133"/>
      <c r="L327" s="133"/>
      <c r="M327" s="133"/>
      <c r="N327" s="133"/>
      <c r="O327" s="133"/>
      <c r="P327" s="133"/>
      <c r="Q327" s="133"/>
      <c r="R327" s="133"/>
      <c r="S327" s="133"/>
      <c r="T327" s="133"/>
      <c r="U327" s="133"/>
      <c r="V327" s="133"/>
      <c r="W327" s="133"/>
      <c r="X327" s="133"/>
      <c r="Y327" s="133"/>
      <c r="Z327" s="133"/>
      <c r="AA327" s="133"/>
      <c r="AB327" s="133"/>
      <c r="AC327" s="133"/>
      <c r="AD327" s="133"/>
      <c r="AE327" s="133"/>
      <c r="AF327" s="133"/>
      <c r="AG327" s="133"/>
      <c r="AH327" s="133"/>
    </row>
    <row r="328" spans="1:34">
      <c r="G328" s="133"/>
      <c r="H328" s="133"/>
      <c r="I328" s="133"/>
      <c r="J328" s="133"/>
      <c r="K328" s="133"/>
      <c r="L328" s="133"/>
      <c r="M328" s="133"/>
      <c r="N328" s="133"/>
      <c r="O328" s="133"/>
      <c r="P328" s="133"/>
      <c r="Q328" s="133"/>
      <c r="R328" s="133"/>
      <c r="S328" s="133"/>
      <c r="T328" s="133"/>
      <c r="U328" s="133"/>
      <c r="V328" s="133"/>
      <c r="W328" s="133"/>
      <c r="X328" s="133"/>
      <c r="Y328" s="133"/>
      <c r="Z328" s="133"/>
      <c r="AA328" s="133"/>
      <c r="AB328" s="133"/>
      <c r="AC328" s="133"/>
      <c r="AD328" s="133"/>
      <c r="AE328" s="133"/>
      <c r="AF328" s="133"/>
      <c r="AG328" s="133"/>
      <c r="AH328" s="133"/>
    </row>
    <row r="329" spans="1:34">
      <c r="G329" s="133"/>
      <c r="H329" s="133"/>
      <c r="I329" s="133"/>
      <c r="J329" s="133"/>
      <c r="K329" s="133"/>
      <c r="L329" s="133"/>
      <c r="M329" s="133"/>
      <c r="N329" s="133"/>
      <c r="O329" s="133"/>
      <c r="P329" s="133"/>
      <c r="Q329" s="133"/>
      <c r="R329" s="133"/>
      <c r="S329" s="133"/>
      <c r="T329" s="133"/>
      <c r="U329" s="133"/>
      <c r="V329" s="133"/>
      <c r="W329" s="133"/>
      <c r="X329" s="133"/>
      <c r="Y329" s="133"/>
      <c r="Z329" s="133"/>
      <c r="AA329" s="133"/>
      <c r="AB329" s="133"/>
      <c r="AC329" s="133"/>
      <c r="AD329" s="133"/>
      <c r="AE329" s="133"/>
      <c r="AF329" s="133"/>
      <c r="AG329" s="133"/>
      <c r="AH329" s="133"/>
    </row>
    <row r="330" spans="1:34">
      <c r="A330" s="130"/>
      <c r="B330" s="130"/>
      <c r="C330" s="131" t="s">
        <v>902</v>
      </c>
      <c r="D330" s="130"/>
      <c r="E330" s="130"/>
      <c r="F330" s="185" t="s">
        <v>870</v>
      </c>
      <c r="G330" s="133"/>
      <c r="H330" s="133"/>
      <c r="I330" s="133"/>
      <c r="J330" s="133"/>
      <c r="K330" s="133"/>
      <c r="L330" s="133"/>
      <c r="M330" s="133"/>
      <c r="N330" s="133"/>
      <c r="O330" s="133"/>
      <c r="P330" s="133"/>
      <c r="Q330" s="133"/>
      <c r="R330" s="133"/>
      <c r="S330" s="133"/>
      <c r="T330" s="133"/>
      <c r="U330" s="133"/>
      <c r="V330" s="133"/>
      <c r="W330" s="133"/>
      <c r="X330" s="133"/>
      <c r="Y330" s="133"/>
      <c r="Z330" s="133"/>
      <c r="AA330" s="133"/>
      <c r="AB330" s="133"/>
      <c r="AC330" s="133"/>
      <c r="AD330" s="133"/>
      <c r="AE330" s="133"/>
      <c r="AF330" s="133"/>
      <c r="AG330" s="133"/>
      <c r="AH330" s="133"/>
    </row>
    <row r="331" spans="1:34">
      <c r="C331" s="132" t="s">
        <v>856</v>
      </c>
      <c r="D331" s="132" t="s">
        <v>856</v>
      </c>
      <c r="G331" s="133"/>
      <c r="H331" s="133"/>
      <c r="I331" s="133"/>
      <c r="J331" s="133"/>
      <c r="K331" s="133"/>
      <c r="L331" s="133"/>
      <c r="M331" s="133"/>
      <c r="N331" s="133"/>
      <c r="O331" s="133"/>
      <c r="P331" s="133"/>
      <c r="Q331" s="133"/>
      <c r="R331" s="133"/>
      <c r="S331" s="133"/>
      <c r="T331" s="133"/>
      <c r="U331" s="133"/>
      <c r="V331" s="133"/>
      <c r="W331" s="133"/>
      <c r="X331" s="133"/>
      <c r="Y331" s="133"/>
      <c r="Z331" s="133"/>
      <c r="AA331" s="133"/>
      <c r="AB331" s="133"/>
      <c r="AC331" s="133"/>
      <c r="AD331" s="133"/>
      <c r="AE331" s="133"/>
      <c r="AF331" s="133"/>
      <c r="AG331" s="133"/>
      <c r="AH331" s="133"/>
    </row>
    <row r="332" spans="1:34" ht="14.5" thickBot="1">
      <c r="C332" s="134" t="s">
        <v>813</v>
      </c>
      <c r="D332" s="134" t="s">
        <v>813</v>
      </c>
      <c r="E332" s="135" t="s">
        <v>857</v>
      </c>
      <c r="F332" s="135" t="s">
        <v>857</v>
      </c>
      <c r="G332" s="133"/>
      <c r="H332" s="133"/>
      <c r="I332" s="133"/>
      <c r="J332" s="133"/>
      <c r="K332" s="133"/>
      <c r="L332" s="133"/>
      <c r="M332" s="133"/>
      <c r="N332" s="133"/>
      <c r="O332" s="133"/>
      <c r="P332" s="133"/>
      <c r="Q332" s="133"/>
      <c r="R332" s="133"/>
      <c r="S332" s="133"/>
      <c r="T332" s="133"/>
      <c r="U332" s="133"/>
      <c r="V332" s="133"/>
      <c r="W332" s="133"/>
      <c r="X332" s="133"/>
      <c r="Y332" s="133"/>
      <c r="Z332" s="133"/>
      <c r="AA332" s="133"/>
      <c r="AB332" s="133"/>
      <c r="AC332" s="133"/>
      <c r="AD332" s="133"/>
      <c r="AE332" s="133"/>
      <c r="AF332" s="133"/>
      <c r="AG332" s="133"/>
      <c r="AH332" s="133"/>
    </row>
    <row r="333" spans="1:34">
      <c r="C333" s="136" t="s">
        <v>858</v>
      </c>
      <c r="D333" s="137" t="s">
        <v>859</v>
      </c>
      <c r="E333" s="136" t="s">
        <v>858</v>
      </c>
      <c r="F333" s="137" t="s">
        <v>859</v>
      </c>
      <c r="G333" s="133"/>
      <c r="H333" s="133"/>
      <c r="I333" s="133"/>
      <c r="J333" s="133"/>
      <c r="K333" s="133"/>
      <c r="L333" s="133"/>
      <c r="M333" s="133"/>
      <c r="N333" s="133"/>
      <c r="O333" s="133"/>
      <c r="P333" s="133"/>
      <c r="Q333" s="133"/>
      <c r="R333" s="133"/>
      <c r="S333" s="133"/>
      <c r="T333" s="133"/>
      <c r="U333" s="133"/>
      <c r="V333" s="133"/>
      <c r="W333" s="133"/>
      <c r="X333" s="133"/>
      <c r="Y333" s="133"/>
      <c r="Z333" s="133"/>
      <c r="AA333" s="133"/>
      <c r="AB333" s="133"/>
      <c r="AC333" s="133"/>
      <c r="AD333" s="133"/>
      <c r="AE333" s="133"/>
      <c r="AF333" s="133"/>
      <c r="AG333" s="133"/>
      <c r="AH333" s="133"/>
    </row>
    <row r="334" spans="1:34" ht="14.5" thickBot="1">
      <c r="A334" s="138" t="s">
        <v>860</v>
      </c>
      <c r="B334" s="139" t="s">
        <v>861</v>
      </c>
      <c r="C334" s="205" t="s">
        <v>862</v>
      </c>
      <c r="D334" s="206" t="s">
        <v>863</v>
      </c>
      <c r="E334" s="205" t="s">
        <v>862</v>
      </c>
      <c r="F334" s="206" t="s">
        <v>863</v>
      </c>
      <c r="G334" s="133"/>
      <c r="H334" s="133"/>
      <c r="I334" s="133"/>
      <c r="J334" s="133"/>
      <c r="K334" s="133"/>
      <c r="L334" s="133"/>
      <c r="M334" s="133"/>
      <c r="N334" s="133"/>
      <c r="O334" s="133"/>
      <c r="P334" s="133"/>
      <c r="Q334" s="133"/>
      <c r="R334" s="133"/>
      <c r="S334" s="133"/>
      <c r="T334" s="133"/>
      <c r="U334" s="133"/>
      <c r="V334" s="133"/>
      <c r="W334" s="133"/>
      <c r="X334" s="133"/>
      <c r="Y334" s="133"/>
      <c r="Z334" s="133"/>
      <c r="AA334" s="133"/>
      <c r="AB334" s="133"/>
      <c r="AC334" s="133"/>
      <c r="AD334" s="133"/>
      <c r="AE334" s="133"/>
      <c r="AF334" s="133"/>
      <c r="AG334" s="133"/>
      <c r="AH334" s="133"/>
    </row>
    <row r="335" spans="1:34">
      <c r="A335" s="144">
        <v>27</v>
      </c>
      <c r="B335" s="145" t="s">
        <v>903</v>
      </c>
      <c r="C335" s="187">
        <v>0.54113345521023704</v>
      </c>
      <c r="D335" s="188">
        <v>3.8940809968847301</v>
      </c>
      <c r="E335" s="187">
        <v>2.65</v>
      </c>
      <c r="F335" s="188">
        <v>10.031152647975</v>
      </c>
      <c r="G335" s="133"/>
      <c r="H335" s="133"/>
      <c r="I335" s="133"/>
      <c r="J335" s="133"/>
      <c r="K335" s="133"/>
      <c r="L335" s="133"/>
      <c r="M335" s="133"/>
      <c r="N335" s="133"/>
      <c r="O335" s="133"/>
      <c r="P335" s="133"/>
      <c r="Q335" s="133"/>
      <c r="R335" s="133"/>
      <c r="S335" s="133"/>
      <c r="T335" s="133"/>
      <c r="U335" s="133"/>
      <c r="V335" s="133"/>
      <c r="W335" s="133"/>
      <c r="X335" s="133"/>
      <c r="Y335" s="133"/>
      <c r="Z335" s="133"/>
      <c r="AA335" s="133"/>
      <c r="AB335" s="133"/>
      <c r="AC335" s="133"/>
      <c r="AD335" s="133"/>
      <c r="AE335" s="133"/>
      <c r="AF335" s="133"/>
      <c r="AG335" s="133"/>
      <c r="AH335" s="133"/>
    </row>
    <row r="336" spans="1:34">
      <c r="A336" s="150"/>
      <c r="B336" s="151"/>
      <c r="C336" s="187">
        <v>1.0758683729433201</v>
      </c>
      <c r="D336" s="188">
        <v>4.4859813084112101</v>
      </c>
      <c r="E336" s="187">
        <v>3.1736745886654401</v>
      </c>
      <c r="F336" s="188">
        <v>5.0778816199376902</v>
      </c>
      <c r="G336" s="133"/>
      <c r="H336" s="133"/>
      <c r="I336" s="133"/>
      <c r="J336" s="133"/>
      <c r="K336" s="133"/>
      <c r="L336" s="133"/>
      <c r="M336" s="133"/>
      <c r="N336" s="133"/>
      <c r="O336" s="133"/>
      <c r="P336" s="133"/>
      <c r="Q336" s="133"/>
      <c r="R336" s="133"/>
      <c r="S336" s="133"/>
      <c r="T336" s="133"/>
      <c r="U336" s="133"/>
      <c r="V336" s="133"/>
      <c r="W336" s="133"/>
      <c r="X336" s="133"/>
      <c r="Y336" s="133"/>
      <c r="Z336" s="133"/>
      <c r="AA336" s="133"/>
      <c r="AB336" s="133"/>
      <c r="AC336" s="133"/>
      <c r="AD336" s="133"/>
      <c r="AE336" s="133"/>
      <c r="AF336" s="133"/>
      <c r="AG336" s="133"/>
      <c r="AH336" s="133"/>
    </row>
    <row r="337" spans="1:34">
      <c r="A337" s="150"/>
      <c r="B337" s="151"/>
      <c r="C337" s="187">
        <v>1.6014625228519099</v>
      </c>
      <c r="D337" s="188">
        <v>6.5109034267912698</v>
      </c>
      <c r="E337" s="187">
        <v>4.1900000000000004</v>
      </c>
      <c r="F337" s="188">
        <v>2.5545171339563799</v>
      </c>
      <c r="G337" s="133"/>
      <c r="H337" s="133"/>
      <c r="I337" s="133"/>
      <c r="J337" s="133"/>
      <c r="K337" s="133"/>
      <c r="L337" s="133"/>
      <c r="M337" s="133"/>
      <c r="N337" s="133"/>
      <c r="O337" s="133"/>
      <c r="P337" s="133"/>
      <c r="Q337" s="133"/>
      <c r="R337" s="133"/>
      <c r="S337" s="133"/>
      <c r="T337" s="133"/>
      <c r="U337" s="133"/>
      <c r="V337" s="133"/>
      <c r="W337" s="133"/>
      <c r="X337" s="133"/>
      <c r="Y337" s="133"/>
      <c r="Z337" s="133"/>
      <c r="AA337" s="133"/>
      <c r="AB337" s="133"/>
      <c r="AC337" s="133"/>
      <c r="AD337" s="133"/>
      <c r="AE337" s="133"/>
      <c r="AF337" s="133"/>
      <c r="AG337" s="133"/>
      <c r="AH337" s="133"/>
    </row>
    <row r="338" spans="1:34">
      <c r="A338" s="150"/>
      <c r="B338" s="151"/>
      <c r="C338" s="187">
        <v>2.1316270566727602</v>
      </c>
      <c r="D338" s="188">
        <v>12.056074766355099</v>
      </c>
      <c r="E338" s="187">
        <v>4.6900000000000004</v>
      </c>
      <c r="F338" s="188">
        <v>1.5264797507788099</v>
      </c>
      <c r="G338" s="133"/>
      <c r="H338" s="133"/>
      <c r="I338" s="133"/>
      <c r="J338" s="133"/>
      <c r="K338" s="133"/>
      <c r="L338" s="133"/>
      <c r="M338" s="133"/>
      <c r="N338" s="133"/>
      <c r="O338" s="133"/>
      <c r="P338" s="133"/>
      <c r="Q338" s="133"/>
      <c r="R338" s="133"/>
      <c r="S338" s="133"/>
      <c r="T338" s="133"/>
      <c r="U338" s="133"/>
      <c r="V338" s="133"/>
      <c r="W338" s="133"/>
      <c r="X338" s="133"/>
      <c r="Y338" s="133"/>
      <c r="Z338" s="133"/>
      <c r="AA338" s="133"/>
      <c r="AB338" s="133"/>
      <c r="AC338" s="133"/>
      <c r="AD338" s="133"/>
      <c r="AE338" s="133"/>
      <c r="AF338" s="133"/>
      <c r="AG338" s="133"/>
      <c r="AH338" s="133"/>
    </row>
    <row r="339" spans="1:34">
      <c r="A339" s="150"/>
      <c r="B339" s="151"/>
      <c r="C339" s="210"/>
      <c r="D339" s="211"/>
      <c r="E339" s="187">
        <v>5.2</v>
      </c>
      <c r="F339" s="188">
        <v>0.49844236760124599</v>
      </c>
      <c r="G339" s="133"/>
      <c r="H339" s="133"/>
      <c r="I339" s="133"/>
      <c r="J339" s="133"/>
      <c r="K339" s="133"/>
      <c r="L339" s="133"/>
      <c r="M339" s="133"/>
      <c r="N339" s="133"/>
      <c r="O339" s="133"/>
      <c r="P339" s="133"/>
      <c r="Q339" s="133"/>
      <c r="R339" s="133"/>
      <c r="S339" s="133"/>
      <c r="T339" s="133"/>
      <c r="U339" s="133"/>
      <c r="V339" s="133"/>
      <c r="W339" s="133"/>
      <c r="X339" s="133"/>
      <c r="Y339" s="133"/>
      <c r="Z339" s="133"/>
      <c r="AA339" s="133"/>
      <c r="AB339" s="133"/>
      <c r="AC339" s="133"/>
      <c r="AD339" s="133"/>
      <c r="AE339" s="133"/>
      <c r="AF339" s="133"/>
      <c r="AG339" s="133"/>
      <c r="AH339" s="133"/>
    </row>
    <row r="340" spans="1:34">
      <c r="A340" s="150"/>
      <c r="B340" s="151"/>
      <c r="C340" s="210"/>
      <c r="D340" s="211"/>
      <c r="E340" s="189"/>
      <c r="F340" s="190"/>
      <c r="G340" s="133"/>
      <c r="H340" s="133"/>
      <c r="I340" s="133"/>
      <c r="J340" s="133"/>
      <c r="K340" s="133"/>
      <c r="L340" s="133"/>
      <c r="M340" s="133"/>
      <c r="N340" s="133"/>
      <c r="O340" s="133"/>
      <c r="P340" s="133"/>
      <c r="Q340" s="133"/>
      <c r="R340" s="133"/>
      <c r="S340" s="133"/>
      <c r="T340" s="133"/>
      <c r="U340" s="133"/>
      <c r="V340" s="133"/>
      <c r="W340" s="133"/>
      <c r="X340" s="133"/>
      <c r="Y340" s="133"/>
      <c r="Z340" s="133"/>
      <c r="AA340" s="133"/>
      <c r="AB340" s="133"/>
      <c r="AC340" s="133"/>
      <c r="AD340" s="133"/>
      <c r="AE340" s="133"/>
      <c r="AF340" s="133"/>
      <c r="AG340" s="133"/>
      <c r="AH340" s="133"/>
    </row>
    <row r="341" spans="1:34">
      <c r="A341" s="150"/>
      <c r="B341" s="151"/>
      <c r="C341" s="210"/>
      <c r="D341" s="211"/>
      <c r="E341" s="189"/>
      <c r="F341" s="190"/>
      <c r="G341" s="133"/>
      <c r="H341" s="133"/>
      <c r="I341" s="133"/>
      <c r="J341" s="133"/>
      <c r="K341" s="133"/>
      <c r="L341" s="133"/>
      <c r="M341" s="133"/>
      <c r="N341" s="133"/>
      <c r="O341" s="133"/>
      <c r="P341" s="133"/>
      <c r="Q341" s="133"/>
      <c r="R341" s="133"/>
      <c r="S341" s="133"/>
      <c r="T341" s="133"/>
      <c r="U341" s="133"/>
      <c r="V341" s="133"/>
      <c r="W341" s="133"/>
      <c r="X341" s="133"/>
      <c r="Y341" s="133"/>
      <c r="Z341" s="133"/>
      <c r="AA341" s="133"/>
      <c r="AB341" s="133"/>
      <c r="AC341" s="133"/>
      <c r="AD341" s="133"/>
      <c r="AE341" s="133"/>
      <c r="AF341" s="133"/>
      <c r="AG341" s="133"/>
      <c r="AH341" s="133"/>
    </row>
    <row r="342" spans="1:34">
      <c r="A342" s="150"/>
      <c r="B342" s="151"/>
      <c r="C342" s="178"/>
      <c r="D342" s="179"/>
      <c r="E342" s="189"/>
      <c r="F342" s="190"/>
      <c r="G342" s="133"/>
      <c r="H342" s="133"/>
      <c r="I342" s="133"/>
      <c r="J342" s="133"/>
      <c r="K342" s="133"/>
      <c r="L342" s="133"/>
      <c r="M342" s="133"/>
      <c r="N342" s="133"/>
      <c r="O342" s="133"/>
      <c r="P342" s="133"/>
      <c r="Q342" s="133"/>
      <c r="R342" s="133"/>
      <c r="S342" s="133"/>
      <c r="T342" s="133"/>
      <c r="U342" s="133"/>
      <c r="V342" s="133"/>
      <c r="W342" s="133"/>
      <c r="X342" s="133"/>
      <c r="Y342" s="133"/>
      <c r="Z342" s="133"/>
      <c r="AA342" s="133"/>
      <c r="AB342" s="133"/>
      <c r="AC342" s="133"/>
      <c r="AD342" s="133"/>
      <c r="AE342" s="133"/>
      <c r="AF342" s="133"/>
      <c r="AG342" s="133"/>
      <c r="AH342" s="133"/>
    </row>
    <row r="343" spans="1:34">
      <c r="A343" s="150"/>
      <c r="B343" s="151"/>
      <c r="C343" s="178"/>
      <c r="D343" s="179"/>
      <c r="E343" s="189"/>
      <c r="F343" s="190"/>
      <c r="G343" s="133"/>
      <c r="H343" s="133"/>
      <c r="I343" s="133"/>
      <c r="J343" s="133"/>
      <c r="K343" s="133"/>
      <c r="L343" s="133"/>
      <c r="M343" s="133"/>
      <c r="N343" s="133"/>
      <c r="O343" s="133"/>
      <c r="P343" s="133"/>
      <c r="Q343" s="133"/>
      <c r="R343" s="133"/>
      <c r="S343" s="133"/>
      <c r="T343" s="133"/>
      <c r="U343" s="133"/>
      <c r="V343" s="133"/>
      <c r="W343" s="133"/>
      <c r="X343" s="133"/>
      <c r="Y343" s="133"/>
      <c r="Z343" s="133"/>
      <c r="AA343" s="133"/>
      <c r="AB343" s="133"/>
      <c r="AC343" s="133"/>
      <c r="AD343" s="133"/>
      <c r="AE343" s="133"/>
      <c r="AF343" s="133"/>
      <c r="AG343" s="133"/>
      <c r="AH343" s="133"/>
    </row>
    <row r="344" spans="1:34" ht="14.5" thickBot="1">
      <c r="A344" s="159"/>
      <c r="B344" s="160"/>
      <c r="C344" s="181"/>
      <c r="D344" s="182"/>
      <c r="E344" s="183"/>
      <c r="F344" s="182"/>
      <c r="G344" s="133"/>
      <c r="H344" s="133"/>
      <c r="I344" s="133"/>
      <c r="J344" s="133"/>
      <c r="K344" s="133"/>
      <c r="L344" s="133"/>
      <c r="M344" s="133"/>
      <c r="N344" s="133"/>
      <c r="O344" s="133"/>
      <c r="P344" s="133"/>
      <c r="Q344" s="133"/>
      <c r="R344" s="133"/>
      <c r="S344" s="133"/>
      <c r="T344" s="133"/>
      <c r="U344" s="133"/>
      <c r="V344" s="133"/>
      <c r="W344" s="133"/>
      <c r="X344" s="133"/>
      <c r="Y344" s="133"/>
      <c r="Z344" s="133"/>
      <c r="AA344" s="133"/>
      <c r="AB344" s="133"/>
      <c r="AC344" s="133"/>
      <c r="AD344" s="133"/>
      <c r="AE344" s="133"/>
      <c r="AF344" s="133"/>
      <c r="AG344" s="133"/>
      <c r="AH344" s="133"/>
    </row>
    <row r="345" spans="1:34">
      <c r="G345" s="133"/>
      <c r="H345" s="133"/>
      <c r="I345" s="133"/>
      <c r="J345" s="133"/>
      <c r="K345" s="133"/>
      <c r="L345" s="133"/>
      <c r="M345" s="133"/>
      <c r="N345" s="133"/>
      <c r="O345" s="133"/>
      <c r="P345" s="133"/>
      <c r="Q345" s="133"/>
      <c r="R345" s="133"/>
      <c r="S345" s="133"/>
      <c r="T345" s="133"/>
      <c r="U345" s="133"/>
      <c r="V345" s="133"/>
      <c r="W345" s="133"/>
      <c r="X345" s="133"/>
      <c r="Y345" s="133"/>
      <c r="Z345" s="133"/>
      <c r="AA345" s="133"/>
      <c r="AB345" s="133"/>
      <c r="AC345" s="133"/>
      <c r="AD345" s="133"/>
      <c r="AE345" s="133"/>
      <c r="AF345" s="133"/>
      <c r="AG345" s="133"/>
      <c r="AH345" s="133"/>
    </row>
    <row r="346" spans="1:34">
      <c r="G346" s="133"/>
      <c r="H346" s="133"/>
      <c r="I346" s="133"/>
      <c r="J346" s="133"/>
      <c r="K346" s="133"/>
      <c r="L346" s="133"/>
      <c r="M346" s="133"/>
      <c r="N346" s="133"/>
      <c r="O346" s="133"/>
      <c r="P346" s="133"/>
      <c r="Q346" s="133"/>
      <c r="R346" s="133"/>
      <c r="S346" s="133"/>
      <c r="T346" s="133"/>
      <c r="U346" s="133"/>
      <c r="V346" s="133"/>
      <c r="W346" s="133"/>
      <c r="X346" s="133"/>
      <c r="Y346" s="133"/>
      <c r="Z346" s="133"/>
      <c r="AA346" s="133"/>
      <c r="AB346" s="133"/>
      <c r="AC346" s="133"/>
      <c r="AD346" s="133"/>
      <c r="AE346" s="133"/>
      <c r="AF346" s="133"/>
      <c r="AG346" s="133"/>
      <c r="AH346" s="133"/>
    </row>
    <row r="347" spans="1:34">
      <c r="A347" s="130"/>
      <c r="B347" s="130"/>
      <c r="C347" s="131" t="s">
        <v>904</v>
      </c>
      <c r="D347" s="130"/>
      <c r="E347" s="130"/>
      <c r="F347" s="185" t="s">
        <v>870</v>
      </c>
      <c r="G347" s="133"/>
      <c r="H347" s="133"/>
      <c r="I347" s="133"/>
      <c r="J347" s="133"/>
      <c r="K347" s="133"/>
      <c r="L347" s="133"/>
      <c r="M347" s="133"/>
      <c r="N347" s="133"/>
      <c r="O347" s="133"/>
      <c r="P347" s="133"/>
      <c r="Q347" s="133"/>
      <c r="R347" s="133"/>
      <c r="S347" s="133"/>
      <c r="T347" s="133"/>
      <c r="U347" s="133"/>
      <c r="V347" s="133"/>
      <c r="W347" s="133"/>
      <c r="X347" s="133"/>
      <c r="Y347" s="133"/>
      <c r="Z347" s="133"/>
      <c r="AA347" s="133"/>
      <c r="AB347" s="133"/>
      <c r="AC347" s="133"/>
      <c r="AD347" s="133"/>
      <c r="AE347" s="133"/>
      <c r="AF347" s="133"/>
      <c r="AG347" s="133"/>
      <c r="AH347" s="133"/>
    </row>
    <row r="348" spans="1:34">
      <c r="C348" s="132" t="s">
        <v>856</v>
      </c>
      <c r="D348" s="132" t="s">
        <v>856</v>
      </c>
      <c r="G348" s="133"/>
      <c r="H348" s="133"/>
      <c r="I348" s="133"/>
      <c r="J348" s="133"/>
      <c r="K348" s="133"/>
      <c r="L348" s="133"/>
      <c r="M348" s="133"/>
      <c r="N348" s="133"/>
      <c r="O348" s="133"/>
      <c r="P348" s="133"/>
      <c r="Q348" s="133"/>
      <c r="R348" s="133"/>
      <c r="S348" s="133"/>
      <c r="T348" s="133"/>
      <c r="U348" s="133"/>
      <c r="V348" s="133"/>
      <c r="W348" s="133"/>
      <c r="X348" s="133"/>
      <c r="Y348" s="133"/>
      <c r="Z348" s="133"/>
      <c r="AA348" s="133"/>
      <c r="AB348" s="133"/>
      <c r="AC348" s="133"/>
      <c r="AD348" s="133"/>
      <c r="AE348" s="133"/>
      <c r="AF348" s="133"/>
      <c r="AG348" s="133"/>
      <c r="AH348" s="133"/>
    </row>
    <row r="349" spans="1:34" ht="14.5" thickBot="1">
      <c r="C349" s="134" t="s">
        <v>813</v>
      </c>
      <c r="D349" s="134" t="s">
        <v>813</v>
      </c>
      <c r="E349" s="135" t="s">
        <v>857</v>
      </c>
      <c r="F349" s="135" t="s">
        <v>857</v>
      </c>
      <c r="G349" s="133"/>
      <c r="H349" s="133"/>
      <c r="I349" s="133"/>
      <c r="J349" s="133"/>
      <c r="K349" s="133"/>
      <c r="L349" s="133"/>
      <c r="M349" s="133"/>
      <c r="N349" s="133"/>
      <c r="O349" s="133"/>
      <c r="P349" s="133"/>
      <c r="Q349" s="133"/>
      <c r="R349" s="133"/>
      <c r="S349" s="133"/>
      <c r="T349" s="133"/>
      <c r="U349" s="133"/>
      <c r="V349" s="133"/>
      <c r="W349" s="133"/>
      <c r="X349" s="133"/>
      <c r="Y349" s="133"/>
      <c r="Z349" s="133"/>
      <c r="AA349" s="133"/>
      <c r="AB349" s="133"/>
      <c r="AC349" s="133"/>
      <c r="AD349" s="133"/>
      <c r="AE349" s="133"/>
      <c r="AF349" s="133"/>
      <c r="AG349" s="133"/>
      <c r="AH349" s="133"/>
    </row>
    <row r="350" spans="1:34">
      <c r="C350" s="136" t="s">
        <v>858</v>
      </c>
      <c r="D350" s="137" t="s">
        <v>859</v>
      </c>
      <c r="E350" s="136" t="s">
        <v>858</v>
      </c>
      <c r="F350" s="137" t="s">
        <v>859</v>
      </c>
      <c r="G350" s="133"/>
      <c r="H350" s="133"/>
      <c r="I350" s="133"/>
      <c r="J350" s="133"/>
      <c r="K350" s="133"/>
      <c r="L350" s="133"/>
      <c r="M350" s="133"/>
      <c r="N350" s="133"/>
      <c r="O350" s="133"/>
      <c r="P350" s="133"/>
      <c r="Q350" s="133"/>
      <c r="R350" s="133"/>
      <c r="S350" s="133"/>
      <c r="T350" s="133"/>
      <c r="U350" s="133"/>
      <c r="V350" s="133"/>
      <c r="W350" s="133"/>
      <c r="X350" s="133"/>
      <c r="Y350" s="133"/>
      <c r="Z350" s="133"/>
      <c r="AA350" s="133"/>
      <c r="AB350" s="133"/>
      <c r="AC350" s="133"/>
      <c r="AD350" s="133"/>
      <c r="AE350" s="133"/>
      <c r="AF350" s="133"/>
      <c r="AG350" s="133"/>
      <c r="AH350" s="133"/>
    </row>
    <row r="351" spans="1:34" ht="14.5" thickBot="1">
      <c r="A351" s="138" t="s">
        <v>860</v>
      </c>
      <c r="B351" s="139" t="s">
        <v>861</v>
      </c>
      <c r="C351" s="205" t="s">
        <v>862</v>
      </c>
      <c r="D351" s="206" t="s">
        <v>863</v>
      </c>
      <c r="E351" s="205" t="s">
        <v>862</v>
      </c>
      <c r="F351" s="206" t="s">
        <v>863</v>
      </c>
      <c r="G351" s="133"/>
      <c r="H351" s="133"/>
      <c r="I351" s="133"/>
      <c r="J351" s="133"/>
      <c r="K351" s="133"/>
      <c r="L351" s="133"/>
      <c r="M351" s="133"/>
      <c r="N351" s="133"/>
      <c r="O351" s="133"/>
      <c r="P351" s="133"/>
      <c r="Q351" s="133"/>
      <c r="R351" s="133"/>
      <c r="S351" s="133"/>
      <c r="T351" s="133"/>
      <c r="U351" s="133"/>
      <c r="V351" s="133"/>
      <c r="W351" s="133"/>
      <c r="X351" s="133"/>
      <c r="Y351" s="133"/>
      <c r="Z351" s="133"/>
      <c r="AA351" s="133"/>
      <c r="AB351" s="133"/>
      <c r="AC351" s="133"/>
      <c r="AD351" s="133"/>
      <c r="AE351" s="133"/>
      <c r="AF351" s="133"/>
      <c r="AG351" s="133"/>
      <c r="AH351" s="133"/>
    </row>
    <row r="352" spans="1:34">
      <c r="A352" s="144">
        <v>27</v>
      </c>
      <c r="B352" s="145" t="s">
        <v>905</v>
      </c>
      <c r="C352" s="187">
        <v>0.53</v>
      </c>
      <c r="D352" s="188">
        <v>1.28</v>
      </c>
      <c r="E352" s="187">
        <v>2.12</v>
      </c>
      <c r="F352" s="188">
        <v>18.11</v>
      </c>
      <c r="G352" s="133"/>
      <c r="H352" s="133"/>
      <c r="I352" s="133"/>
      <c r="J352" s="133"/>
      <c r="K352" s="133"/>
      <c r="L352" s="133"/>
      <c r="M352" s="133"/>
      <c r="N352" s="133"/>
      <c r="O352" s="133"/>
      <c r="P352" s="133"/>
      <c r="Q352" s="133"/>
      <c r="R352" s="133"/>
      <c r="S352" s="133"/>
      <c r="T352" s="133"/>
      <c r="U352" s="133"/>
      <c r="V352" s="133"/>
      <c r="W352" s="133"/>
      <c r="X352" s="133"/>
      <c r="Y352" s="133"/>
      <c r="Z352" s="133"/>
      <c r="AA352" s="133"/>
      <c r="AB352" s="133"/>
      <c r="AC352" s="133"/>
      <c r="AD352" s="133"/>
      <c r="AE352" s="133"/>
      <c r="AF352" s="133"/>
      <c r="AG352" s="133"/>
      <c r="AH352" s="133"/>
    </row>
    <row r="353" spans="1:34">
      <c r="A353" s="150"/>
      <c r="B353" s="151"/>
      <c r="C353" s="187">
        <v>1.0649999999999999</v>
      </c>
      <c r="D353" s="188">
        <v>1.9578313253012001</v>
      </c>
      <c r="E353" s="187">
        <v>2.64</v>
      </c>
      <c r="F353" s="188">
        <v>5.89</v>
      </c>
      <c r="G353" s="133"/>
      <c r="H353" s="133"/>
      <c r="I353" s="133"/>
      <c r="J353" s="133"/>
      <c r="K353" s="133"/>
      <c r="L353" s="133"/>
      <c r="M353" s="133"/>
      <c r="N353" s="133"/>
      <c r="O353" s="133"/>
      <c r="P353" s="133"/>
      <c r="Q353" s="133"/>
      <c r="R353" s="133"/>
      <c r="S353" s="133"/>
      <c r="T353" s="133"/>
      <c r="U353" s="133"/>
      <c r="V353" s="133"/>
      <c r="W353" s="133"/>
      <c r="X353" s="133"/>
      <c r="Y353" s="133"/>
      <c r="Z353" s="133"/>
      <c r="AA353" s="133"/>
      <c r="AB353" s="133"/>
      <c r="AC353" s="133"/>
      <c r="AD353" s="133"/>
      <c r="AE353" s="133"/>
      <c r="AF353" s="133"/>
      <c r="AG353" s="133"/>
      <c r="AH353" s="133"/>
    </row>
    <row r="354" spans="1:34">
      <c r="A354" s="150"/>
      <c r="B354" s="151"/>
      <c r="C354" s="187">
        <v>1.60424028268551</v>
      </c>
      <c r="D354" s="188">
        <v>7.0783132530120403</v>
      </c>
      <c r="E354" s="187">
        <v>3.17</v>
      </c>
      <c r="F354" s="188">
        <v>3.3</v>
      </c>
      <c r="G354" s="133"/>
      <c r="H354" s="133"/>
      <c r="I354" s="133"/>
      <c r="J354" s="133"/>
      <c r="K354" s="133"/>
      <c r="L354" s="133"/>
      <c r="M354" s="133"/>
      <c r="N354" s="133"/>
      <c r="O354" s="133"/>
      <c r="P354" s="133"/>
      <c r="Q354" s="133"/>
      <c r="R354" s="133"/>
      <c r="S354" s="133"/>
      <c r="T354" s="133"/>
      <c r="U354" s="133"/>
      <c r="V354" s="133"/>
      <c r="W354" s="133"/>
      <c r="X354" s="133"/>
      <c r="Y354" s="133"/>
      <c r="Z354" s="133"/>
      <c r="AA354" s="133"/>
      <c r="AB354" s="133"/>
      <c r="AC354" s="133"/>
      <c r="AD354" s="133"/>
      <c r="AE354" s="133"/>
      <c r="AF354" s="133"/>
      <c r="AG354" s="133"/>
      <c r="AH354" s="133"/>
    </row>
    <row r="355" spans="1:34">
      <c r="A355" s="150"/>
      <c r="B355" s="151"/>
      <c r="C355" s="187">
        <v>2.12</v>
      </c>
      <c r="D355" s="188">
        <v>15.5722891566265</v>
      </c>
      <c r="E355" s="187">
        <v>3.6934628975265</v>
      </c>
      <c r="F355" s="188">
        <v>1.2951807228915599</v>
      </c>
      <c r="G355" s="133"/>
      <c r="H355" s="133"/>
      <c r="I355" s="133"/>
      <c r="J355" s="133"/>
      <c r="K355" s="133"/>
      <c r="L355" s="133"/>
      <c r="M355" s="133"/>
      <c r="N355" s="133"/>
      <c r="O355" s="133"/>
      <c r="P355" s="133"/>
      <c r="Q355" s="133"/>
      <c r="R355" s="133"/>
      <c r="S355" s="133"/>
      <c r="T355" s="133"/>
      <c r="U355" s="133"/>
      <c r="V355" s="133"/>
      <c r="W355" s="133"/>
      <c r="X355" s="133"/>
      <c r="Y355" s="133"/>
      <c r="Z355" s="133"/>
      <c r="AA355" s="133"/>
      <c r="AB355" s="133"/>
      <c r="AC355" s="133"/>
      <c r="AD355" s="133"/>
      <c r="AE355" s="133"/>
      <c r="AF355" s="133"/>
      <c r="AG355" s="133"/>
      <c r="AH355" s="133"/>
    </row>
    <row r="356" spans="1:34">
      <c r="A356" s="150"/>
      <c r="B356" s="151"/>
      <c r="C356" s="210"/>
      <c r="D356" s="211"/>
      <c r="E356" s="187">
        <v>4.20141342756183</v>
      </c>
      <c r="F356" s="188">
        <v>0.66265060240963802</v>
      </c>
      <c r="G356" s="133"/>
      <c r="H356" s="133"/>
      <c r="I356" s="133"/>
      <c r="J356" s="133"/>
      <c r="K356" s="133"/>
      <c r="L356" s="133"/>
      <c r="M356" s="133"/>
      <c r="N356" s="133"/>
      <c r="O356" s="133"/>
      <c r="P356" s="133"/>
      <c r="Q356" s="133"/>
      <c r="R356" s="133"/>
      <c r="S356" s="133"/>
      <c r="T356" s="133"/>
      <c r="U356" s="133"/>
      <c r="V356" s="133"/>
      <c r="W356" s="133"/>
      <c r="X356" s="133"/>
      <c r="Y356" s="133"/>
      <c r="Z356" s="133"/>
      <c r="AA356" s="133"/>
      <c r="AB356" s="133"/>
      <c r="AC356" s="133"/>
      <c r="AD356" s="133"/>
      <c r="AE356" s="133"/>
      <c r="AF356" s="133"/>
      <c r="AG356" s="133"/>
      <c r="AH356" s="133"/>
    </row>
    <row r="357" spans="1:34">
      <c r="A357" s="150"/>
      <c r="B357" s="151"/>
      <c r="C357" s="210"/>
      <c r="D357" s="211"/>
      <c r="E357" s="187">
        <v>4.7</v>
      </c>
      <c r="F357" s="188">
        <v>0.68</v>
      </c>
      <c r="G357" s="133"/>
      <c r="H357" s="133"/>
      <c r="I357" s="133"/>
      <c r="J357" s="133"/>
      <c r="K357" s="133"/>
      <c r="L357" s="133"/>
      <c r="M357" s="133"/>
      <c r="N357" s="133"/>
      <c r="O357" s="133"/>
      <c r="P357" s="133"/>
      <c r="Q357" s="133"/>
      <c r="R357" s="133"/>
      <c r="S357" s="133"/>
      <c r="T357" s="133"/>
      <c r="U357" s="133"/>
      <c r="V357" s="133"/>
      <c r="W357" s="133"/>
      <c r="X357" s="133"/>
      <c r="Y357" s="133"/>
      <c r="Z357" s="133"/>
      <c r="AA357" s="133"/>
      <c r="AB357" s="133"/>
      <c r="AC357" s="133"/>
      <c r="AD357" s="133"/>
      <c r="AE357" s="133"/>
      <c r="AF357" s="133"/>
      <c r="AG357" s="133"/>
      <c r="AH357" s="133"/>
    </row>
    <row r="358" spans="1:34">
      <c r="A358" s="150"/>
      <c r="B358" s="151"/>
      <c r="C358" s="210"/>
      <c r="D358" s="211"/>
      <c r="E358" s="187">
        <v>5.2040636042402797</v>
      </c>
      <c r="F358" s="188">
        <v>0.1</v>
      </c>
      <c r="G358" s="133"/>
      <c r="H358" s="133"/>
      <c r="I358" s="133"/>
      <c r="J358" s="133"/>
      <c r="K358" s="133"/>
      <c r="L358" s="133"/>
      <c r="M358" s="133"/>
      <c r="N358" s="133"/>
      <c r="O358" s="133"/>
      <c r="P358" s="133"/>
      <c r="Q358" s="133"/>
      <c r="R358" s="133"/>
      <c r="S358" s="133"/>
      <c r="T358" s="133"/>
      <c r="U358" s="133"/>
      <c r="V358" s="133"/>
      <c r="W358" s="133"/>
      <c r="X358" s="133"/>
      <c r="Y358" s="133"/>
      <c r="Z358" s="133"/>
      <c r="AA358" s="133"/>
      <c r="AB358" s="133"/>
      <c r="AC358" s="133"/>
      <c r="AD358" s="133"/>
      <c r="AE358" s="133"/>
      <c r="AF358" s="133"/>
      <c r="AG358" s="133"/>
      <c r="AH358" s="133"/>
    </row>
    <row r="359" spans="1:34">
      <c r="A359" s="150"/>
      <c r="B359" s="151"/>
      <c r="C359" s="178"/>
      <c r="D359" s="179"/>
      <c r="E359" s="189"/>
      <c r="F359" s="190"/>
      <c r="G359" s="133"/>
      <c r="H359" s="133"/>
      <c r="I359" s="133"/>
      <c r="J359" s="133"/>
      <c r="K359" s="133"/>
      <c r="L359" s="133"/>
      <c r="M359" s="133"/>
      <c r="N359" s="133"/>
      <c r="O359" s="133"/>
      <c r="P359" s="133"/>
      <c r="Q359" s="133"/>
      <c r="R359" s="133"/>
      <c r="S359" s="133"/>
      <c r="T359" s="133"/>
      <c r="U359" s="133"/>
      <c r="V359" s="133"/>
      <c r="W359" s="133"/>
      <c r="X359" s="133"/>
      <c r="Y359" s="133"/>
      <c r="Z359" s="133"/>
      <c r="AA359" s="133"/>
      <c r="AB359" s="133"/>
      <c r="AC359" s="133"/>
      <c r="AD359" s="133"/>
      <c r="AE359" s="133"/>
      <c r="AF359" s="133"/>
      <c r="AG359" s="133"/>
      <c r="AH359" s="133"/>
    </row>
    <row r="360" spans="1:34">
      <c r="A360" s="150"/>
      <c r="B360" s="151"/>
      <c r="C360" s="178"/>
      <c r="D360" s="179"/>
      <c r="E360" s="189"/>
      <c r="F360" s="190"/>
      <c r="G360" s="133"/>
      <c r="H360" s="133"/>
      <c r="I360" s="133"/>
      <c r="J360" s="133"/>
      <c r="K360" s="133"/>
      <c r="L360" s="133"/>
      <c r="M360" s="133"/>
      <c r="N360" s="133"/>
      <c r="O360" s="133"/>
      <c r="P360" s="133"/>
      <c r="Q360" s="133"/>
      <c r="R360" s="133"/>
      <c r="S360" s="133"/>
      <c r="T360" s="133"/>
      <c r="U360" s="133"/>
      <c r="V360" s="133"/>
      <c r="W360" s="133"/>
      <c r="X360" s="133"/>
      <c r="Y360" s="133"/>
      <c r="Z360" s="133"/>
      <c r="AA360" s="133"/>
      <c r="AB360" s="133"/>
      <c r="AC360" s="133"/>
      <c r="AD360" s="133"/>
      <c r="AE360" s="133"/>
      <c r="AF360" s="133"/>
      <c r="AG360" s="133"/>
      <c r="AH360" s="133"/>
    </row>
    <row r="361" spans="1:34" ht="14.5" thickBot="1">
      <c r="A361" s="159"/>
      <c r="B361" s="160"/>
      <c r="C361" s="181"/>
      <c r="D361" s="182"/>
      <c r="E361" s="183"/>
      <c r="F361" s="182"/>
      <c r="G361" s="133"/>
      <c r="H361" s="133"/>
      <c r="I361" s="133"/>
      <c r="J361" s="133"/>
      <c r="K361" s="133"/>
      <c r="L361" s="133"/>
      <c r="M361" s="133"/>
      <c r="N361" s="133"/>
      <c r="O361" s="133"/>
      <c r="P361" s="133"/>
      <c r="Q361" s="133"/>
      <c r="R361" s="133"/>
      <c r="S361" s="133"/>
      <c r="T361" s="133"/>
      <c r="U361" s="133"/>
      <c r="V361" s="133"/>
      <c r="W361" s="133"/>
      <c r="X361" s="133"/>
      <c r="Y361" s="133"/>
      <c r="Z361" s="133"/>
      <c r="AA361" s="133"/>
      <c r="AB361" s="133"/>
      <c r="AC361" s="133"/>
      <c r="AD361" s="133"/>
      <c r="AE361" s="133"/>
      <c r="AF361" s="133"/>
      <c r="AG361" s="133"/>
      <c r="AH361" s="133"/>
    </row>
    <row r="362" spans="1:34">
      <c r="G362" s="133"/>
      <c r="H362" s="133"/>
      <c r="I362" s="133"/>
      <c r="J362" s="133"/>
      <c r="K362" s="133"/>
      <c r="L362" s="133"/>
      <c r="M362" s="133"/>
      <c r="N362" s="133"/>
      <c r="O362" s="133"/>
      <c r="P362" s="133"/>
      <c r="Q362" s="133"/>
      <c r="R362" s="133"/>
      <c r="S362" s="133"/>
      <c r="T362" s="133"/>
      <c r="U362" s="133"/>
      <c r="V362" s="133"/>
      <c r="W362" s="133"/>
      <c r="X362" s="133"/>
      <c r="Y362" s="133"/>
      <c r="Z362" s="133"/>
      <c r="AA362" s="133"/>
      <c r="AB362" s="133"/>
      <c r="AC362" s="133"/>
      <c r="AD362" s="133"/>
      <c r="AE362" s="133"/>
      <c r="AF362" s="133"/>
      <c r="AG362" s="133"/>
      <c r="AH362" s="133"/>
    </row>
    <row r="363" spans="1:34">
      <c r="G363" s="133"/>
      <c r="H363" s="133"/>
      <c r="I363" s="133"/>
      <c r="J363" s="133"/>
      <c r="K363" s="133"/>
      <c r="L363" s="133"/>
      <c r="M363" s="133"/>
      <c r="N363" s="133"/>
      <c r="O363" s="133"/>
      <c r="P363" s="133"/>
      <c r="Q363" s="133"/>
      <c r="R363" s="133"/>
      <c r="S363" s="133"/>
      <c r="T363" s="133"/>
      <c r="U363" s="133"/>
      <c r="V363" s="133"/>
      <c r="W363" s="133"/>
      <c r="X363" s="133"/>
      <c r="Y363" s="133"/>
      <c r="Z363" s="133"/>
      <c r="AA363" s="133"/>
      <c r="AB363" s="133"/>
      <c r="AC363" s="133"/>
      <c r="AD363" s="133"/>
      <c r="AE363" s="133"/>
      <c r="AF363" s="133"/>
      <c r="AG363" s="133"/>
      <c r="AH363" s="133"/>
    </row>
    <row r="364" spans="1:34">
      <c r="A364" s="130"/>
      <c r="B364" s="130"/>
      <c r="C364" s="131" t="s">
        <v>906</v>
      </c>
      <c r="D364" s="130"/>
      <c r="E364" s="130"/>
      <c r="F364" s="185" t="s">
        <v>870</v>
      </c>
      <c r="G364" s="133"/>
      <c r="H364" s="133"/>
      <c r="I364" s="133"/>
      <c r="J364" s="133"/>
      <c r="K364" s="133"/>
      <c r="L364" s="133"/>
      <c r="M364" s="133"/>
      <c r="N364" s="133"/>
      <c r="O364" s="133"/>
      <c r="P364" s="133"/>
      <c r="Q364" s="133"/>
      <c r="R364" s="133"/>
      <c r="S364" s="133"/>
      <c r="T364" s="133"/>
      <c r="U364" s="133"/>
      <c r="V364" s="133"/>
      <c r="W364" s="133"/>
      <c r="X364" s="133"/>
      <c r="Y364" s="133"/>
      <c r="Z364" s="133"/>
      <c r="AA364" s="133"/>
      <c r="AB364" s="133"/>
      <c r="AC364" s="133"/>
      <c r="AD364" s="133"/>
      <c r="AE364" s="133"/>
      <c r="AF364" s="133"/>
      <c r="AG364" s="133"/>
      <c r="AH364" s="133"/>
    </row>
    <row r="365" spans="1:34">
      <c r="C365" s="132" t="s">
        <v>856</v>
      </c>
      <c r="D365" s="132" t="s">
        <v>856</v>
      </c>
      <c r="G365" s="133"/>
      <c r="H365" s="133"/>
      <c r="I365" s="133"/>
      <c r="J365" s="133"/>
      <c r="K365" s="133"/>
      <c r="L365" s="133"/>
      <c r="M365" s="133"/>
      <c r="N365" s="133"/>
      <c r="O365" s="133"/>
      <c r="P365" s="133"/>
      <c r="Q365" s="133"/>
      <c r="R365" s="133"/>
      <c r="S365" s="133"/>
      <c r="T365" s="133"/>
      <c r="U365" s="133"/>
      <c r="V365" s="133"/>
      <c r="W365" s="133"/>
      <c r="X365" s="133"/>
      <c r="Y365" s="133"/>
      <c r="Z365" s="133"/>
      <c r="AA365" s="133"/>
      <c r="AB365" s="133"/>
      <c r="AC365" s="133"/>
      <c r="AD365" s="133"/>
      <c r="AE365" s="133"/>
      <c r="AF365" s="133"/>
      <c r="AG365" s="133"/>
      <c r="AH365" s="133"/>
    </row>
    <row r="366" spans="1:34" ht="14.5" thickBot="1">
      <c r="C366" s="134" t="s">
        <v>813</v>
      </c>
      <c r="D366" s="134" t="s">
        <v>813</v>
      </c>
      <c r="E366" s="135" t="s">
        <v>857</v>
      </c>
      <c r="F366" s="135" t="s">
        <v>857</v>
      </c>
      <c r="G366" s="133"/>
      <c r="H366" s="133"/>
      <c r="I366" s="133"/>
      <c r="J366" s="133"/>
      <c r="K366" s="133"/>
      <c r="L366" s="133"/>
      <c r="M366" s="133"/>
      <c r="N366" s="133"/>
      <c r="O366" s="133"/>
      <c r="P366" s="133"/>
      <c r="Q366" s="133"/>
      <c r="R366" s="133"/>
      <c r="S366" s="133"/>
      <c r="T366" s="133"/>
      <c r="U366" s="133"/>
      <c r="V366" s="133"/>
      <c r="W366" s="133"/>
      <c r="X366" s="133"/>
      <c r="Y366" s="133"/>
      <c r="Z366" s="133"/>
      <c r="AA366" s="133"/>
      <c r="AB366" s="133"/>
      <c r="AC366" s="133"/>
      <c r="AD366" s="133"/>
      <c r="AE366" s="133"/>
      <c r="AF366" s="133"/>
      <c r="AG366" s="133"/>
      <c r="AH366" s="133"/>
    </row>
    <row r="367" spans="1:34" ht="14.5" thickBot="1">
      <c r="C367" s="136" t="s">
        <v>858</v>
      </c>
      <c r="D367" s="137" t="s">
        <v>859</v>
      </c>
      <c r="E367" s="212" t="s">
        <v>858</v>
      </c>
      <c r="F367" s="137" t="s">
        <v>859</v>
      </c>
      <c r="G367" s="133"/>
      <c r="H367" s="133"/>
      <c r="I367" s="133"/>
      <c r="J367" s="133"/>
      <c r="K367" s="133"/>
      <c r="L367" s="133"/>
      <c r="M367" s="133"/>
      <c r="N367" s="133"/>
      <c r="O367" s="133"/>
      <c r="P367" s="133"/>
      <c r="Q367" s="133"/>
      <c r="R367" s="133"/>
      <c r="S367" s="133"/>
      <c r="T367" s="133"/>
      <c r="U367" s="133"/>
      <c r="V367" s="133"/>
      <c r="W367" s="133"/>
      <c r="X367" s="133"/>
      <c r="Y367" s="133"/>
      <c r="Z367" s="133"/>
      <c r="AA367" s="133"/>
      <c r="AB367" s="133"/>
      <c r="AC367" s="133"/>
      <c r="AD367" s="133"/>
      <c r="AE367" s="133"/>
      <c r="AF367" s="133"/>
      <c r="AG367" s="133"/>
      <c r="AH367" s="133"/>
    </row>
    <row r="368" spans="1:34" ht="14.5" thickBot="1">
      <c r="A368" s="138" t="s">
        <v>860</v>
      </c>
      <c r="B368" s="139" t="s">
        <v>861</v>
      </c>
      <c r="C368" s="205" t="s">
        <v>862</v>
      </c>
      <c r="D368" s="206" t="s">
        <v>863</v>
      </c>
      <c r="E368" s="231" t="s">
        <v>862</v>
      </c>
      <c r="F368" s="232" t="s">
        <v>863</v>
      </c>
      <c r="G368" s="133"/>
      <c r="H368" s="133"/>
      <c r="I368" s="133"/>
      <c r="J368" s="133"/>
      <c r="K368" s="133"/>
      <c r="L368" s="133"/>
      <c r="M368" s="133"/>
      <c r="N368" s="133"/>
      <c r="O368" s="133"/>
      <c r="P368" s="133"/>
      <c r="Q368" s="133"/>
      <c r="R368" s="133"/>
      <c r="S368" s="133"/>
      <c r="T368" s="133"/>
      <c r="U368" s="133"/>
      <c r="V368" s="133"/>
      <c r="W368" s="133"/>
      <c r="X368" s="133"/>
      <c r="Y368" s="133"/>
      <c r="Z368" s="133"/>
      <c r="AA368" s="133"/>
      <c r="AB368" s="133"/>
      <c r="AC368" s="133"/>
      <c r="AD368" s="133"/>
      <c r="AE368" s="133"/>
      <c r="AF368" s="133"/>
      <c r="AG368" s="133"/>
      <c r="AH368" s="133"/>
    </row>
    <row r="369" spans="1:34">
      <c r="A369" s="144">
        <v>28</v>
      </c>
      <c r="B369" s="145" t="s">
        <v>907</v>
      </c>
      <c r="C369" s="187">
        <v>0.54587155963302703</v>
      </c>
      <c r="D369" s="188">
        <v>2.0124804992199601</v>
      </c>
      <c r="E369" s="187">
        <v>2.1284403669724701</v>
      </c>
      <c r="F369" s="188">
        <v>29.719188767550701</v>
      </c>
      <c r="G369" s="133"/>
      <c r="H369" s="133"/>
      <c r="I369" s="133"/>
      <c r="J369" s="133"/>
      <c r="K369" s="133"/>
      <c r="L369" s="133"/>
      <c r="M369" s="133"/>
      <c r="N369" s="133"/>
      <c r="O369" s="133"/>
      <c r="P369" s="133"/>
      <c r="Q369" s="133"/>
      <c r="R369" s="133"/>
      <c r="S369" s="133"/>
      <c r="T369" s="133"/>
      <c r="U369" s="133"/>
      <c r="V369" s="133"/>
      <c r="W369" s="133"/>
      <c r="X369" s="133"/>
      <c r="Y369" s="133"/>
      <c r="Z369" s="133"/>
      <c r="AA369" s="133"/>
      <c r="AB369" s="133"/>
      <c r="AC369" s="133"/>
      <c r="AD369" s="133"/>
      <c r="AE369" s="133"/>
      <c r="AF369" s="133"/>
      <c r="AG369" s="133"/>
      <c r="AH369" s="133"/>
    </row>
    <row r="370" spans="1:34">
      <c r="A370" s="150"/>
      <c r="B370" s="151"/>
      <c r="C370" s="187">
        <v>1.08</v>
      </c>
      <c r="D370" s="188">
        <v>7.95</v>
      </c>
      <c r="E370" s="187">
        <v>2.6467889908256801</v>
      </c>
      <c r="F370" s="188">
        <v>15.7254290171606</v>
      </c>
      <c r="G370" s="133"/>
      <c r="H370" s="133"/>
      <c r="I370" s="133"/>
      <c r="J370" s="133"/>
      <c r="K370" s="133"/>
      <c r="L370" s="133"/>
      <c r="M370" s="133"/>
      <c r="N370" s="133"/>
      <c r="O370" s="133"/>
      <c r="P370" s="133"/>
      <c r="Q370" s="133"/>
      <c r="R370" s="133"/>
      <c r="S370" s="133"/>
      <c r="T370" s="133"/>
      <c r="U370" s="133"/>
      <c r="V370" s="133"/>
      <c r="W370" s="133"/>
      <c r="X370" s="133"/>
      <c r="Y370" s="133"/>
      <c r="Z370" s="133"/>
      <c r="AA370" s="133"/>
      <c r="AB370" s="133"/>
      <c r="AC370" s="133"/>
      <c r="AD370" s="133"/>
      <c r="AE370" s="133"/>
      <c r="AF370" s="133"/>
      <c r="AG370" s="133"/>
      <c r="AH370" s="133"/>
    </row>
    <row r="371" spans="1:34">
      <c r="A371" s="150"/>
      <c r="B371" s="151"/>
      <c r="C371" s="187">
        <v>1.6055045871559599</v>
      </c>
      <c r="D371" s="188">
        <v>13.806552262090401</v>
      </c>
      <c r="E371" s="187">
        <v>3.1697247706421998</v>
      </c>
      <c r="F371" s="188">
        <v>9.7815912636505402</v>
      </c>
      <c r="G371" s="133"/>
      <c r="H371" s="133"/>
      <c r="I371" s="133"/>
      <c r="J371" s="133"/>
      <c r="K371" s="133"/>
      <c r="L371" s="133"/>
      <c r="M371" s="133"/>
      <c r="N371" s="133"/>
      <c r="O371" s="133"/>
      <c r="P371" s="133"/>
      <c r="Q371" s="133"/>
      <c r="R371" s="133"/>
      <c r="S371" s="133"/>
      <c r="T371" s="133"/>
      <c r="U371" s="133"/>
      <c r="V371" s="133"/>
      <c r="W371" s="133"/>
      <c r="X371" s="133"/>
      <c r="Y371" s="133"/>
      <c r="Z371" s="133"/>
      <c r="AA371" s="133"/>
      <c r="AB371" s="133"/>
      <c r="AC371" s="133"/>
      <c r="AD371" s="133"/>
      <c r="AE371" s="133"/>
      <c r="AF371" s="133"/>
      <c r="AG371" s="133"/>
      <c r="AH371" s="133"/>
    </row>
    <row r="372" spans="1:34">
      <c r="A372" s="150"/>
      <c r="B372" s="151"/>
      <c r="C372" s="187">
        <v>2.1330275229357798</v>
      </c>
      <c r="D372" s="188">
        <v>27.659906396255799</v>
      </c>
      <c r="E372" s="187">
        <v>3.6972477064220102</v>
      </c>
      <c r="F372" s="188">
        <v>6.0374414976599002</v>
      </c>
      <c r="G372" s="133"/>
      <c r="H372" s="133"/>
      <c r="I372" s="133"/>
      <c r="J372" s="133"/>
      <c r="K372" s="133"/>
      <c r="L372" s="133"/>
      <c r="M372" s="133"/>
      <c r="N372" s="133"/>
      <c r="O372" s="133"/>
      <c r="P372" s="133"/>
      <c r="Q372" s="133"/>
      <c r="R372" s="133"/>
      <c r="S372" s="133"/>
      <c r="T372" s="133"/>
      <c r="U372" s="133"/>
      <c r="V372" s="133"/>
      <c r="W372" s="133"/>
      <c r="X372" s="133"/>
      <c r="Y372" s="133"/>
      <c r="Z372" s="133"/>
      <c r="AA372" s="133"/>
      <c r="AB372" s="133"/>
      <c r="AC372" s="133"/>
      <c r="AD372" s="133"/>
      <c r="AE372" s="133"/>
      <c r="AF372" s="133"/>
      <c r="AG372" s="133"/>
      <c r="AH372" s="133"/>
    </row>
    <row r="373" spans="1:34">
      <c r="A373" s="150"/>
      <c r="B373" s="151"/>
      <c r="C373" s="210"/>
      <c r="D373" s="211"/>
      <c r="E373" s="187">
        <v>4.1972477064220097</v>
      </c>
      <c r="F373" s="188">
        <v>5.8970358814352499</v>
      </c>
      <c r="G373" s="133"/>
      <c r="H373" s="133"/>
      <c r="I373" s="133"/>
      <c r="J373" s="133"/>
      <c r="K373" s="133"/>
      <c r="L373" s="133"/>
      <c r="M373" s="133"/>
      <c r="N373" s="133"/>
      <c r="O373" s="133"/>
      <c r="P373" s="133"/>
      <c r="Q373" s="133"/>
      <c r="R373" s="133"/>
      <c r="S373" s="133"/>
      <c r="T373" s="133"/>
      <c r="U373" s="133"/>
      <c r="V373" s="133"/>
      <c r="W373" s="133"/>
      <c r="X373" s="133"/>
      <c r="Y373" s="133"/>
      <c r="Z373" s="133"/>
      <c r="AA373" s="133"/>
      <c r="AB373" s="133"/>
      <c r="AC373" s="133"/>
      <c r="AD373" s="133"/>
      <c r="AE373" s="133"/>
      <c r="AF373" s="133"/>
      <c r="AG373" s="133"/>
      <c r="AH373" s="133"/>
    </row>
    <row r="374" spans="1:34">
      <c r="A374" s="150"/>
      <c r="B374" s="151"/>
      <c r="C374" s="210"/>
      <c r="D374" s="211"/>
      <c r="E374" s="187">
        <v>4.7018348623853203</v>
      </c>
      <c r="F374" s="188">
        <v>2.1528861154446099</v>
      </c>
      <c r="G374" s="133"/>
      <c r="H374" s="133"/>
      <c r="I374" s="133"/>
      <c r="J374" s="133"/>
      <c r="K374" s="133"/>
      <c r="L374" s="133"/>
      <c r="M374" s="133"/>
      <c r="N374" s="133"/>
      <c r="O374" s="133"/>
      <c r="P374" s="133"/>
      <c r="Q374" s="133"/>
      <c r="R374" s="133"/>
      <c r="S374" s="133"/>
      <c r="T374" s="133"/>
      <c r="U374" s="133"/>
      <c r="V374" s="133"/>
      <c r="W374" s="133"/>
      <c r="X374" s="133"/>
      <c r="Y374" s="133"/>
      <c r="Z374" s="133"/>
      <c r="AA374" s="133"/>
      <c r="AB374" s="133"/>
      <c r="AC374" s="133"/>
      <c r="AD374" s="133"/>
      <c r="AE374" s="133"/>
      <c r="AF374" s="133"/>
      <c r="AG374" s="133"/>
      <c r="AH374" s="133"/>
    </row>
    <row r="375" spans="1:34">
      <c r="A375" s="150"/>
      <c r="B375" s="151"/>
      <c r="C375" s="210"/>
      <c r="D375" s="211"/>
      <c r="E375" s="187">
        <v>5.2064220183486203</v>
      </c>
      <c r="F375" s="188">
        <v>2.1060842433697302</v>
      </c>
      <c r="G375" s="133"/>
      <c r="H375" s="133"/>
      <c r="I375" s="133"/>
      <c r="J375" s="133"/>
      <c r="K375" s="133"/>
      <c r="L375" s="133"/>
      <c r="M375" s="133"/>
      <c r="N375" s="133"/>
      <c r="O375" s="133"/>
      <c r="P375" s="133"/>
      <c r="Q375" s="133"/>
      <c r="R375" s="133"/>
      <c r="S375" s="133"/>
      <c r="T375" s="133"/>
      <c r="U375" s="133"/>
      <c r="V375" s="133"/>
      <c r="W375" s="133"/>
      <c r="X375" s="133"/>
      <c r="Y375" s="133"/>
      <c r="Z375" s="133"/>
      <c r="AA375" s="133"/>
      <c r="AB375" s="133"/>
      <c r="AC375" s="133"/>
      <c r="AD375" s="133"/>
      <c r="AE375" s="133"/>
      <c r="AF375" s="133"/>
      <c r="AG375" s="133"/>
      <c r="AH375" s="133"/>
    </row>
    <row r="376" spans="1:34">
      <c r="A376" s="150"/>
      <c r="B376" s="151"/>
      <c r="C376" s="178"/>
      <c r="D376" s="179"/>
      <c r="E376" s="189"/>
      <c r="F376" s="190"/>
      <c r="G376" s="133"/>
      <c r="H376" s="133"/>
      <c r="I376" s="133"/>
      <c r="J376" s="133"/>
      <c r="K376" s="133"/>
      <c r="L376" s="133"/>
      <c r="M376" s="133"/>
      <c r="N376" s="133"/>
      <c r="O376" s="133"/>
      <c r="P376" s="133"/>
      <c r="Q376" s="133"/>
      <c r="R376" s="133"/>
      <c r="S376" s="133"/>
      <c r="T376" s="133"/>
      <c r="U376" s="133"/>
      <c r="V376" s="133"/>
      <c r="W376" s="133"/>
      <c r="X376" s="133"/>
      <c r="Y376" s="133"/>
      <c r="Z376" s="133"/>
      <c r="AA376" s="133"/>
      <c r="AB376" s="133"/>
      <c r="AC376" s="133"/>
      <c r="AD376" s="133"/>
      <c r="AE376" s="133"/>
      <c r="AF376" s="133"/>
      <c r="AG376" s="133"/>
      <c r="AH376" s="133"/>
    </row>
    <row r="377" spans="1:34">
      <c r="A377" s="150"/>
      <c r="B377" s="151"/>
      <c r="C377" s="178"/>
      <c r="D377" s="179"/>
      <c r="E377" s="215"/>
      <c r="F377" s="216"/>
      <c r="G377" s="133"/>
      <c r="H377" s="133"/>
      <c r="I377" s="133"/>
      <c r="J377" s="133"/>
      <c r="K377" s="133"/>
      <c r="L377" s="133"/>
      <c r="M377" s="133"/>
      <c r="N377" s="133"/>
      <c r="O377" s="133"/>
      <c r="P377" s="133"/>
      <c r="Q377" s="133"/>
      <c r="R377" s="133"/>
      <c r="S377" s="133"/>
      <c r="T377" s="133"/>
      <c r="U377" s="133"/>
      <c r="V377" s="133"/>
      <c r="W377" s="133"/>
      <c r="X377" s="133"/>
      <c r="Y377" s="133"/>
      <c r="Z377" s="133"/>
      <c r="AA377" s="133"/>
      <c r="AB377" s="133"/>
      <c r="AC377" s="133"/>
      <c r="AD377" s="133"/>
      <c r="AE377" s="133"/>
      <c r="AF377" s="133"/>
      <c r="AG377" s="133"/>
      <c r="AH377" s="133"/>
    </row>
    <row r="378" spans="1:34" ht="14.5" thickBot="1">
      <c r="A378" s="159"/>
      <c r="B378" s="160"/>
      <c r="C378" s="181"/>
      <c r="D378" s="182"/>
      <c r="E378" s="219"/>
      <c r="F378" s="220"/>
      <c r="G378" s="133"/>
      <c r="H378" s="133"/>
      <c r="I378" s="133"/>
      <c r="J378" s="133"/>
      <c r="K378" s="133"/>
      <c r="L378" s="133"/>
      <c r="M378" s="133"/>
      <c r="N378" s="133"/>
      <c r="O378" s="133"/>
      <c r="P378" s="133"/>
      <c r="Q378" s="133"/>
      <c r="R378" s="133"/>
      <c r="S378" s="133"/>
      <c r="T378" s="133"/>
      <c r="U378" s="133"/>
      <c r="V378" s="133"/>
      <c r="W378" s="133"/>
      <c r="X378" s="133"/>
      <c r="Y378" s="133"/>
      <c r="Z378" s="133"/>
      <c r="AA378" s="133"/>
      <c r="AB378" s="133"/>
      <c r="AC378" s="133"/>
      <c r="AD378" s="133"/>
      <c r="AE378" s="133"/>
      <c r="AF378" s="133"/>
      <c r="AG378" s="133"/>
      <c r="AH378" s="133"/>
    </row>
    <row r="379" spans="1:34">
      <c r="G379" s="133"/>
      <c r="H379" s="133"/>
      <c r="I379" s="133"/>
      <c r="J379" s="133"/>
      <c r="K379" s="133"/>
      <c r="L379" s="133"/>
      <c r="M379" s="133"/>
      <c r="N379" s="133"/>
      <c r="O379" s="133"/>
      <c r="P379" s="133"/>
      <c r="Q379" s="133"/>
      <c r="R379" s="133"/>
      <c r="S379" s="133"/>
      <c r="T379" s="133"/>
      <c r="U379" s="133"/>
      <c r="V379" s="133"/>
      <c r="W379" s="133"/>
      <c r="X379" s="133"/>
      <c r="Y379" s="133"/>
      <c r="Z379" s="133"/>
      <c r="AA379" s="133"/>
      <c r="AB379" s="133"/>
      <c r="AC379" s="133"/>
      <c r="AD379" s="133"/>
      <c r="AE379" s="133"/>
      <c r="AF379" s="133"/>
      <c r="AG379" s="133"/>
      <c r="AH379" s="133"/>
    </row>
    <row r="380" spans="1:34">
      <c r="G380" s="133"/>
      <c r="H380" s="133"/>
      <c r="I380" s="133"/>
      <c r="J380" s="133"/>
      <c r="K380" s="133"/>
      <c r="L380" s="133"/>
      <c r="M380" s="133"/>
      <c r="N380" s="133"/>
      <c r="O380" s="133"/>
      <c r="P380" s="133"/>
      <c r="Q380" s="133"/>
      <c r="R380" s="133"/>
      <c r="S380" s="133"/>
      <c r="T380" s="133"/>
      <c r="U380" s="133"/>
      <c r="V380" s="133"/>
      <c r="W380" s="133"/>
      <c r="X380" s="133"/>
      <c r="Y380" s="133"/>
      <c r="Z380" s="133"/>
      <c r="AA380" s="133"/>
      <c r="AB380" s="133"/>
      <c r="AC380" s="133"/>
      <c r="AD380" s="133"/>
      <c r="AE380" s="133"/>
      <c r="AF380" s="133"/>
      <c r="AG380" s="133"/>
      <c r="AH380" s="133"/>
    </row>
    <row r="381" spans="1:34">
      <c r="A381" s="130"/>
      <c r="B381" s="130"/>
      <c r="C381" s="131" t="s">
        <v>908</v>
      </c>
      <c r="D381" s="130"/>
      <c r="E381" s="130"/>
      <c r="F381" s="185" t="s">
        <v>870</v>
      </c>
      <c r="G381" s="133"/>
      <c r="H381" s="133"/>
      <c r="I381" s="133"/>
      <c r="J381" s="133"/>
      <c r="K381" s="133"/>
      <c r="L381" s="133"/>
      <c r="M381" s="133"/>
      <c r="N381" s="133"/>
      <c r="O381" s="133"/>
      <c r="P381" s="133"/>
      <c r="Q381" s="133"/>
      <c r="R381" s="133"/>
      <c r="S381" s="133"/>
      <c r="T381" s="133"/>
      <c r="U381" s="133"/>
      <c r="V381" s="133"/>
      <c r="W381" s="133"/>
      <c r="X381" s="133"/>
      <c r="Y381" s="133"/>
      <c r="Z381" s="133"/>
      <c r="AA381" s="133"/>
      <c r="AB381" s="133"/>
      <c r="AC381" s="133"/>
      <c r="AD381" s="133"/>
      <c r="AE381" s="133"/>
      <c r="AF381" s="133"/>
      <c r="AG381" s="133"/>
      <c r="AH381" s="133"/>
    </row>
    <row r="382" spans="1:34">
      <c r="C382" s="132" t="s">
        <v>856</v>
      </c>
      <c r="D382" s="132" t="s">
        <v>856</v>
      </c>
      <c r="G382" s="133"/>
      <c r="H382" s="133"/>
      <c r="I382" s="133"/>
      <c r="J382" s="133"/>
      <c r="K382" s="133"/>
      <c r="L382" s="133"/>
      <c r="M382" s="133"/>
      <c r="N382" s="133"/>
      <c r="O382" s="133"/>
      <c r="P382" s="133"/>
      <c r="Q382" s="133"/>
      <c r="R382" s="133"/>
      <c r="S382" s="133"/>
      <c r="T382" s="133"/>
      <c r="U382" s="133"/>
      <c r="V382" s="133"/>
      <c r="W382" s="133"/>
      <c r="X382" s="133"/>
      <c r="Y382" s="133"/>
      <c r="Z382" s="133"/>
      <c r="AA382" s="133"/>
      <c r="AB382" s="133"/>
      <c r="AC382" s="133"/>
      <c r="AD382" s="133"/>
      <c r="AE382" s="133"/>
      <c r="AF382" s="133"/>
      <c r="AG382" s="133"/>
      <c r="AH382" s="133"/>
    </row>
    <row r="383" spans="1:34" ht="14.5" thickBot="1">
      <c r="C383" s="134" t="s">
        <v>813</v>
      </c>
      <c r="D383" s="134" t="s">
        <v>813</v>
      </c>
      <c r="E383" s="135" t="s">
        <v>857</v>
      </c>
      <c r="F383" s="135" t="s">
        <v>857</v>
      </c>
      <c r="G383" s="133"/>
      <c r="H383" s="133"/>
      <c r="I383" s="133"/>
      <c r="J383" s="133"/>
      <c r="K383" s="133"/>
      <c r="L383" s="133"/>
      <c r="M383" s="133"/>
      <c r="N383" s="133"/>
      <c r="O383" s="133"/>
      <c r="P383" s="133"/>
      <c r="Q383" s="133"/>
      <c r="R383" s="133"/>
      <c r="S383" s="133"/>
      <c r="T383" s="133"/>
      <c r="U383" s="133"/>
      <c r="V383" s="133"/>
      <c r="W383" s="133"/>
      <c r="X383" s="133"/>
      <c r="Y383" s="133"/>
      <c r="Z383" s="133"/>
      <c r="AA383" s="133"/>
      <c r="AB383" s="133"/>
      <c r="AC383" s="133"/>
      <c r="AD383" s="133"/>
      <c r="AE383" s="133"/>
      <c r="AF383" s="133"/>
      <c r="AG383" s="133"/>
      <c r="AH383" s="133"/>
    </row>
    <row r="384" spans="1:34">
      <c r="C384" s="136" t="s">
        <v>858</v>
      </c>
      <c r="D384" s="137" t="s">
        <v>859</v>
      </c>
      <c r="E384" s="136" t="s">
        <v>858</v>
      </c>
      <c r="F384" s="137" t="s">
        <v>859</v>
      </c>
      <c r="G384" s="133"/>
      <c r="H384" s="133"/>
      <c r="I384" s="133"/>
      <c r="J384" s="133"/>
      <c r="K384" s="133"/>
      <c r="L384" s="133"/>
      <c r="M384" s="133"/>
      <c r="N384" s="133"/>
      <c r="O384" s="133"/>
      <c r="P384" s="133"/>
      <c r="Q384" s="133"/>
      <c r="R384" s="133"/>
      <c r="S384" s="133"/>
      <c r="T384" s="133"/>
      <c r="U384" s="133"/>
      <c r="V384" s="133"/>
      <c r="W384" s="133"/>
      <c r="X384" s="133"/>
      <c r="Y384" s="133"/>
      <c r="Z384" s="133"/>
      <c r="AA384" s="133"/>
      <c r="AB384" s="133"/>
      <c r="AC384" s="133"/>
      <c r="AD384" s="133"/>
      <c r="AE384" s="133"/>
      <c r="AF384" s="133"/>
      <c r="AG384" s="133"/>
      <c r="AH384" s="133"/>
    </row>
    <row r="385" spans="1:34" ht="14.5" thickBot="1">
      <c r="A385" s="138" t="s">
        <v>860</v>
      </c>
      <c r="B385" s="139" t="s">
        <v>861</v>
      </c>
      <c r="C385" s="205" t="s">
        <v>862</v>
      </c>
      <c r="D385" s="206" t="s">
        <v>863</v>
      </c>
      <c r="E385" s="205" t="s">
        <v>862</v>
      </c>
      <c r="F385" s="206" t="s">
        <v>863</v>
      </c>
      <c r="G385" s="133"/>
      <c r="H385" s="133"/>
      <c r="I385" s="133"/>
      <c r="J385" s="133"/>
      <c r="K385" s="133"/>
      <c r="L385" s="133"/>
      <c r="M385" s="133"/>
      <c r="N385" s="133"/>
      <c r="O385" s="133"/>
      <c r="P385" s="133"/>
      <c r="Q385" s="133"/>
      <c r="R385" s="133"/>
      <c r="S385" s="133"/>
      <c r="T385" s="133"/>
      <c r="U385" s="133"/>
      <c r="V385" s="133"/>
      <c r="W385" s="133"/>
      <c r="X385" s="133"/>
      <c r="Y385" s="133"/>
      <c r="Z385" s="133"/>
      <c r="AA385" s="133"/>
      <c r="AB385" s="133"/>
      <c r="AC385" s="133"/>
      <c r="AD385" s="133"/>
      <c r="AE385" s="133"/>
      <c r="AF385" s="133"/>
      <c r="AG385" s="133"/>
      <c r="AH385" s="133"/>
    </row>
    <row r="386" spans="1:34">
      <c r="A386" s="144">
        <v>28</v>
      </c>
      <c r="B386" s="145" t="s">
        <v>909</v>
      </c>
      <c r="C386" s="187">
        <v>0.53558718861209897</v>
      </c>
      <c r="D386" s="188">
        <v>0.88145896656534894</v>
      </c>
      <c r="E386" s="187">
        <v>4.6814946619217004</v>
      </c>
      <c r="F386" s="188">
        <v>11.3981762917933</v>
      </c>
      <c r="G386" s="133"/>
      <c r="H386" s="133"/>
      <c r="I386" s="133"/>
      <c r="J386" s="133"/>
      <c r="K386" s="133"/>
      <c r="L386" s="133"/>
      <c r="M386" s="133"/>
      <c r="N386" s="133"/>
      <c r="O386" s="133"/>
      <c r="P386" s="133"/>
      <c r="Q386" s="133"/>
      <c r="R386" s="133"/>
      <c r="S386" s="133"/>
      <c r="T386" s="133"/>
      <c r="U386" s="133"/>
      <c r="V386" s="133"/>
      <c r="W386" s="133"/>
      <c r="X386" s="133"/>
      <c r="Y386" s="133"/>
      <c r="Z386" s="133"/>
      <c r="AA386" s="133"/>
      <c r="AB386" s="133"/>
      <c r="AC386" s="133"/>
      <c r="AD386" s="133"/>
      <c r="AE386" s="133"/>
      <c r="AF386" s="133"/>
      <c r="AG386" s="133"/>
      <c r="AH386" s="133"/>
    </row>
    <row r="387" spans="1:34">
      <c r="A387" s="150"/>
      <c r="B387" s="151"/>
      <c r="C387" s="187">
        <v>1.0738434163701001</v>
      </c>
      <c r="D387" s="188">
        <v>2.4620060790273501</v>
      </c>
      <c r="E387" s="187">
        <v>5.1975088967971503</v>
      </c>
      <c r="F387" s="188">
        <v>5.8662613981762899</v>
      </c>
      <c r="G387" s="133"/>
      <c r="H387" s="133"/>
      <c r="I387" s="133"/>
      <c r="J387" s="133"/>
      <c r="K387" s="133"/>
      <c r="L387" s="133"/>
      <c r="M387" s="133"/>
      <c r="N387" s="133"/>
      <c r="O387" s="133"/>
      <c r="P387" s="133"/>
      <c r="Q387" s="133"/>
      <c r="R387" s="133"/>
      <c r="S387" s="133"/>
      <c r="T387" s="133"/>
      <c r="U387" s="133"/>
      <c r="V387" s="133"/>
      <c r="W387" s="133"/>
      <c r="X387" s="133"/>
      <c r="Y387" s="133"/>
      <c r="Z387" s="133"/>
      <c r="AA387" s="133"/>
      <c r="AB387" s="133"/>
      <c r="AC387" s="133"/>
      <c r="AD387" s="133"/>
      <c r="AE387" s="133"/>
      <c r="AF387" s="133"/>
      <c r="AG387" s="133"/>
      <c r="AH387" s="133"/>
    </row>
    <row r="388" spans="1:34">
      <c r="A388" s="150"/>
      <c r="B388" s="151"/>
      <c r="C388" s="187">
        <v>1.6032028469750801</v>
      </c>
      <c r="D388" s="188">
        <v>2.88753799392097</v>
      </c>
      <c r="E388" s="189"/>
      <c r="F388" s="190"/>
      <c r="G388" s="133"/>
      <c r="H388" s="133"/>
      <c r="I388" s="133"/>
      <c r="J388" s="133"/>
      <c r="K388" s="133"/>
      <c r="L388" s="133"/>
      <c r="M388" s="133"/>
      <c r="N388" s="133"/>
      <c r="O388" s="133"/>
      <c r="P388" s="133"/>
      <c r="Q388" s="133"/>
      <c r="R388" s="133"/>
      <c r="S388" s="133"/>
      <c r="T388" s="133"/>
      <c r="U388" s="133"/>
      <c r="V388" s="133"/>
      <c r="W388" s="133"/>
      <c r="X388" s="133"/>
      <c r="Y388" s="133"/>
      <c r="Z388" s="133"/>
      <c r="AA388" s="133"/>
      <c r="AB388" s="133"/>
      <c r="AC388" s="133"/>
      <c r="AD388" s="133"/>
      <c r="AE388" s="133"/>
      <c r="AF388" s="133"/>
      <c r="AG388" s="133"/>
      <c r="AH388" s="133"/>
    </row>
    <row r="389" spans="1:34">
      <c r="A389" s="150"/>
      <c r="B389" s="151"/>
      <c r="C389" s="187">
        <v>2.1281138790035499</v>
      </c>
      <c r="D389" s="188">
        <v>4.3161094224924001</v>
      </c>
      <c r="E389" s="189"/>
      <c r="F389" s="190"/>
      <c r="G389" s="133"/>
      <c r="H389" s="133"/>
      <c r="I389" s="133"/>
      <c r="J389" s="133"/>
      <c r="K389" s="133"/>
      <c r="L389" s="133"/>
      <c r="M389" s="133"/>
      <c r="N389" s="133"/>
      <c r="O389" s="133"/>
      <c r="P389" s="133"/>
      <c r="Q389" s="133"/>
      <c r="R389" s="133"/>
      <c r="S389" s="133"/>
      <c r="T389" s="133"/>
      <c r="U389" s="133"/>
      <c r="V389" s="133"/>
      <c r="W389" s="133"/>
      <c r="X389" s="133"/>
      <c r="Y389" s="133"/>
      <c r="Z389" s="133"/>
      <c r="AA389" s="133"/>
      <c r="AB389" s="133"/>
      <c r="AC389" s="133"/>
      <c r="AD389" s="133"/>
      <c r="AE389" s="133"/>
      <c r="AF389" s="133"/>
      <c r="AG389" s="133"/>
      <c r="AH389" s="133"/>
    </row>
    <row r="390" spans="1:34">
      <c r="A390" s="150"/>
      <c r="B390" s="151"/>
      <c r="C390" s="187">
        <v>2.6530249110320199</v>
      </c>
      <c r="D390" s="188">
        <v>5.18</v>
      </c>
      <c r="E390" s="189"/>
      <c r="F390" s="190"/>
      <c r="G390" s="133"/>
      <c r="H390" s="133"/>
      <c r="I390" s="133"/>
      <c r="J390" s="133"/>
      <c r="K390" s="133"/>
      <c r="L390" s="133"/>
      <c r="M390" s="133"/>
      <c r="N390" s="133"/>
      <c r="O390" s="133"/>
      <c r="P390" s="133"/>
      <c r="Q390" s="133"/>
      <c r="R390" s="133"/>
      <c r="S390" s="133"/>
      <c r="T390" s="133"/>
      <c r="U390" s="133"/>
      <c r="V390" s="133"/>
      <c r="W390" s="133"/>
      <c r="X390" s="133"/>
      <c r="Y390" s="133"/>
      <c r="Z390" s="133"/>
      <c r="AA390" s="133"/>
      <c r="AB390" s="133"/>
      <c r="AC390" s="133"/>
      <c r="AD390" s="133"/>
      <c r="AE390" s="133"/>
      <c r="AF390" s="133"/>
      <c r="AG390" s="133"/>
      <c r="AH390" s="133"/>
    </row>
    <row r="391" spans="1:34">
      <c r="A391" s="150"/>
      <c r="B391" s="151"/>
      <c r="C391" s="187">
        <v>3.1645907473309598</v>
      </c>
      <c r="D391" s="188">
        <v>6.2917933130699</v>
      </c>
      <c r="E391" s="189"/>
      <c r="F391" s="190"/>
      <c r="G391" s="133"/>
      <c r="H391" s="133"/>
      <c r="I391" s="133"/>
      <c r="J391" s="133"/>
      <c r="K391" s="133"/>
      <c r="L391" s="133"/>
      <c r="M391" s="133"/>
      <c r="N391" s="133"/>
      <c r="O391" s="133"/>
      <c r="P391" s="133"/>
      <c r="Q391" s="133"/>
      <c r="R391" s="133"/>
      <c r="S391" s="133"/>
      <c r="T391" s="133"/>
      <c r="U391" s="133"/>
      <c r="V391" s="133"/>
      <c r="W391" s="133"/>
      <c r="X391" s="133"/>
      <c r="Y391" s="133"/>
      <c r="Z391" s="133"/>
      <c r="AA391" s="133"/>
      <c r="AB391" s="133"/>
      <c r="AC391" s="133"/>
      <c r="AD391" s="133"/>
      <c r="AE391" s="133"/>
      <c r="AF391" s="133"/>
      <c r="AG391" s="133"/>
      <c r="AH391" s="133"/>
    </row>
    <row r="392" spans="1:34">
      <c r="A392" s="150"/>
      <c r="B392" s="151"/>
      <c r="C392" s="187">
        <v>3.6895017793594298</v>
      </c>
      <c r="D392" s="188">
        <v>7.9939209726443696</v>
      </c>
      <c r="E392" s="189"/>
      <c r="F392" s="190"/>
      <c r="G392" s="133"/>
      <c r="H392" s="133"/>
      <c r="I392" s="133"/>
      <c r="J392" s="133"/>
      <c r="K392" s="133"/>
      <c r="L392" s="133"/>
      <c r="M392" s="133"/>
      <c r="N392" s="133"/>
      <c r="O392" s="133"/>
      <c r="P392" s="133"/>
      <c r="Q392" s="133"/>
      <c r="R392" s="133"/>
      <c r="S392" s="133"/>
      <c r="T392" s="133"/>
      <c r="U392" s="133"/>
      <c r="V392" s="133"/>
      <c r="W392" s="133"/>
      <c r="X392" s="133"/>
      <c r="Y392" s="133"/>
      <c r="Z392" s="133"/>
      <c r="AA392" s="133"/>
      <c r="AB392" s="133"/>
      <c r="AC392" s="133"/>
      <c r="AD392" s="133"/>
      <c r="AE392" s="133"/>
      <c r="AF392" s="133"/>
      <c r="AG392" s="133"/>
      <c r="AH392" s="133"/>
    </row>
    <row r="393" spans="1:34">
      <c r="A393" s="150"/>
      <c r="B393" s="151"/>
      <c r="C393" s="187">
        <v>4.1877224199288197</v>
      </c>
      <c r="D393" s="188">
        <v>9.3920972644376892</v>
      </c>
      <c r="E393" s="189"/>
      <c r="F393" s="190"/>
      <c r="G393" s="133"/>
      <c r="H393" s="133"/>
      <c r="I393" s="133"/>
      <c r="J393" s="133"/>
      <c r="K393" s="133"/>
      <c r="L393" s="133"/>
      <c r="M393" s="133"/>
      <c r="N393" s="133"/>
      <c r="O393" s="133"/>
      <c r="P393" s="133"/>
      <c r="Q393" s="133"/>
      <c r="R393" s="133"/>
      <c r="S393" s="133"/>
      <c r="T393" s="133"/>
      <c r="U393" s="133"/>
      <c r="V393" s="133"/>
      <c r="W393" s="133"/>
      <c r="X393" s="133"/>
      <c r="Y393" s="133"/>
      <c r="Z393" s="133"/>
      <c r="AA393" s="133"/>
      <c r="AB393" s="133"/>
      <c r="AC393" s="133"/>
      <c r="AD393" s="133"/>
      <c r="AE393" s="133"/>
      <c r="AF393" s="133"/>
      <c r="AG393" s="133"/>
      <c r="AH393" s="133"/>
    </row>
    <row r="394" spans="1:34">
      <c r="A394" s="150"/>
      <c r="B394" s="151"/>
      <c r="C394" s="187">
        <v>4.6859430604982197</v>
      </c>
      <c r="D394" s="188">
        <v>14.285714285714199</v>
      </c>
      <c r="E394" s="189"/>
      <c r="F394" s="190"/>
      <c r="G394" s="133"/>
      <c r="H394" s="133"/>
      <c r="I394" s="133"/>
      <c r="J394" s="133"/>
      <c r="K394" s="133"/>
      <c r="L394" s="133"/>
      <c r="M394" s="133"/>
      <c r="N394" s="133"/>
      <c r="O394" s="133"/>
      <c r="P394" s="133"/>
      <c r="Q394" s="133"/>
      <c r="R394" s="133"/>
      <c r="S394" s="133"/>
      <c r="T394" s="133"/>
      <c r="U394" s="133"/>
      <c r="V394" s="133"/>
      <c r="W394" s="133"/>
      <c r="X394" s="133"/>
      <c r="Y394" s="133"/>
      <c r="Z394" s="133"/>
      <c r="AA394" s="133"/>
      <c r="AB394" s="133"/>
      <c r="AC394" s="133"/>
      <c r="AD394" s="133"/>
      <c r="AE394" s="133"/>
      <c r="AF394" s="133"/>
      <c r="AG394" s="133"/>
      <c r="AH394" s="133"/>
    </row>
    <row r="395" spans="1:34" ht="14.5" thickBot="1">
      <c r="A395" s="159"/>
      <c r="B395" s="160"/>
      <c r="C395" s="181"/>
      <c r="D395" s="182"/>
      <c r="E395" s="183"/>
      <c r="F395" s="182"/>
      <c r="G395" s="133"/>
      <c r="H395" s="133"/>
      <c r="I395" s="133"/>
      <c r="J395" s="133"/>
      <c r="K395" s="133"/>
      <c r="L395" s="133"/>
      <c r="M395" s="133"/>
      <c r="N395" s="133"/>
      <c r="O395" s="133"/>
      <c r="P395" s="133"/>
      <c r="Q395" s="133"/>
      <c r="R395" s="133"/>
      <c r="S395" s="133"/>
      <c r="T395" s="133"/>
      <c r="U395" s="133"/>
      <c r="V395" s="133"/>
      <c r="W395" s="133"/>
      <c r="X395" s="133"/>
      <c r="Y395" s="133"/>
      <c r="Z395" s="133"/>
      <c r="AA395" s="133"/>
      <c r="AB395" s="133"/>
      <c r="AC395" s="133"/>
      <c r="AD395" s="133"/>
      <c r="AE395" s="133"/>
      <c r="AF395" s="133"/>
      <c r="AG395" s="133"/>
      <c r="AH395" s="133"/>
    </row>
    <row r="396" spans="1:34">
      <c r="G396" s="133"/>
      <c r="H396" s="133"/>
      <c r="I396" s="133"/>
      <c r="J396" s="133"/>
      <c r="K396" s="133"/>
      <c r="L396" s="133"/>
      <c r="M396" s="133"/>
      <c r="N396" s="133"/>
      <c r="O396" s="133"/>
      <c r="P396" s="133"/>
      <c r="Q396" s="133"/>
      <c r="R396" s="133"/>
      <c r="S396" s="133"/>
      <c r="T396" s="133"/>
      <c r="U396" s="133"/>
      <c r="V396" s="133"/>
      <c r="W396" s="133"/>
      <c r="X396" s="133"/>
      <c r="Y396" s="133"/>
      <c r="Z396" s="133"/>
      <c r="AA396" s="133"/>
      <c r="AB396" s="133"/>
      <c r="AC396" s="133"/>
      <c r="AD396" s="133"/>
      <c r="AE396" s="133"/>
      <c r="AF396" s="133"/>
      <c r="AG396" s="133"/>
      <c r="AH396" s="133"/>
    </row>
    <row r="397" spans="1:34">
      <c r="G397" s="133"/>
      <c r="H397" s="133"/>
      <c r="I397" s="133"/>
      <c r="J397" s="133"/>
      <c r="K397" s="133"/>
      <c r="L397" s="133"/>
      <c r="M397" s="133"/>
      <c r="N397" s="133"/>
      <c r="O397" s="133"/>
      <c r="P397" s="133"/>
      <c r="Q397" s="133"/>
      <c r="R397" s="133"/>
      <c r="S397" s="133"/>
      <c r="T397" s="133"/>
      <c r="U397" s="133"/>
      <c r="V397" s="133"/>
      <c r="W397" s="133"/>
      <c r="X397" s="133"/>
      <c r="Y397" s="133"/>
      <c r="Z397" s="133"/>
      <c r="AA397" s="133"/>
      <c r="AB397" s="133"/>
      <c r="AC397" s="133"/>
      <c r="AD397" s="133"/>
      <c r="AE397" s="133"/>
      <c r="AF397" s="133"/>
      <c r="AG397" s="133"/>
      <c r="AH397" s="133"/>
    </row>
    <row r="398" spans="1:34">
      <c r="A398" s="130"/>
      <c r="B398" s="130"/>
      <c r="C398" s="131" t="s">
        <v>910</v>
      </c>
      <c r="D398" s="130"/>
      <c r="E398" s="130"/>
      <c r="F398" s="185" t="s">
        <v>870</v>
      </c>
      <c r="G398" s="133"/>
      <c r="H398" s="133"/>
      <c r="I398" s="133"/>
      <c r="J398" s="133"/>
      <c r="K398" s="133"/>
      <c r="L398" s="133"/>
      <c r="M398" s="133"/>
      <c r="N398" s="133"/>
      <c r="O398" s="133"/>
      <c r="P398" s="133"/>
      <c r="Q398" s="133"/>
      <c r="R398" s="133"/>
      <c r="S398" s="133"/>
      <c r="T398" s="133"/>
      <c r="U398" s="133"/>
      <c r="V398" s="133"/>
      <c r="W398" s="133"/>
      <c r="X398" s="133"/>
      <c r="Y398" s="133"/>
      <c r="Z398" s="133"/>
      <c r="AA398" s="133"/>
      <c r="AB398" s="133"/>
      <c r="AC398" s="133"/>
      <c r="AD398" s="133"/>
      <c r="AE398" s="133"/>
      <c r="AF398" s="133"/>
      <c r="AG398" s="133"/>
      <c r="AH398" s="133"/>
    </row>
    <row r="399" spans="1:34">
      <c r="C399" s="132" t="s">
        <v>856</v>
      </c>
      <c r="D399" s="132" t="s">
        <v>856</v>
      </c>
      <c r="G399" s="133"/>
      <c r="H399" s="133"/>
      <c r="I399" s="133"/>
      <c r="J399" s="133"/>
      <c r="K399" s="133"/>
      <c r="L399" s="133"/>
      <c r="M399" s="133"/>
      <c r="N399" s="133"/>
      <c r="O399" s="133"/>
      <c r="P399" s="133"/>
      <c r="Q399" s="133"/>
      <c r="R399" s="133"/>
      <c r="S399" s="133"/>
      <c r="T399" s="133"/>
      <c r="U399" s="133"/>
      <c r="V399" s="133"/>
      <c r="W399" s="133"/>
      <c r="X399" s="133"/>
      <c r="Y399" s="133"/>
      <c r="Z399" s="133"/>
      <c r="AA399" s="133"/>
      <c r="AB399" s="133"/>
      <c r="AC399" s="133"/>
      <c r="AD399" s="133"/>
      <c r="AE399" s="133"/>
      <c r="AF399" s="133"/>
      <c r="AG399" s="133"/>
      <c r="AH399" s="133"/>
    </row>
    <row r="400" spans="1:34" ht="14.5" thickBot="1">
      <c r="C400" s="134" t="s">
        <v>813</v>
      </c>
      <c r="D400" s="134" t="s">
        <v>813</v>
      </c>
      <c r="E400" s="135" t="s">
        <v>857</v>
      </c>
      <c r="F400" s="135" t="s">
        <v>857</v>
      </c>
      <c r="G400" s="133"/>
      <c r="H400" s="133"/>
      <c r="I400" s="133"/>
      <c r="J400" s="133"/>
      <c r="K400" s="133"/>
      <c r="L400" s="133"/>
      <c r="M400" s="133"/>
      <c r="N400" s="133"/>
      <c r="O400" s="133"/>
      <c r="P400" s="133"/>
      <c r="Q400" s="133"/>
      <c r="R400" s="133"/>
      <c r="S400" s="133"/>
      <c r="T400" s="133"/>
      <c r="U400" s="133"/>
      <c r="V400" s="133"/>
      <c r="W400" s="133"/>
      <c r="X400" s="133"/>
      <c r="Y400" s="133"/>
      <c r="Z400" s="133"/>
      <c r="AA400" s="133"/>
      <c r="AB400" s="133"/>
      <c r="AC400" s="133"/>
      <c r="AD400" s="133"/>
      <c r="AE400" s="133"/>
      <c r="AF400" s="133"/>
      <c r="AG400" s="133"/>
      <c r="AH400" s="133"/>
    </row>
    <row r="401" spans="1:34">
      <c r="C401" s="136" t="s">
        <v>858</v>
      </c>
      <c r="D401" s="137" t="s">
        <v>859</v>
      </c>
      <c r="E401" s="136" t="s">
        <v>858</v>
      </c>
      <c r="F401" s="137" t="s">
        <v>859</v>
      </c>
      <c r="G401" s="133"/>
      <c r="H401" s="133"/>
      <c r="I401" s="133"/>
      <c r="J401" s="133"/>
      <c r="K401" s="133"/>
      <c r="L401" s="133"/>
      <c r="M401" s="133"/>
      <c r="N401" s="133"/>
      <c r="O401" s="133"/>
      <c r="P401" s="133"/>
      <c r="Q401" s="133"/>
      <c r="R401" s="133"/>
      <c r="S401" s="133"/>
      <c r="T401" s="133"/>
      <c r="U401" s="133"/>
      <c r="V401" s="133"/>
      <c r="W401" s="133"/>
      <c r="X401" s="133"/>
      <c r="Y401" s="133"/>
      <c r="Z401" s="133"/>
      <c r="AA401" s="133"/>
      <c r="AB401" s="133"/>
      <c r="AC401" s="133"/>
      <c r="AD401" s="133"/>
      <c r="AE401" s="133"/>
      <c r="AF401" s="133"/>
      <c r="AG401" s="133"/>
      <c r="AH401" s="133"/>
    </row>
    <row r="402" spans="1:34" ht="14.5" thickBot="1">
      <c r="A402" s="138" t="s">
        <v>860</v>
      </c>
      <c r="B402" s="139" t="s">
        <v>861</v>
      </c>
      <c r="C402" s="205" t="s">
        <v>862</v>
      </c>
      <c r="D402" s="206" t="s">
        <v>863</v>
      </c>
      <c r="E402" s="205" t="s">
        <v>862</v>
      </c>
      <c r="F402" s="206" t="s">
        <v>863</v>
      </c>
      <c r="G402" s="133"/>
      <c r="H402" s="133"/>
      <c r="I402" s="133"/>
      <c r="J402" s="133"/>
      <c r="K402" s="133"/>
      <c r="L402" s="133"/>
      <c r="M402" s="133"/>
      <c r="N402" s="133"/>
      <c r="O402" s="133"/>
      <c r="P402" s="133"/>
      <c r="Q402" s="133"/>
      <c r="R402" s="133"/>
      <c r="S402" s="133"/>
      <c r="T402" s="133"/>
      <c r="U402" s="133"/>
      <c r="V402" s="133"/>
      <c r="W402" s="133"/>
      <c r="X402" s="133"/>
      <c r="Y402" s="133"/>
      <c r="Z402" s="133"/>
      <c r="AA402" s="133"/>
      <c r="AB402" s="133"/>
      <c r="AC402" s="133"/>
      <c r="AD402" s="133"/>
      <c r="AE402" s="133"/>
      <c r="AF402" s="133"/>
      <c r="AG402" s="133"/>
      <c r="AH402" s="133"/>
    </row>
    <row r="403" spans="1:34">
      <c r="A403" s="144">
        <v>29</v>
      </c>
      <c r="B403" s="145" t="s">
        <v>911</v>
      </c>
      <c r="C403" s="187">
        <v>0.54520795660036103</v>
      </c>
      <c r="D403" s="188">
        <v>2.37</v>
      </c>
      <c r="E403" s="187">
        <v>3.1749999999999998</v>
      </c>
      <c r="F403" s="188">
        <v>17.100000000000001</v>
      </c>
      <c r="G403" s="133"/>
      <c r="H403" s="133"/>
      <c r="I403" s="133"/>
      <c r="J403" s="133"/>
      <c r="K403" s="133"/>
      <c r="L403" s="133"/>
      <c r="M403" s="133"/>
      <c r="N403" s="133"/>
      <c r="O403" s="133"/>
      <c r="P403" s="133"/>
      <c r="Q403" s="133"/>
      <c r="R403" s="133"/>
      <c r="S403" s="133"/>
      <c r="T403" s="133"/>
      <c r="U403" s="133"/>
      <c r="V403" s="133"/>
      <c r="W403" s="133"/>
      <c r="X403" s="133"/>
      <c r="Y403" s="133"/>
      <c r="Z403" s="133"/>
      <c r="AA403" s="133"/>
      <c r="AB403" s="133"/>
      <c r="AC403" s="133"/>
      <c r="AD403" s="133"/>
      <c r="AE403" s="133"/>
      <c r="AF403" s="133"/>
      <c r="AG403" s="133"/>
      <c r="AH403" s="133"/>
    </row>
    <row r="404" spans="1:34">
      <c r="A404" s="150"/>
      <c r="B404" s="151"/>
      <c r="C404" s="187">
        <v>1.08318264014466</v>
      </c>
      <c r="D404" s="188">
        <v>3.9</v>
      </c>
      <c r="E404" s="187">
        <v>3.6909999999999998</v>
      </c>
      <c r="F404" s="188">
        <v>9.6199999999999992</v>
      </c>
      <c r="G404" s="133"/>
      <c r="H404" s="133"/>
      <c r="I404" s="133"/>
      <c r="J404" s="133"/>
      <c r="K404" s="133"/>
      <c r="L404" s="133"/>
      <c r="M404" s="133"/>
      <c r="N404" s="133"/>
      <c r="O404" s="133"/>
      <c r="P404" s="133"/>
      <c r="Q404" s="133"/>
      <c r="R404" s="133"/>
      <c r="S404" s="133"/>
      <c r="T404" s="133"/>
      <c r="U404" s="133"/>
      <c r="V404" s="133"/>
      <c r="W404" s="133"/>
      <c r="X404" s="133"/>
      <c r="Y404" s="133"/>
      <c r="Z404" s="133"/>
      <c r="AA404" s="133"/>
      <c r="AB404" s="133"/>
      <c r="AC404" s="133"/>
      <c r="AD404" s="133"/>
      <c r="AE404" s="133"/>
      <c r="AF404" s="133"/>
      <c r="AG404" s="133"/>
      <c r="AH404" s="133"/>
    </row>
    <row r="405" spans="1:34">
      <c r="A405" s="150"/>
      <c r="B405" s="151"/>
      <c r="C405" s="187">
        <v>1.62</v>
      </c>
      <c r="D405" s="188">
        <v>5.31</v>
      </c>
      <c r="E405" s="187">
        <v>4.2</v>
      </c>
      <c r="F405" s="188">
        <v>4.8499999999999996</v>
      </c>
      <c r="G405" s="133"/>
      <c r="H405" s="133"/>
      <c r="I405" s="133"/>
      <c r="J405" s="133"/>
      <c r="K405" s="133"/>
      <c r="L405" s="133"/>
      <c r="M405" s="133"/>
      <c r="N405" s="133"/>
      <c r="O405" s="133"/>
      <c r="P405" s="133"/>
      <c r="Q405" s="133"/>
      <c r="R405" s="133"/>
      <c r="S405" s="133"/>
      <c r="T405" s="133"/>
      <c r="U405" s="133"/>
      <c r="V405" s="133"/>
      <c r="W405" s="133"/>
      <c r="X405" s="133"/>
      <c r="Y405" s="133"/>
      <c r="Z405" s="133"/>
      <c r="AA405" s="133"/>
      <c r="AB405" s="133"/>
      <c r="AC405" s="133"/>
      <c r="AD405" s="133"/>
      <c r="AE405" s="133"/>
      <c r="AF405" s="133"/>
      <c r="AG405" s="133"/>
      <c r="AH405" s="133"/>
    </row>
    <row r="406" spans="1:34">
      <c r="A406" s="150"/>
      <c r="B406" s="151"/>
      <c r="C406" s="187">
        <v>2.14</v>
      </c>
      <c r="D406" s="188">
        <v>7.15</v>
      </c>
      <c r="E406" s="187">
        <v>4.7</v>
      </c>
      <c r="F406" s="188">
        <v>3.9</v>
      </c>
      <c r="G406" s="133"/>
      <c r="H406" s="133"/>
      <c r="I406" s="133"/>
      <c r="J406" s="133"/>
      <c r="K406" s="133"/>
      <c r="L406" s="133"/>
      <c r="M406" s="133"/>
      <c r="N406" s="133"/>
      <c r="O406" s="133"/>
      <c r="P406" s="133"/>
      <c r="Q406" s="133"/>
      <c r="R406" s="133"/>
      <c r="S406" s="133"/>
      <c r="T406" s="133"/>
      <c r="U406" s="133"/>
      <c r="V406" s="133"/>
      <c r="W406" s="133"/>
      <c r="X406" s="133"/>
      <c r="Y406" s="133"/>
      <c r="Z406" s="133"/>
      <c r="AA406" s="133"/>
      <c r="AB406" s="133"/>
      <c r="AC406" s="133"/>
      <c r="AD406" s="133"/>
      <c r="AE406" s="133"/>
      <c r="AF406" s="133"/>
      <c r="AG406" s="133"/>
      <c r="AH406" s="133"/>
    </row>
    <row r="407" spans="1:34">
      <c r="A407" s="150"/>
      <c r="B407" s="151"/>
      <c r="C407" s="187">
        <v>2.66</v>
      </c>
      <c r="D407" s="188">
        <v>10.4923076923076</v>
      </c>
      <c r="E407" s="187">
        <v>5.2050000000000001</v>
      </c>
      <c r="F407" s="188">
        <v>2.4</v>
      </c>
      <c r="G407" s="133"/>
      <c r="H407" s="133"/>
      <c r="I407" s="133"/>
      <c r="J407" s="133"/>
      <c r="K407" s="133"/>
      <c r="L407" s="133"/>
      <c r="M407" s="133"/>
      <c r="N407" s="133"/>
      <c r="O407" s="133"/>
      <c r="P407" s="133"/>
      <c r="Q407" s="133"/>
      <c r="R407" s="133"/>
      <c r="S407" s="133"/>
      <c r="T407" s="133"/>
      <c r="U407" s="133"/>
      <c r="V407" s="133"/>
      <c r="W407" s="133"/>
      <c r="X407" s="133"/>
      <c r="Y407" s="133"/>
      <c r="Z407" s="133"/>
      <c r="AA407" s="133"/>
      <c r="AB407" s="133"/>
      <c r="AC407" s="133"/>
      <c r="AD407" s="133"/>
      <c r="AE407" s="133"/>
      <c r="AF407" s="133"/>
      <c r="AG407" s="133"/>
      <c r="AH407" s="133"/>
    </row>
    <row r="408" spans="1:34">
      <c r="A408" s="150"/>
      <c r="B408" s="151"/>
      <c r="C408" s="187">
        <v>3.18</v>
      </c>
      <c r="D408" s="188">
        <v>13.7846153846153</v>
      </c>
      <c r="E408" s="189"/>
      <c r="F408" s="190"/>
      <c r="G408" s="133"/>
      <c r="H408" s="133"/>
      <c r="I408" s="133"/>
      <c r="J408" s="133"/>
      <c r="K408" s="133"/>
      <c r="L408" s="133"/>
      <c r="M408" s="133"/>
      <c r="N408" s="133"/>
      <c r="O408" s="133"/>
      <c r="P408" s="133"/>
      <c r="Q408" s="133"/>
      <c r="R408" s="133"/>
      <c r="S408" s="133"/>
      <c r="T408" s="133"/>
      <c r="U408" s="133"/>
      <c r="V408" s="133"/>
      <c r="W408" s="133"/>
      <c r="X408" s="133"/>
      <c r="Y408" s="133"/>
      <c r="Z408" s="133"/>
      <c r="AA408" s="133"/>
      <c r="AB408" s="133"/>
      <c r="AC408" s="133"/>
      <c r="AD408" s="133"/>
      <c r="AE408" s="133"/>
      <c r="AF408" s="133"/>
      <c r="AG408" s="133"/>
      <c r="AH408" s="133"/>
    </row>
    <row r="409" spans="1:34">
      <c r="A409" s="150"/>
      <c r="B409" s="151"/>
      <c r="C409" s="187">
        <v>3.6949999999999998</v>
      </c>
      <c r="D409" s="188">
        <v>18.315000000000001</v>
      </c>
      <c r="E409" s="189"/>
      <c r="F409" s="190"/>
      <c r="G409" s="133"/>
      <c r="H409" s="133"/>
      <c r="I409" s="133"/>
      <c r="J409" s="133"/>
      <c r="K409" s="133"/>
      <c r="L409" s="133"/>
      <c r="M409" s="133"/>
      <c r="N409" s="133"/>
      <c r="O409" s="133"/>
      <c r="P409" s="133"/>
      <c r="Q409" s="133"/>
      <c r="R409" s="133"/>
      <c r="S409" s="133"/>
      <c r="T409" s="133"/>
      <c r="U409" s="133"/>
      <c r="V409" s="133"/>
      <c r="W409" s="133"/>
      <c r="X409" s="133"/>
      <c r="Y409" s="133"/>
      <c r="Z409" s="133"/>
      <c r="AA409" s="133"/>
      <c r="AB409" s="133"/>
      <c r="AC409" s="133"/>
      <c r="AD409" s="133"/>
      <c r="AE409" s="133"/>
      <c r="AF409" s="133"/>
      <c r="AG409" s="133"/>
      <c r="AH409" s="133"/>
    </row>
    <row r="410" spans="1:34">
      <c r="A410" s="150"/>
      <c r="B410" s="151"/>
      <c r="C410" s="178"/>
      <c r="D410" s="179"/>
      <c r="E410" s="189"/>
      <c r="F410" s="190"/>
      <c r="G410" s="133"/>
      <c r="H410" s="133"/>
      <c r="I410" s="133"/>
      <c r="J410" s="133"/>
      <c r="K410" s="133"/>
      <c r="L410" s="133"/>
      <c r="M410" s="133"/>
      <c r="N410" s="133"/>
      <c r="O410" s="133"/>
      <c r="P410" s="133"/>
      <c r="Q410" s="133"/>
      <c r="R410" s="133"/>
      <c r="S410" s="133"/>
      <c r="T410" s="133"/>
      <c r="U410" s="133"/>
      <c r="V410" s="133"/>
      <c r="W410" s="133"/>
      <c r="X410" s="133"/>
      <c r="Y410" s="133"/>
      <c r="Z410" s="133"/>
      <c r="AA410" s="133"/>
      <c r="AB410" s="133"/>
      <c r="AC410" s="133"/>
      <c r="AD410" s="133"/>
      <c r="AE410" s="133"/>
      <c r="AF410" s="133"/>
      <c r="AG410" s="133"/>
      <c r="AH410" s="133"/>
    </row>
    <row r="411" spans="1:34">
      <c r="A411" s="150"/>
      <c r="B411" s="151"/>
      <c r="C411" s="178"/>
      <c r="D411" s="179"/>
      <c r="E411" s="189"/>
      <c r="F411" s="190"/>
      <c r="G411" s="133"/>
      <c r="H411" s="133"/>
      <c r="I411" s="133"/>
      <c r="J411" s="133"/>
      <c r="K411" s="133"/>
      <c r="L411" s="133"/>
      <c r="M411" s="133"/>
      <c r="N411" s="133"/>
      <c r="O411" s="133"/>
      <c r="P411" s="133"/>
      <c r="Q411" s="133"/>
      <c r="R411" s="133"/>
      <c r="S411" s="133"/>
      <c r="T411" s="133"/>
      <c r="U411" s="133"/>
      <c r="V411" s="133"/>
      <c r="W411" s="133"/>
      <c r="X411" s="133"/>
      <c r="Y411" s="133"/>
      <c r="Z411" s="133"/>
      <c r="AA411" s="133"/>
      <c r="AB411" s="133"/>
      <c r="AC411" s="133"/>
      <c r="AD411" s="133"/>
      <c r="AE411" s="133"/>
      <c r="AF411" s="133"/>
      <c r="AG411" s="133"/>
      <c r="AH411" s="133"/>
    </row>
    <row r="412" spans="1:34" ht="14.5" thickBot="1">
      <c r="A412" s="159"/>
      <c r="B412" s="160"/>
      <c r="C412" s="181"/>
      <c r="D412" s="182"/>
      <c r="E412" s="183"/>
      <c r="F412" s="182"/>
      <c r="G412" s="133"/>
      <c r="H412" s="133"/>
      <c r="I412" s="133"/>
      <c r="J412" s="133"/>
      <c r="K412" s="133"/>
      <c r="L412" s="133"/>
      <c r="M412" s="133"/>
      <c r="N412" s="133"/>
      <c r="O412" s="133"/>
      <c r="P412" s="133"/>
      <c r="Q412" s="133"/>
      <c r="R412" s="133"/>
      <c r="S412" s="133"/>
      <c r="T412" s="133"/>
      <c r="U412" s="133"/>
      <c r="V412" s="133"/>
      <c r="W412" s="133"/>
      <c r="X412" s="133"/>
      <c r="Y412" s="133"/>
      <c r="Z412" s="133"/>
      <c r="AA412" s="133"/>
      <c r="AB412" s="133"/>
      <c r="AC412" s="133"/>
      <c r="AD412" s="133"/>
      <c r="AE412" s="133"/>
      <c r="AF412" s="133"/>
      <c r="AG412" s="133"/>
      <c r="AH412" s="133"/>
    </row>
    <row r="413" spans="1:34">
      <c r="G413" s="133"/>
      <c r="H413" s="133"/>
      <c r="I413" s="133"/>
      <c r="J413" s="133"/>
      <c r="K413" s="133"/>
      <c r="L413" s="133"/>
      <c r="M413" s="133"/>
      <c r="N413" s="133"/>
      <c r="O413" s="133"/>
      <c r="P413" s="133"/>
      <c r="Q413" s="133"/>
      <c r="R413" s="133"/>
      <c r="S413" s="133"/>
      <c r="T413" s="133"/>
      <c r="U413" s="133"/>
      <c r="V413" s="133"/>
      <c r="W413" s="133"/>
      <c r="X413" s="133"/>
      <c r="Y413" s="133"/>
      <c r="Z413" s="133"/>
      <c r="AA413" s="133"/>
      <c r="AB413" s="133"/>
      <c r="AC413" s="133"/>
      <c r="AD413" s="133"/>
      <c r="AE413" s="133"/>
      <c r="AF413" s="133"/>
      <c r="AG413" s="133"/>
      <c r="AH413" s="133"/>
    </row>
    <row r="414" spans="1:34">
      <c r="G414" s="133"/>
      <c r="H414" s="133"/>
      <c r="I414" s="133"/>
      <c r="J414" s="133"/>
      <c r="K414" s="133"/>
      <c r="L414" s="133"/>
      <c r="M414" s="133"/>
      <c r="N414" s="133"/>
      <c r="O414" s="133"/>
      <c r="P414" s="133"/>
      <c r="Q414" s="133"/>
      <c r="R414" s="133"/>
      <c r="S414" s="133"/>
      <c r="T414" s="133"/>
      <c r="U414" s="133"/>
      <c r="V414" s="133"/>
      <c r="W414" s="133"/>
      <c r="X414" s="133"/>
      <c r="Y414" s="133"/>
      <c r="Z414" s="133"/>
      <c r="AA414" s="133"/>
      <c r="AB414" s="133"/>
      <c r="AC414" s="133"/>
      <c r="AD414" s="133"/>
      <c r="AE414" s="133"/>
      <c r="AF414" s="133"/>
      <c r="AG414" s="133"/>
      <c r="AH414" s="133"/>
    </row>
    <row r="415" spans="1:34">
      <c r="A415" s="130"/>
      <c r="B415" s="130"/>
      <c r="C415" s="131" t="s">
        <v>912</v>
      </c>
      <c r="D415" s="130"/>
      <c r="E415" s="130"/>
      <c r="F415" s="185" t="s">
        <v>870</v>
      </c>
      <c r="G415" s="133"/>
      <c r="H415" s="133"/>
      <c r="I415" s="133"/>
      <c r="J415" s="133"/>
      <c r="K415" s="133"/>
      <c r="L415" s="133"/>
      <c r="M415" s="133"/>
      <c r="N415" s="133"/>
      <c r="O415" s="133"/>
      <c r="P415" s="133"/>
      <c r="Q415" s="133"/>
      <c r="R415" s="133"/>
      <c r="S415" s="133"/>
      <c r="T415" s="133"/>
      <c r="U415" s="133"/>
      <c r="V415" s="133"/>
      <c r="W415" s="133"/>
      <c r="X415" s="133"/>
      <c r="Y415" s="133"/>
      <c r="Z415" s="133"/>
      <c r="AA415" s="133"/>
      <c r="AB415" s="133"/>
      <c r="AC415" s="133"/>
      <c r="AD415" s="133"/>
      <c r="AE415" s="133"/>
      <c r="AF415" s="133"/>
      <c r="AG415" s="133"/>
      <c r="AH415" s="133"/>
    </row>
    <row r="416" spans="1:34">
      <c r="C416" s="132" t="s">
        <v>856</v>
      </c>
      <c r="D416" s="132" t="s">
        <v>856</v>
      </c>
      <c r="G416" s="133"/>
      <c r="H416" s="133"/>
      <c r="I416" s="133"/>
      <c r="J416" s="133"/>
      <c r="K416" s="133"/>
      <c r="L416" s="133"/>
      <c r="M416" s="133"/>
      <c r="N416" s="133"/>
      <c r="O416" s="133"/>
      <c r="P416" s="133"/>
      <c r="Q416" s="133"/>
      <c r="R416" s="133"/>
      <c r="S416" s="133"/>
      <c r="T416" s="133"/>
      <c r="U416" s="133"/>
      <c r="V416" s="133"/>
      <c r="W416" s="133"/>
      <c r="X416" s="133"/>
      <c r="Y416" s="133"/>
      <c r="Z416" s="133"/>
      <c r="AA416" s="133"/>
      <c r="AB416" s="133"/>
      <c r="AC416" s="133"/>
      <c r="AD416" s="133"/>
      <c r="AE416" s="133"/>
      <c r="AF416" s="133"/>
      <c r="AG416" s="133"/>
      <c r="AH416" s="133"/>
    </row>
    <row r="417" spans="1:35" ht="14.5" thickBot="1">
      <c r="C417" s="134" t="s">
        <v>813</v>
      </c>
      <c r="D417" s="134" t="s">
        <v>813</v>
      </c>
      <c r="E417" s="135" t="s">
        <v>857</v>
      </c>
      <c r="F417" s="135" t="s">
        <v>857</v>
      </c>
      <c r="G417" s="133"/>
      <c r="H417" s="133"/>
      <c r="I417" s="133"/>
      <c r="J417" s="133"/>
      <c r="K417" s="133"/>
      <c r="L417" s="133"/>
      <c r="M417" s="133"/>
      <c r="N417" s="133"/>
      <c r="O417" s="133"/>
      <c r="P417" s="133"/>
      <c r="Q417" s="133"/>
      <c r="R417" s="133"/>
      <c r="S417" s="133"/>
      <c r="T417" s="133"/>
      <c r="U417" s="133"/>
      <c r="V417" s="133"/>
      <c r="W417" s="133"/>
      <c r="X417" s="133"/>
      <c r="Y417" s="133"/>
      <c r="Z417" s="133"/>
      <c r="AA417" s="133"/>
      <c r="AB417" s="133"/>
      <c r="AC417" s="133"/>
      <c r="AD417" s="133"/>
      <c r="AE417" s="133"/>
      <c r="AF417" s="133"/>
      <c r="AG417" s="133"/>
      <c r="AH417" s="133"/>
    </row>
    <row r="418" spans="1:35">
      <c r="C418" s="136" t="s">
        <v>858</v>
      </c>
      <c r="D418" s="137" t="s">
        <v>859</v>
      </c>
      <c r="E418" s="136" t="s">
        <v>858</v>
      </c>
      <c r="F418" s="137" t="s">
        <v>859</v>
      </c>
      <c r="G418" s="133"/>
      <c r="H418" s="133"/>
      <c r="I418" s="133"/>
      <c r="J418" s="133"/>
      <c r="K418" s="133"/>
      <c r="L418" s="133"/>
      <c r="M418" s="133"/>
      <c r="N418" s="133"/>
      <c r="O418" s="133"/>
      <c r="P418" s="133"/>
      <c r="Q418" s="133"/>
      <c r="R418" s="133"/>
      <c r="S418" s="133"/>
      <c r="T418" s="133"/>
      <c r="U418" s="133"/>
      <c r="V418" s="133"/>
      <c r="W418" s="133"/>
      <c r="X418" s="133"/>
      <c r="Y418" s="133"/>
      <c r="Z418" s="133"/>
      <c r="AA418" s="133"/>
      <c r="AB418" s="133"/>
      <c r="AC418" s="133"/>
      <c r="AD418" s="133"/>
      <c r="AE418" s="133"/>
      <c r="AF418" s="133"/>
      <c r="AG418" s="133"/>
      <c r="AH418" s="133"/>
    </row>
    <row r="419" spans="1:35" ht="14.5" thickBot="1">
      <c r="A419" s="138" t="s">
        <v>860</v>
      </c>
      <c r="B419" s="139" t="s">
        <v>861</v>
      </c>
      <c r="C419" s="205" t="s">
        <v>862</v>
      </c>
      <c r="D419" s="206" t="s">
        <v>863</v>
      </c>
      <c r="E419" s="205" t="s">
        <v>862</v>
      </c>
      <c r="F419" s="206" t="s">
        <v>863</v>
      </c>
      <c r="G419" s="133"/>
      <c r="H419" s="133"/>
      <c r="I419" s="133"/>
      <c r="J419" s="133"/>
      <c r="K419" s="133"/>
      <c r="L419" s="133"/>
      <c r="M419" s="133"/>
      <c r="N419" s="133"/>
      <c r="O419" s="133"/>
      <c r="P419" s="133"/>
      <c r="Q419" s="133"/>
      <c r="R419" s="133"/>
      <c r="S419" s="133"/>
      <c r="T419" s="133"/>
      <c r="U419" s="133"/>
      <c r="V419" s="133"/>
      <c r="W419" s="133"/>
      <c r="X419" s="133"/>
      <c r="Y419" s="133"/>
      <c r="Z419" s="133"/>
      <c r="AA419" s="133"/>
      <c r="AB419" s="133"/>
      <c r="AC419" s="133"/>
      <c r="AD419" s="133"/>
      <c r="AE419" s="133"/>
      <c r="AF419" s="133"/>
      <c r="AG419" s="133"/>
      <c r="AH419" s="133"/>
    </row>
    <row r="420" spans="1:35">
      <c r="A420" s="144">
        <v>29</v>
      </c>
      <c r="B420" s="145" t="s">
        <v>913</v>
      </c>
      <c r="C420" s="187">
        <v>0.53533568904593598</v>
      </c>
      <c r="D420" s="188">
        <v>4.7297297297297298</v>
      </c>
      <c r="E420" s="187">
        <v>2.64664310954063</v>
      </c>
      <c r="F420" s="188">
        <v>16.936936936936899</v>
      </c>
      <c r="G420" s="133"/>
      <c r="H420" s="133"/>
      <c r="I420" s="133"/>
      <c r="J420" s="133"/>
      <c r="K420" s="133"/>
      <c r="L420" s="133"/>
      <c r="M420" s="133"/>
      <c r="N420" s="133"/>
      <c r="O420" s="133"/>
      <c r="P420" s="133"/>
      <c r="Q420" s="133"/>
      <c r="R420" s="133"/>
      <c r="S420" s="133"/>
      <c r="T420" s="133"/>
      <c r="U420" s="133"/>
      <c r="V420" s="133"/>
      <c r="W420" s="133"/>
      <c r="X420" s="133"/>
      <c r="Y420" s="133"/>
      <c r="Z420" s="133"/>
      <c r="AA420" s="133"/>
      <c r="AB420" s="133"/>
      <c r="AC420" s="133"/>
      <c r="AD420" s="133"/>
      <c r="AE420" s="133"/>
      <c r="AF420" s="133"/>
      <c r="AG420" s="133"/>
      <c r="AH420" s="133"/>
    </row>
    <row r="421" spans="1:35">
      <c r="A421" s="150"/>
      <c r="B421" s="151"/>
      <c r="C421" s="187">
        <v>1.0786219081271999</v>
      </c>
      <c r="D421" s="188">
        <v>5.6306306306306304</v>
      </c>
      <c r="E421" s="187">
        <v>3.1678445229681902</v>
      </c>
      <c r="F421" s="188">
        <v>8.7837837837837807</v>
      </c>
      <c r="G421" s="133"/>
      <c r="H421" s="133"/>
      <c r="I421" s="133"/>
      <c r="J421" s="133"/>
      <c r="K421" s="133"/>
      <c r="L421" s="133"/>
      <c r="M421" s="133"/>
      <c r="N421" s="133"/>
      <c r="O421" s="133"/>
      <c r="P421" s="133"/>
      <c r="Q421" s="133"/>
      <c r="R421" s="133"/>
      <c r="S421" s="133"/>
      <c r="T421" s="133"/>
      <c r="U421" s="133"/>
      <c r="V421" s="133"/>
      <c r="W421" s="133"/>
      <c r="X421" s="133"/>
      <c r="Y421" s="133"/>
      <c r="Z421" s="133"/>
      <c r="AA421" s="133"/>
      <c r="AB421" s="133"/>
      <c r="AC421" s="133"/>
      <c r="AD421" s="133"/>
      <c r="AE421" s="133"/>
      <c r="AF421" s="133"/>
      <c r="AG421" s="133"/>
      <c r="AH421" s="133"/>
      <c r="AI421" s="37" t="s">
        <v>914</v>
      </c>
    </row>
    <row r="422" spans="1:35">
      <c r="A422" s="150"/>
      <c r="B422" s="151"/>
      <c r="C422" s="187">
        <v>1.5998233215547699</v>
      </c>
      <c r="D422" s="188">
        <v>9.6846846846846795</v>
      </c>
      <c r="E422" s="187">
        <v>3.6846289752650101</v>
      </c>
      <c r="F422" s="188">
        <v>4.7297297297297298</v>
      </c>
      <c r="G422" s="133"/>
      <c r="H422" s="133"/>
      <c r="I422" s="133"/>
      <c r="J422" s="133"/>
      <c r="K422" s="133"/>
      <c r="L422" s="133"/>
      <c r="M422" s="133"/>
      <c r="N422" s="133"/>
      <c r="O422" s="133"/>
      <c r="P422" s="133"/>
      <c r="Q422" s="133"/>
      <c r="R422" s="133"/>
      <c r="S422" s="133"/>
      <c r="T422" s="133"/>
      <c r="U422" s="133"/>
      <c r="V422" s="133"/>
      <c r="W422" s="133"/>
      <c r="X422" s="133"/>
      <c r="Y422" s="133"/>
      <c r="Z422" s="133"/>
      <c r="AA422" s="133"/>
      <c r="AB422" s="133"/>
      <c r="AC422" s="133"/>
      <c r="AD422" s="133"/>
      <c r="AE422" s="133"/>
      <c r="AF422" s="133"/>
      <c r="AG422" s="133"/>
      <c r="AH422" s="133"/>
    </row>
    <row r="423" spans="1:35">
      <c r="A423" s="150"/>
      <c r="B423" s="151"/>
      <c r="C423" s="187">
        <v>2.1342756183745499</v>
      </c>
      <c r="D423" s="188">
        <v>10.495495495495399</v>
      </c>
      <c r="E423" s="187">
        <v>4.1925795053003503</v>
      </c>
      <c r="F423" s="188">
        <v>3.91891891891891</v>
      </c>
      <c r="G423" s="133"/>
      <c r="H423" s="133"/>
      <c r="I423" s="133"/>
      <c r="J423" s="133"/>
      <c r="K423" s="133"/>
      <c r="L423" s="133"/>
      <c r="M423" s="133"/>
      <c r="N423" s="133"/>
      <c r="O423" s="133"/>
      <c r="P423" s="133"/>
      <c r="Q423" s="133"/>
      <c r="R423" s="133"/>
      <c r="S423" s="133"/>
      <c r="T423" s="133"/>
      <c r="U423" s="133"/>
      <c r="V423" s="133"/>
      <c r="W423" s="133"/>
      <c r="X423" s="133"/>
      <c r="Y423" s="133"/>
      <c r="Z423" s="133"/>
      <c r="AA423" s="133"/>
      <c r="AB423" s="133"/>
      <c r="AC423" s="133"/>
      <c r="AD423" s="133"/>
      <c r="AE423" s="133"/>
      <c r="AF423" s="133"/>
      <c r="AG423" s="133"/>
      <c r="AH423" s="133"/>
    </row>
    <row r="424" spans="1:35">
      <c r="A424" s="150"/>
      <c r="B424" s="151"/>
      <c r="C424" s="187">
        <v>2.6554770318021199</v>
      </c>
      <c r="D424" s="188">
        <v>15</v>
      </c>
      <c r="E424" s="187">
        <v>4.6916961130742001</v>
      </c>
      <c r="F424" s="188">
        <v>1.9819819819819799</v>
      </c>
      <c r="G424" s="133"/>
      <c r="H424" s="133"/>
      <c r="I424" s="133"/>
      <c r="J424" s="133"/>
      <c r="K424" s="133"/>
      <c r="L424" s="133"/>
      <c r="M424" s="133"/>
      <c r="N424" s="133"/>
      <c r="O424" s="133"/>
      <c r="P424" s="133"/>
      <c r="Q424" s="133"/>
      <c r="R424" s="133"/>
      <c r="S424" s="133"/>
      <c r="T424" s="133"/>
      <c r="U424" s="133"/>
      <c r="V424" s="133"/>
      <c r="W424" s="133"/>
      <c r="X424" s="133"/>
      <c r="Y424" s="133"/>
      <c r="Z424" s="133"/>
      <c r="AA424" s="133"/>
      <c r="AB424" s="133"/>
      <c r="AC424" s="133"/>
      <c r="AD424" s="133"/>
      <c r="AE424" s="133"/>
      <c r="AF424" s="133"/>
      <c r="AG424" s="133"/>
      <c r="AH424" s="133"/>
    </row>
    <row r="425" spans="1:35">
      <c r="A425" s="150"/>
      <c r="B425" s="151"/>
      <c r="C425" s="187">
        <v>3.1678445229681902</v>
      </c>
      <c r="D425" s="188">
        <v>25.270270270270199</v>
      </c>
      <c r="E425" s="187">
        <v>5.1952296819787902</v>
      </c>
      <c r="F425" s="188">
        <v>2.07207207207207</v>
      </c>
      <c r="G425" s="133"/>
      <c r="H425" s="133"/>
      <c r="I425" s="133"/>
      <c r="J425" s="133"/>
      <c r="K425" s="133"/>
      <c r="L425" s="133"/>
      <c r="M425" s="133"/>
      <c r="N425" s="133"/>
      <c r="O425" s="133"/>
      <c r="P425" s="133"/>
      <c r="Q425" s="133"/>
      <c r="R425" s="133"/>
      <c r="S425" s="133"/>
      <c r="T425" s="133"/>
      <c r="U425" s="133"/>
      <c r="V425" s="133"/>
      <c r="W425" s="133"/>
      <c r="X425" s="133"/>
      <c r="Y425" s="133"/>
      <c r="Z425" s="133"/>
      <c r="AA425" s="133"/>
      <c r="AB425" s="133"/>
      <c r="AC425" s="133"/>
      <c r="AD425" s="133"/>
      <c r="AE425" s="133"/>
      <c r="AF425" s="133"/>
      <c r="AG425" s="133"/>
      <c r="AH425" s="133"/>
    </row>
    <row r="426" spans="1:35">
      <c r="A426" s="150"/>
      <c r="B426" s="151"/>
      <c r="C426" s="210"/>
      <c r="D426" s="211"/>
      <c r="E426" s="189"/>
      <c r="F426" s="190"/>
      <c r="G426" s="133"/>
      <c r="H426" s="133"/>
      <c r="I426" s="133"/>
      <c r="J426" s="133"/>
      <c r="K426" s="133"/>
      <c r="L426" s="133"/>
      <c r="M426" s="133"/>
      <c r="N426" s="133"/>
      <c r="O426" s="133"/>
      <c r="P426" s="133"/>
      <c r="Q426" s="133"/>
      <c r="R426" s="133"/>
      <c r="S426" s="133"/>
      <c r="T426" s="133"/>
      <c r="U426" s="133"/>
      <c r="V426" s="133"/>
      <c r="W426" s="133"/>
      <c r="X426" s="133"/>
      <c r="Y426" s="133"/>
      <c r="Z426" s="133"/>
      <c r="AA426" s="133"/>
      <c r="AB426" s="133"/>
      <c r="AC426" s="133"/>
      <c r="AD426" s="133"/>
      <c r="AE426" s="133"/>
      <c r="AF426" s="133"/>
      <c r="AG426" s="133"/>
      <c r="AH426" s="133"/>
    </row>
    <row r="427" spans="1:35">
      <c r="A427" s="150"/>
      <c r="B427" s="151"/>
      <c r="C427" s="178"/>
      <c r="D427" s="179"/>
      <c r="E427" s="189"/>
      <c r="F427" s="190"/>
      <c r="G427" s="133"/>
      <c r="H427" s="133"/>
      <c r="I427" s="133"/>
      <c r="J427" s="133"/>
      <c r="K427" s="133"/>
      <c r="L427" s="133"/>
      <c r="M427" s="133"/>
      <c r="N427" s="133"/>
      <c r="O427" s="133"/>
      <c r="P427" s="133"/>
      <c r="Q427" s="133"/>
      <c r="R427" s="133"/>
      <c r="S427" s="133"/>
      <c r="T427" s="133"/>
      <c r="U427" s="133"/>
      <c r="V427" s="133"/>
      <c r="W427" s="133"/>
      <c r="X427" s="133"/>
      <c r="Y427" s="133"/>
      <c r="Z427" s="133"/>
      <c r="AA427" s="133"/>
      <c r="AB427" s="133"/>
      <c r="AC427" s="133"/>
      <c r="AD427" s="133"/>
      <c r="AE427" s="133"/>
      <c r="AF427" s="133"/>
      <c r="AG427" s="133"/>
      <c r="AH427" s="133"/>
    </row>
    <row r="428" spans="1:35">
      <c r="A428" s="150"/>
      <c r="B428" s="151"/>
      <c r="C428" s="178"/>
      <c r="D428" s="179"/>
      <c r="E428" s="189"/>
      <c r="F428" s="190"/>
      <c r="G428" s="133"/>
      <c r="H428" s="133"/>
      <c r="I428" s="133"/>
      <c r="J428" s="133"/>
      <c r="K428" s="133"/>
      <c r="L428" s="133"/>
      <c r="M428" s="133"/>
      <c r="N428" s="133"/>
      <c r="O428" s="133"/>
      <c r="P428" s="133"/>
      <c r="Q428" s="133"/>
      <c r="R428" s="133"/>
      <c r="S428" s="133"/>
      <c r="T428" s="133"/>
      <c r="U428" s="133"/>
      <c r="V428" s="133"/>
      <c r="W428" s="133"/>
      <c r="X428" s="133"/>
      <c r="Y428" s="133"/>
      <c r="Z428" s="133"/>
      <c r="AA428" s="133"/>
      <c r="AB428" s="133"/>
      <c r="AC428" s="133"/>
      <c r="AD428" s="133"/>
      <c r="AE428" s="133"/>
      <c r="AF428" s="133"/>
      <c r="AG428" s="133"/>
      <c r="AH428" s="133"/>
    </row>
    <row r="429" spans="1:35" ht="14.5" thickBot="1">
      <c r="A429" s="159"/>
      <c r="B429" s="160"/>
      <c r="C429" s="181"/>
      <c r="D429" s="182"/>
      <c r="E429" s="183"/>
      <c r="F429" s="182"/>
      <c r="G429" s="133"/>
      <c r="H429" s="133"/>
      <c r="I429" s="133"/>
      <c r="J429" s="133"/>
      <c r="K429" s="133"/>
      <c r="L429" s="133"/>
      <c r="M429" s="133"/>
      <c r="N429" s="133"/>
      <c r="O429" s="133"/>
      <c r="P429" s="133"/>
      <c r="Q429" s="133"/>
      <c r="R429" s="133"/>
      <c r="S429" s="133"/>
      <c r="T429" s="133"/>
      <c r="U429" s="133"/>
      <c r="V429" s="133"/>
      <c r="W429" s="133"/>
      <c r="X429" s="133"/>
      <c r="Y429" s="133"/>
      <c r="Z429" s="133"/>
      <c r="AA429" s="133"/>
      <c r="AB429" s="133"/>
      <c r="AC429" s="133"/>
      <c r="AD429" s="133"/>
      <c r="AE429" s="133"/>
      <c r="AF429" s="133"/>
      <c r="AG429" s="133"/>
      <c r="AH429" s="133"/>
    </row>
    <row r="430" spans="1:35">
      <c r="G430" s="133"/>
      <c r="H430" s="133"/>
      <c r="I430" s="133"/>
      <c r="J430" s="133"/>
      <c r="K430" s="133"/>
      <c r="L430" s="133"/>
      <c r="M430" s="133"/>
      <c r="N430" s="133"/>
      <c r="O430" s="133"/>
      <c r="P430" s="133"/>
      <c r="Q430" s="133"/>
      <c r="R430" s="133"/>
      <c r="S430" s="133"/>
      <c r="T430" s="133"/>
      <c r="U430" s="133"/>
      <c r="V430" s="133"/>
      <c r="W430" s="133"/>
      <c r="X430" s="133"/>
      <c r="Y430" s="133"/>
      <c r="Z430" s="133"/>
      <c r="AA430" s="133"/>
      <c r="AB430" s="133"/>
      <c r="AC430" s="133"/>
      <c r="AD430" s="133"/>
      <c r="AE430" s="133"/>
      <c r="AF430" s="133"/>
      <c r="AG430" s="133"/>
      <c r="AH430" s="133"/>
    </row>
    <row r="431" spans="1:35">
      <c r="G431" s="133"/>
      <c r="H431" s="133"/>
      <c r="I431" s="133"/>
      <c r="J431" s="133"/>
      <c r="K431" s="133"/>
      <c r="L431" s="133"/>
      <c r="M431" s="133"/>
      <c r="N431" s="133"/>
      <c r="O431" s="133"/>
      <c r="P431" s="133"/>
      <c r="Q431" s="133"/>
      <c r="R431" s="133"/>
      <c r="S431" s="133"/>
      <c r="T431" s="133"/>
      <c r="U431" s="133"/>
      <c r="V431" s="133"/>
      <c r="W431" s="133"/>
      <c r="X431" s="133"/>
      <c r="Y431" s="133"/>
      <c r="Z431" s="133"/>
      <c r="AA431" s="133"/>
      <c r="AB431" s="133"/>
      <c r="AC431" s="133"/>
      <c r="AD431" s="133"/>
      <c r="AE431" s="133"/>
      <c r="AF431" s="133"/>
      <c r="AG431" s="133"/>
      <c r="AH431" s="133"/>
    </row>
    <row r="432" spans="1:35">
      <c r="A432" s="130"/>
      <c r="B432" s="130"/>
      <c r="C432" s="131" t="s">
        <v>915</v>
      </c>
      <c r="D432" s="130"/>
      <c r="E432" s="130"/>
      <c r="F432" s="185" t="s">
        <v>870</v>
      </c>
      <c r="G432" s="133"/>
      <c r="H432" s="133"/>
      <c r="I432" s="133"/>
      <c r="J432" s="133"/>
      <c r="K432" s="133"/>
      <c r="L432" s="133"/>
      <c r="M432" s="133"/>
      <c r="N432" s="133"/>
      <c r="O432" s="133"/>
      <c r="P432" s="133"/>
      <c r="Q432" s="133"/>
      <c r="R432" s="133"/>
      <c r="S432" s="133"/>
      <c r="T432" s="133"/>
      <c r="U432" s="133"/>
      <c r="V432" s="133"/>
      <c r="W432" s="133"/>
      <c r="X432" s="133"/>
      <c r="Y432" s="133"/>
      <c r="Z432" s="133"/>
      <c r="AA432" s="133"/>
      <c r="AB432" s="133"/>
      <c r="AC432" s="133"/>
      <c r="AD432" s="133"/>
      <c r="AE432" s="133"/>
      <c r="AF432" s="133"/>
      <c r="AG432" s="133"/>
      <c r="AH432" s="133"/>
    </row>
    <row r="433" spans="1:34">
      <c r="C433" s="132" t="s">
        <v>856</v>
      </c>
      <c r="D433" s="132" t="s">
        <v>856</v>
      </c>
      <c r="G433" s="133"/>
      <c r="H433" s="133"/>
      <c r="I433" s="133"/>
      <c r="J433" s="133"/>
      <c r="K433" s="133"/>
      <c r="L433" s="133"/>
      <c r="M433" s="133"/>
      <c r="N433" s="133"/>
      <c r="O433" s="133"/>
      <c r="P433" s="133"/>
      <c r="Q433" s="133"/>
      <c r="R433" s="133"/>
      <c r="S433" s="133"/>
      <c r="T433" s="133"/>
      <c r="U433" s="133"/>
      <c r="V433" s="133"/>
      <c r="W433" s="133"/>
      <c r="X433" s="133"/>
      <c r="Y433" s="133"/>
      <c r="Z433" s="133"/>
      <c r="AA433" s="133"/>
      <c r="AB433" s="133"/>
      <c r="AC433" s="133"/>
      <c r="AD433" s="133"/>
      <c r="AE433" s="133"/>
      <c r="AF433" s="133"/>
      <c r="AG433" s="133"/>
      <c r="AH433" s="133"/>
    </row>
    <row r="434" spans="1:34" ht="14.5" thickBot="1">
      <c r="C434" s="134" t="s">
        <v>813</v>
      </c>
      <c r="D434" s="134" t="s">
        <v>813</v>
      </c>
      <c r="E434" s="135" t="s">
        <v>857</v>
      </c>
      <c r="F434" s="135" t="s">
        <v>857</v>
      </c>
      <c r="G434" s="133"/>
      <c r="H434" s="133"/>
      <c r="I434" s="133"/>
      <c r="J434" s="133"/>
      <c r="K434" s="133"/>
      <c r="L434" s="133"/>
      <c r="M434" s="133"/>
      <c r="N434" s="133"/>
      <c r="O434" s="133"/>
      <c r="P434" s="133"/>
      <c r="Q434" s="133"/>
      <c r="R434" s="133"/>
      <c r="S434" s="133"/>
      <c r="T434" s="133"/>
      <c r="U434" s="133"/>
      <c r="V434" s="133"/>
      <c r="W434" s="133"/>
      <c r="X434" s="133"/>
      <c r="Y434" s="133"/>
      <c r="Z434" s="133"/>
      <c r="AA434" s="133"/>
      <c r="AB434" s="133"/>
      <c r="AC434" s="133"/>
      <c r="AD434" s="133"/>
      <c r="AE434" s="133"/>
      <c r="AF434" s="133"/>
      <c r="AG434" s="133"/>
      <c r="AH434" s="133"/>
    </row>
    <row r="435" spans="1:34">
      <c r="C435" s="136" t="s">
        <v>858</v>
      </c>
      <c r="D435" s="212" t="s">
        <v>859</v>
      </c>
      <c r="E435" s="136" t="s">
        <v>858</v>
      </c>
      <c r="F435" s="137" t="s">
        <v>859</v>
      </c>
      <c r="G435" s="133"/>
      <c r="H435" s="133"/>
      <c r="I435" s="133"/>
      <c r="J435" s="133"/>
      <c r="K435" s="133"/>
      <c r="L435" s="133"/>
      <c r="M435" s="133"/>
      <c r="N435" s="133"/>
      <c r="O435" s="133"/>
      <c r="P435" s="133"/>
      <c r="Q435" s="133"/>
      <c r="R435" s="133"/>
      <c r="S435" s="133"/>
      <c r="T435" s="133"/>
      <c r="U435" s="133"/>
      <c r="V435" s="133"/>
      <c r="W435" s="133"/>
      <c r="X435" s="133"/>
      <c r="Y435" s="133"/>
      <c r="Z435" s="133"/>
      <c r="AA435" s="133"/>
      <c r="AB435" s="133"/>
      <c r="AC435" s="133"/>
      <c r="AD435" s="133"/>
      <c r="AE435" s="133"/>
      <c r="AF435" s="133"/>
      <c r="AG435" s="133"/>
      <c r="AH435" s="133"/>
    </row>
    <row r="436" spans="1:34" ht="14.5" thickBot="1">
      <c r="A436" s="138" t="s">
        <v>860</v>
      </c>
      <c r="B436" s="139" t="s">
        <v>861</v>
      </c>
      <c r="C436" s="205" t="s">
        <v>862</v>
      </c>
      <c r="D436" s="221" t="s">
        <v>863</v>
      </c>
      <c r="E436" s="205" t="s">
        <v>862</v>
      </c>
      <c r="F436" s="206" t="s">
        <v>863</v>
      </c>
      <c r="G436" s="133"/>
      <c r="H436" s="133"/>
      <c r="I436" s="133"/>
      <c r="J436" s="133"/>
      <c r="K436" s="133"/>
      <c r="L436" s="133"/>
      <c r="M436" s="133"/>
      <c r="N436" s="133"/>
      <c r="O436" s="133"/>
      <c r="P436" s="133"/>
      <c r="Q436" s="133"/>
      <c r="R436" s="133"/>
      <c r="S436" s="133"/>
      <c r="T436" s="133"/>
      <c r="U436" s="133"/>
      <c r="V436" s="133"/>
      <c r="W436" s="133"/>
      <c r="X436" s="133"/>
      <c r="Y436" s="133"/>
      <c r="Z436" s="133"/>
      <c r="AA436" s="133"/>
      <c r="AB436" s="133"/>
      <c r="AC436" s="133"/>
      <c r="AD436" s="133"/>
      <c r="AE436" s="133"/>
      <c r="AF436" s="133"/>
      <c r="AG436" s="133"/>
      <c r="AH436" s="133"/>
    </row>
    <row r="437" spans="1:34">
      <c r="A437" s="144">
        <v>30</v>
      </c>
      <c r="B437" s="145" t="s">
        <v>916</v>
      </c>
      <c r="C437" s="214">
        <v>0.531222123104371</v>
      </c>
      <c r="D437" s="214">
        <v>9.6347031963470293</v>
      </c>
      <c r="E437" s="187">
        <v>2.65</v>
      </c>
      <c r="F437" s="188">
        <v>17.350000000000001</v>
      </c>
      <c r="G437" s="133"/>
      <c r="H437" s="133"/>
      <c r="I437" s="133"/>
      <c r="J437" s="133"/>
      <c r="K437" s="133"/>
      <c r="L437" s="133"/>
      <c r="M437" s="133"/>
      <c r="N437" s="133"/>
      <c r="O437" s="133"/>
      <c r="P437" s="133"/>
      <c r="Q437" s="133"/>
      <c r="R437" s="133"/>
      <c r="S437" s="133"/>
      <c r="T437" s="133"/>
      <c r="U437" s="133"/>
      <c r="V437" s="133"/>
      <c r="W437" s="133"/>
      <c r="X437" s="133"/>
      <c r="Y437" s="133"/>
      <c r="Z437" s="133"/>
      <c r="AA437" s="133"/>
      <c r="AB437" s="133"/>
      <c r="AC437" s="133"/>
      <c r="AD437" s="133"/>
      <c r="AE437" s="133"/>
      <c r="AF437" s="133"/>
      <c r="AG437" s="133"/>
      <c r="AH437" s="133"/>
    </row>
    <row r="438" spans="1:34">
      <c r="A438" s="150"/>
      <c r="B438" s="151"/>
      <c r="C438" s="214">
        <v>1.07091882247992</v>
      </c>
      <c r="D438" s="214">
        <v>11.324200913242001</v>
      </c>
      <c r="E438" s="187">
        <v>3.1749999999999998</v>
      </c>
      <c r="F438" s="188">
        <v>11.5</v>
      </c>
      <c r="G438" s="133"/>
      <c r="H438" s="133"/>
      <c r="I438" s="133"/>
      <c r="J438" s="133"/>
      <c r="K438" s="133"/>
      <c r="L438" s="133"/>
      <c r="M438" s="133"/>
      <c r="N438" s="133"/>
      <c r="O438" s="133"/>
      <c r="P438" s="133"/>
      <c r="Q438" s="133"/>
      <c r="R438" s="133"/>
      <c r="S438" s="133"/>
      <c r="T438" s="133"/>
      <c r="U438" s="133"/>
      <c r="V438" s="133"/>
      <c r="W438" s="133"/>
      <c r="X438" s="133"/>
      <c r="Y438" s="133"/>
      <c r="Z438" s="133"/>
      <c r="AA438" s="133"/>
      <c r="AB438" s="133"/>
      <c r="AC438" s="133"/>
      <c r="AD438" s="133"/>
      <c r="AE438" s="133"/>
      <c r="AF438" s="133"/>
      <c r="AG438" s="133"/>
      <c r="AH438" s="133"/>
    </row>
    <row r="439" spans="1:34">
      <c r="A439" s="150"/>
      <c r="B439" s="151"/>
      <c r="C439" s="214">
        <v>1.59277430865298</v>
      </c>
      <c r="D439" s="214">
        <v>15.570776255707701</v>
      </c>
      <c r="E439" s="187">
        <v>3.6891168599464699</v>
      </c>
      <c r="F439" s="188">
        <v>7.6255707762557003</v>
      </c>
      <c r="G439" s="133"/>
      <c r="H439" s="133"/>
      <c r="I439" s="133"/>
      <c r="J439" s="133"/>
      <c r="K439" s="133"/>
      <c r="L439" s="133"/>
      <c r="M439" s="133"/>
      <c r="N439" s="133"/>
      <c r="O439" s="133"/>
      <c r="P439" s="133"/>
      <c r="Q439" s="133"/>
      <c r="R439" s="133"/>
      <c r="S439" s="133"/>
      <c r="T439" s="133"/>
      <c r="U439" s="133"/>
      <c r="V439" s="133"/>
      <c r="W439" s="133"/>
      <c r="X439" s="133"/>
      <c r="Y439" s="133"/>
      <c r="Z439" s="133"/>
      <c r="AA439" s="133"/>
      <c r="AB439" s="133"/>
      <c r="AC439" s="133"/>
      <c r="AD439" s="133"/>
      <c r="AE439" s="133"/>
      <c r="AF439" s="133"/>
      <c r="AG439" s="133"/>
      <c r="AH439" s="133"/>
    </row>
    <row r="440" spans="1:34">
      <c r="A440" s="150"/>
      <c r="B440" s="151"/>
      <c r="C440" s="214">
        <v>2.1235504014272899</v>
      </c>
      <c r="D440" s="214">
        <v>19.1324200913242</v>
      </c>
      <c r="E440" s="187">
        <v>4.1931311329170304</v>
      </c>
      <c r="F440" s="188">
        <v>5.93607305936073</v>
      </c>
      <c r="G440" s="133"/>
      <c r="H440" s="133"/>
      <c r="I440" s="133"/>
      <c r="J440" s="133"/>
      <c r="K440" s="133"/>
      <c r="L440" s="133"/>
      <c r="M440" s="133"/>
      <c r="N440" s="133"/>
      <c r="O440" s="133"/>
      <c r="P440" s="133"/>
      <c r="Q440" s="133"/>
      <c r="R440" s="133"/>
      <c r="S440" s="133"/>
      <c r="T440" s="133"/>
      <c r="U440" s="133"/>
      <c r="V440" s="133"/>
      <c r="W440" s="133"/>
      <c r="X440" s="133"/>
      <c r="Y440" s="133"/>
      <c r="Z440" s="133"/>
      <c r="AA440" s="133"/>
      <c r="AB440" s="133"/>
      <c r="AC440" s="133"/>
      <c r="AD440" s="133"/>
      <c r="AE440" s="133"/>
      <c r="AF440" s="133"/>
      <c r="AG440" s="133"/>
      <c r="AH440" s="133"/>
    </row>
    <row r="441" spans="1:34">
      <c r="A441" s="150"/>
      <c r="B441" s="151"/>
      <c r="C441" s="210"/>
      <c r="D441" s="223"/>
      <c r="E441" s="187">
        <v>4.6882247992863499</v>
      </c>
      <c r="F441" s="188">
        <v>4.0639269406392602</v>
      </c>
      <c r="G441" s="133"/>
      <c r="H441" s="133"/>
      <c r="I441" s="133"/>
      <c r="J441" s="133"/>
      <c r="K441" s="133"/>
      <c r="L441" s="133"/>
      <c r="M441" s="133"/>
      <c r="N441" s="133"/>
      <c r="O441" s="133"/>
      <c r="P441" s="133"/>
      <c r="Q441" s="133"/>
      <c r="R441" s="133"/>
      <c r="S441" s="133"/>
      <c r="T441" s="133"/>
      <c r="U441" s="133"/>
      <c r="V441" s="133"/>
      <c r="W441" s="133"/>
      <c r="X441" s="133"/>
      <c r="Y441" s="133"/>
      <c r="Z441" s="133"/>
      <c r="AA441" s="133"/>
      <c r="AB441" s="133"/>
      <c r="AC441" s="133"/>
      <c r="AD441" s="133"/>
      <c r="AE441" s="133"/>
      <c r="AF441" s="133"/>
      <c r="AG441" s="133"/>
      <c r="AH441" s="133"/>
    </row>
    <row r="442" spans="1:34">
      <c r="A442" s="150"/>
      <c r="B442" s="151"/>
      <c r="C442" s="210"/>
      <c r="D442" s="223"/>
      <c r="E442" s="187">
        <v>5.2011596788581604</v>
      </c>
      <c r="F442" s="188">
        <v>2.1461187214611801</v>
      </c>
      <c r="G442" s="133"/>
      <c r="H442" s="133"/>
      <c r="I442" s="133"/>
      <c r="J442" s="133"/>
      <c r="K442" s="133"/>
      <c r="L442" s="133"/>
      <c r="M442" s="133"/>
      <c r="N442" s="133"/>
      <c r="O442" s="133"/>
      <c r="P442" s="133"/>
      <c r="Q442" s="133"/>
      <c r="R442" s="133"/>
      <c r="S442" s="133"/>
      <c r="T442" s="133"/>
      <c r="U442" s="133"/>
      <c r="V442" s="133"/>
      <c r="W442" s="133"/>
      <c r="X442" s="133"/>
      <c r="Y442" s="133"/>
      <c r="Z442" s="133"/>
      <c r="AA442" s="133"/>
      <c r="AB442" s="133"/>
      <c r="AC442" s="133"/>
      <c r="AD442" s="133"/>
      <c r="AE442" s="133"/>
      <c r="AF442" s="133"/>
      <c r="AG442" s="133"/>
      <c r="AH442" s="133"/>
    </row>
    <row r="443" spans="1:34">
      <c r="A443" s="150"/>
      <c r="B443" s="151"/>
      <c r="C443" s="210"/>
      <c r="D443" s="223"/>
      <c r="E443" s="189"/>
      <c r="F443" s="190"/>
      <c r="G443" s="133"/>
      <c r="H443" s="133"/>
      <c r="I443" s="133"/>
      <c r="J443" s="133"/>
      <c r="K443" s="133"/>
      <c r="L443" s="133"/>
      <c r="M443" s="133"/>
      <c r="N443" s="133"/>
      <c r="O443" s="133"/>
      <c r="P443" s="133"/>
      <c r="Q443" s="133"/>
      <c r="R443" s="133"/>
      <c r="S443" s="133"/>
      <c r="T443" s="133"/>
      <c r="U443" s="133"/>
      <c r="V443" s="133"/>
      <c r="W443" s="133"/>
      <c r="X443" s="133"/>
      <c r="Y443" s="133"/>
      <c r="Z443" s="133"/>
      <c r="AA443" s="133"/>
      <c r="AB443" s="133"/>
      <c r="AC443" s="133"/>
      <c r="AD443" s="133"/>
      <c r="AE443" s="133"/>
      <c r="AF443" s="133"/>
      <c r="AG443" s="133"/>
      <c r="AH443" s="133"/>
    </row>
    <row r="444" spans="1:34">
      <c r="A444" s="150"/>
      <c r="B444" s="151"/>
      <c r="C444" s="178"/>
      <c r="D444" s="217"/>
      <c r="E444" s="189"/>
      <c r="F444" s="190"/>
      <c r="G444" s="133"/>
      <c r="H444" s="133"/>
      <c r="I444" s="133"/>
      <c r="J444" s="133"/>
      <c r="K444" s="133"/>
      <c r="L444" s="133"/>
      <c r="M444" s="133"/>
      <c r="N444" s="133"/>
      <c r="O444" s="133"/>
      <c r="P444" s="133"/>
      <c r="Q444" s="133"/>
      <c r="R444" s="133"/>
      <c r="S444" s="133"/>
      <c r="T444" s="133"/>
      <c r="U444" s="133"/>
      <c r="V444" s="133"/>
      <c r="W444" s="133"/>
      <c r="X444" s="133"/>
      <c r="Y444" s="133"/>
      <c r="Z444" s="133"/>
      <c r="AA444" s="133"/>
      <c r="AB444" s="133"/>
      <c r="AC444" s="133"/>
      <c r="AD444" s="133"/>
      <c r="AE444" s="133"/>
      <c r="AF444" s="133"/>
      <c r="AG444" s="133"/>
      <c r="AH444" s="133"/>
    </row>
    <row r="445" spans="1:34">
      <c r="A445" s="150"/>
      <c r="B445" s="151"/>
      <c r="C445" s="178"/>
      <c r="D445" s="217"/>
      <c r="E445" s="189"/>
      <c r="F445" s="190"/>
      <c r="G445" s="133"/>
      <c r="H445" s="133"/>
      <c r="I445" s="133"/>
      <c r="J445" s="133"/>
      <c r="K445" s="133"/>
      <c r="L445" s="133"/>
      <c r="M445" s="133"/>
      <c r="N445" s="133"/>
      <c r="O445" s="133"/>
      <c r="P445" s="133"/>
      <c r="Q445" s="133"/>
      <c r="R445" s="133"/>
      <c r="S445" s="133"/>
      <c r="AG445" s="133"/>
      <c r="AH445" s="133"/>
    </row>
    <row r="446" spans="1:34" ht="14.5" thickBot="1">
      <c r="A446" s="159"/>
      <c r="B446" s="160"/>
      <c r="C446" s="181"/>
      <c r="D446" s="218"/>
      <c r="E446" s="183"/>
      <c r="F446" s="182"/>
      <c r="G446" s="133"/>
      <c r="H446" s="133"/>
      <c r="I446" s="133"/>
      <c r="J446" s="133"/>
      <c r="K446" s="133"/>
      <c r="L446" s="133"/>
      <c r="M446" s="133"/>
      <c r="N446" s="133"/>
      <c r="O446" s="133"/>
      <c r="P446" s="133"/>
      <c r="Q446" s="133"/>
      <c r="R446" s="133"/>
      <c r="S446" s="133"/>
    </row>
    <row r="447" spans="1:34">
      <c r="G447" s="133"/>
      <c r="H447" s="133"/>
      <c r="I447" s="133"/>
      <c r="J447" s="133"/>
      <c r="K447" s="133"/>
      <c r="L447" s="133"/>
      <c r="M447" s="133"/>
      <c r="N447" s="133"/>
      <c r="O447" s="133"/>
      <c r="P447" s="133"/>
      <c r="Q447" s="133"/>
      <c r="R447" s="133"/>
      <c r="S447" s="133"/>
    </row>
    <row r="448" spans="1:34">
      <c r="G448" s="133"/>
      <c r="H448" s="133"/>
      <c r="I448" s="133"/>
      <c r="J448" s="133"/>
      <c r="K448" s="133"/>
      <c r="L448" s="133"/>
      <c r="M448" s="133"/>
      <c r="N448" s="133"/>
      <c r="O448" s="133"/>
      <c r="P448" s="133"/>
      <c r="Q448" s="133"/>
      <c r="R448" s="133"/>
      <c r="S448" s="133"/>
    </row>
    <row r="449" spans="1:19">
      <c r="A449" s="130"/>
      <c r="B449" s="130"/>
      <c r="C449" s="131" t="s">
        <v>917</v>
      </c>
      <c r="D449" s="130"/>
      <c r="E449" s="130"/>
      <c r="F449" s="185" t="s">
        <v>870</v>
      </c>
      <c r="G449" s="133"/>
      <c r="H449" s="133"/>
      <c r="I449" s="133"/>
      <c r="J449" s="133"/>
      <c r="K449" s="133"/>
      <c r="L449" s="133"/>
      <c r="M449" s="133"/>
      <c r="N449" s="133"/>
      <c r="O449" s="133"/>
      <c r="P449" s="133"/>
      <c r="Q449" s="133"/>
      <c r="R449" s="133"/>
      <c r="S449" s="133"/>
    </row>
    <row r="450" spans="1:19">
      <c r="C450" s="132" t="s">
        <v>856</v>
      </c>
      <c r="D450" s="132" t="s">
        <v>856</v>
      </c>
      <c r="G450" s="133"/>
      <c r="H450" s="133"/>
      <c r="I450" s="133"/>
      <c r="J450" s="133"/>
      <c r="K450" s="133"/>
      <c r="L450" s="133"/>
      <c r="M450" s="133"/>
      <c r="N450" s="133"/>
      <c r="O450" s="133"/>
      <c r="P450" s="133"/>
      <c r="Q450" s="133"/>
      <c r="R450" s="133"/>
      <c r="S450" s="133"/>
    </row>
    <row r="451" spans="1:19" ht="14.5" thickBot="1">
      <c r="C451" s="134" t="s">
        <v>813</v>
      </c>
      <c r="D451" s="134" t="s">
        <v>813</v>
      </c>
      <c r="E451" s="135" t="s">
        <v>857</v>
      </c>
      <c r="F451" s="135" t="s">
        <v>857</v>
      </c>
      <c r="G451" s="133"/>
      <c r="H451" s="133"/>
      <c r="I451" s="133"/>
      <c r="J451" s="133"/>
      <c r="K451" s="133"/>
      <c r="L451" s="133"/>
      <c r="M451" s="133"/>
      <c r="N451" s="133"/>
      <c r="O451" s="133"/>
      <c r="P451" s="133"/>
      <c r="Q451" s="133"/>
      <c r="R451" s="133"/>
      <c r="S451" s="133"/>
    </row>
    <row r="452" spans="1:19">
      <c r="C452" s="136" t="s">
        <v>858</v>
      </c>
      <c r="D452" s="212" t="s">
        <v>859</v>
      </c>
      <c r="E452" s="136" t="s">
        <v>858</v>
      </c>
      <c r="F452" s="137" t="s">
        <v>859</v>
      </c>
      <c r="G452" s="133"/>
      <c r="H452" s="133"/>
      <c r="I452" s="133"/>
      <c r="J452" s="133"/>
      <c r="K452" s="133"/>
      <c r="L452" s="133"/>
      <c r="M452" s="133"/>
      <c r="N452" s="133"/>
      <c r="O452" s="133"/>
      <c r="P452" s="133"/>
      <c r="Q452" s="133"/>
      <c r="R452" s="133"/>
      <c r="S452" s="133"/>
    </row>
    <row r="453" spans="1:19" ht="14.5" thickBot="1">
      <c r="A453" s="138" t="s">
        <v>860</v>
      </c>
      <c r="B453" s="139" t="s">
        <v>861</v>
      </c>
      <c r="C453" s="205" t="s">
        <v>862</v>
      </c>
      <c r="D453" s="221" t="s">
        <v>863</v>
      </c>
      <c r="E453" s="205" t="s">
        <v>862</v>
      </c>
      <c r="F453" s="206" t="s">
        <v>863</v>
      </c>
      <c r="G453" s="133"/>
      <c r="H453" s="133"/>
      <c r="I453" s="133"/>
      <c r="J453" s="133"/>
      <c r="K453" s="133"/>
      <c r="L453" s="133"/>
      <c r="M453" s="133"/>
      <c r="N453" s="133"/>
      <c r="O453" s="133"/>
      <c r="P453" s="133"/>
      <c r="Q453" s="133"/>
      <c r="R453" s="133"/>
      <c r="S453" s="133"/>
    </row>
    <row r="454" spans="1:19">
      <c r="A454" s="144">
        <v>30</v>
      </c>
      <c r="B454" s="145" t="s">
        <v>918</v>
      </c>
      <c r="C454" s="214">
        <v>0.53913043478260803</v>
      </c>
      <c r="D454" s="214">
        <v>5.7566765578635</v>
      </c>
      <c r="E454" s="187">
        <v>1.07391304347826</v>
      </c>
      <c r="F454" s="188">
        <v>8.1008902077151301</v>
      </c>
      <c r="G454" s="133"/>
      <c r="H454" s="133"/>
      <c r="I454" s="133"/>
      <c r="J454" s="133"/>
      <c r="K454" s="133"/>
      <c r="L454" s="133"/>
      <c r="M454" s="133"/>
      <c r="N454" s="133"/>
      <c r="O454" s="133"/>
      <c r="P454" s="133"/>
      <c r="Q454" s="133"/>
      <c r="R454" s="133"/>
      <c r="S454" s="133"/>
    </row>
    <row r="455" spans="1:19">
      <c r="A455" s="150"/>
      <c r="B455" s="151"/>
      <c r="C455" s="214">
        <v>1.0782608695652101</v>
      </c>
      <c r="D455" s="214">
        <v>7.1513353115726996</v>
      </c>
      <c r="E455" s="187">
        <v>1.6</v>
      </c>
      <c r="F455" s="188">
        <v>5.8160237388724001</v>
      </c>
      <c r="G455" s="133"/>
      <c r="H455" s="133"/>
      <c r="I455" s="133"/>
      <c r="J455" s="133"/>
      <c r="K455" s="133"/>
      <c r="L455" s="133"/>
      <c r="M455" s="133"/>
      <c r="N455" s="133"/>
      <c r="O455" s="133"/>
      <c r="P455" s="133"/>
      <c r="Q455" s="133"/>
      <c r="R455" s="133"/>
      <c r="S455" s="133"/>
    </row>
    <row r="456" spans="1:19">
      <c r="A456" s="150"/>
      <c r="B456" s="151"/>
      <c r="C456" s="214">
        <v>1.6</v>
      </c>
      <c r="D456" s="214">
        <v>11.1275964391691</v>
      </c>
      <c r="E456" s="187">
        <v>2.1217391304347801</v>
      </c>
      <c r="F456" s="188">
        <v>3.7388724035608298</v>
      </c>
      <c r="G456" s="133"/>
      <c r="H456" s="133"/>
      <c r="I456" s="133"/>
      <c r="J456" s="133"/>
      <c r="K456" s="133"/>
      <c r="L456" s="133"/>
      <c r="M456" s="133"/>
      <c r="N456" s="133"/>
      <c r="O456" s="133"/>
      <c r="P456" s="133"/>
      <c r="Q456" s="133"/>
      <c r="R456" s="133"/>
      <c r="S456" s="133"/>
    </row>
    <row r="457" spans="1:19">
      <c r="A457" s="150"/>
      <c r="B457" s="151"/>
      <c r="C457" s="210"/>
      <c r="D457" s="223"/>
      <c r="E457" s="187">
        <v>2.64782608695652</v>
      </c>
      <c r="F457" s="188">
        <v>3.79821958456973</v>
      </c>
      <c r="G457" s="133"/>
      <c r="H457" s="133"/>
      <c r="I457" s="133"/>
      <c r="J457" s="133"/>
      <c r="K457" s="133"/>
      <c r="L457" s="133"/>
      <c r="M457" s="133"/>
      <c r="N457" s="133"/>
      <c r="O457" s="133"/>
      <c r="P457" s="133"/>
      <c r="Q457" s="133"/>
      <c r="R457" s="133"/>
      <c r="S457" s="133"/>
    </row>
    <row r="458" spans="1:19">
      <c r="A458" s="150"/>
      <c r="B458" s="151"/>
      <c r="C458" s="210"/>
      <c r="D458" s="223"/>
      <c r="E458" s="187">
        <v>3.1739130434782599</v>
      </c>
      <c r="F458" s="188">
        <v>1.5133531157269999</v>
      </c>
      <c r="G458" s="133"/>
      <c r="H458" s="133"/>
      <c r="I458" s="133"/>
      <c r="J458" s="133"/>
      <c r="K458" s="133"/>
      <c r="L458" s="133"/>
      <c r="M458" s="133"/>
      <c r="N458" s="133"/>
      <c r="O458" s="133"/>
      <c r="P458" s="133"/>
      <c r="Q458" s="133"/>
      <c r="R458" s="133"/>
      <c r="S458" s="133"/>
    </row>
    <row r="459" spans="1:19">
      <c r="A459" s="150"/>
      <c r="B459" s="151"/>
      <c r="C459" s="210"/>
      <c r="D459" s="223"/>
      <c r="E459" s="187">
        <v>3.6956521739130399</v>
      </c>
      <c r="F459" s="188">
        <v>0.53412462908011804</v>
      </c>
      <c r="G459" s="133"/>
      <c r="H459" s="133"/>
      <c r="I459" s="133"/>
      <c r="J459" s="133"/>
      <c r="K459" s="133"/>
      <c r="L459" s="133"/>
      <c r="M459" s="133"/>
      <c r="N459" s="133"/>
      <c r="O459" s="133"/>
      <c r="P459" s="133"/>
      <c r="Q459" s="133"/>
      <c r="R459" s="133"/>
      <c r="S459" s="133"/>
    </row>
    <row r="460" spans="1:19">
      <c r="A460" s="150"/>
      <c r="B460" s="151"/>
      <c r="C460" s="210"/>
      <c r="D460" s="223"/>
      <c r="E460" s="187">
        <v>4.2</v>
      </c>
      <c r="F460" s="188">
        <v>0.53412462908011804</v>
      </c>
      <c r="G460" s="133"/>
      <c r="H460" s="133"/>
      <c r="I460" s="133"/>
      <c r="J460" s="133"/>
      <c r="K460" s="133"/>
      <c r="L460" s="133"/>
      <c r="M460" s="133"/>
      <c r="N460" s="133"/>
      <c r="O460" s="133"/>
      <c r="P460" s="133"/>
      <c r="Q460" s="133"/>
      <c r="R460" s="133"/>
      <c r="S460" s="133"/>
    </row>
    <row r="461" spans="1:19">
      <c r="A461" s="150"/>
      <c r="B461" s="151"/>
      <c r="C461" s="178"/>
      <c r="D461" s="217"/>
      <c r="E461" s="187">
        <v>4.6956521739130404</v>
      </c>
      <c r="F461" s="188">
        <v>0.56379821958456899</v>
      </c>
      <c r="G461" s="133"/>
      <c r="H461" s="133"/>
      <c r="I461" s="133"/>
      <c r="J461" s="133"/>
      <c r="K461" s="133"/>
      <c r="L461" s="133"/>
      <c r="M461" s="133"/>
      <c r="N461" s="133"/>
      <c r="O461" s="133"/>
      <c r="P461" s="133"/>
      <c r="Q461" s="133"/>
      <c r="R461" s="133"/>
      <c r="S461" s="133"/>
    </row>
    <row r="462" spans="1:19">
      <c r="A462" s="150"/>
      <c r="B462" s="151"/>
      <c r="C462" s="178"/>
      <c r="D462" s="217"/>
      <c r="E462" s="187">
        <v>5.2043478260869502</v>
      </c>
      <c r="F462" s="188">
        <v>0</v>
      </c>
      <c r="G462" s="133"/>
      <c r="H462" s="133"/>
      <c r="I462" s="133"/>
      <c r="J462" s="133"/>
      <c r="K462" s="133"/>
      <c r="L462" s="133"/>
      <c r="M462" s="133"/>
      <c r="N462" s="133"/>
      <c r="O462" s="133"/>
      <c r="P462" s="133"/>
      <c r="Q462" s="133"/>
      <c r="R462" s="133"/>
      <c r="S462" s="133"/>
    </row>
    <row r="463" spans="1:19" ht="14.5" thickBot="1">
      <c r="A463" s="159"/>
      <c r="B463" s="160"/>
      <c r="C463" s="181"/>
      <c r="D463" s="218"/>
      <c r="E463" s="183"/>
      <c r="F463" s="182"/>
      <c r="G463" s="133"/>
      <c r="H463" s="133"/>
      <c r="I463" s="133"/>
      <c r="J463" s="133"/>
      <c r="K463" s="133"/>
      <c r="L463" s="133"/>
      <c r="M463" s="133"/>
      <c r="N463" s="133"/>
      <c r="O463" s="133"/>
      <c r="P463" s="133"/>
      <c r="Q463" s="133"/>
      <c r="R463" s="133"/>
      <c r="S463" s="133"/>
    </row>
    <row r="464" spans="1:19">
      <c r="G464" s="133"/>
      <c r="H464" s="133"/>
      <c r="I464" s="133"/>
      <c r="J464" s="133"/>
      <c r="K464" s="133"/>
      <c r="L464" s="133"/>
      <c r="M464" s="133"/>
      <c r="N464" s="133"/>
      <c r="O464" s="133"/>
      <c r="P464" s="133"/>
      <c r="Q464" s="133"/>
      <c r="R464" s="133"/>
      <c r="S464" s="133"/>
    </row>
    <row r="465" spans="7:19" ht="14.25" customHeight="1">
      <c r="G465" s="133"/>
      <c r="H465" s="133"/>
      <c r="I465" s="133"/>
      <c r="J465" s="133"/>
      <c r="K465" s="133"/>
      <c r="L465" s="133"/>
      <c r="M465" s="133"/>
      <c r="N465" s="133"/>
      <c r="O465" s="133"/>
      <c r="P465" s="133"/>
      <c r="Q465" s="133"/>
      <c r="R465" s="133"/>
      <c r="S465" s="133"/>
    </row>
    <row r="466" spans="7:19">
      <c r="G466" s="133"/>
      <c r="H466" s="133"/>
      <c r="I466" s="133"/>
      <c r="J466" s="133"/>
      <c r="K466" s="133"/>
      <c r="L466" s="133"/>
      <c r="M466" s="133"/>
      <c r="N466" s="133"/>
      <c r="O466" s="133"/>
      <c r="P466" s="133"/>
      <c r="Q466" s="133"/>
      <c r="R466" s="133"/>
      <c r="S466" s="133"/>
    </row>
    <row r="467" spans="7:19">
      <c r="G467" s="133"/>
      <c r="H467" s="133"/>
      <c r="I467" s="133"/>
      <c r="J467" s="133"/>
      <c r="K467" s="133"/>
      <c r="L467" s="133"/>
      <c r="M467" s="133"/>
      <c r="N467" s="133"/>
      <c r="O467" s="133"/>
      <c r="P467" s="133"/>
      <c r="Q467" s="133"/>
      <c r="R467" s="133"/>
      <c r="S467" s="133"/>
    </row>
    <row r="468" spans="7:19">
      <c r="G468" s="133"/>
      <c r="H468" s="133"/>
      <c r="I468" s="133"/>
      <c r="J468" s="133"/>
      <c r="K468" s="133"/>
      <c r="L468" s="133"/>
      <c r="M468" s="133"/>
      <c r="N468" s="133"/>
      <c r="O468" s="133"/>
      <c r="P468" s="133"/>
      <c r="Q468" s="133"/>
      <c r="R468" s="133"/>
      <c r="S468" s="133"/>
    </row>
    <row r="469" spans="7:19">
      <c r="G469" s="133"/>
      <c r="H469" s="133"/>
      <c r="I469" s="133"/>
      <c r="J469" s="133"/>
      <c r="K469" s="133"/>
      <c r="L469" s="133"/>
      <c r="M469" s="133"/>
      <c r="N469" s="133"/>
      <c r="O469" s="133"/>
      <c r="P469" s="133"/>
      <c r="Q469" s="133"/>
      <c r="R469" s="133"/>
      <c r="S469" s="133"/>
    </row>
    <row r="470" spans="7:19">
      <c r="G470" s="133"/>
      <c r="H470" s="133"/>
      <c r="I470" s="133"/>
      <c r="J470" s="133"/>
      <c r="K470" s="133"/>
      <c r="L470" s="133"/>
      <c r="M470" s="133"/>
      <c r="N470" s="133"/>
      <c r="O470" s="133"/>
      <c r="P470" s="133"/>
      <c r="Q470" s="133"/>
      <c r="R470" s="133"/>
      <c r="S470" s="133"/>
    </row>
    <row r="471" spans="7:19">
      <c r="G471" s="133"/>
      <c r="H471" s="133"/>
      <c r="I471" s="133"/>
      <c r="J471" s="133"/>
      <c r="K471" s="133"/>
      <c r="L471" s="133"/>
      <c r="M471" s="133"/>
      <c r="N471" s="133"/>
      <c r="O471" s="133"/>
      <c r="P471" s="133"/>
      <c r="Q471" s="133"/>
      <c r="R471" s="133"/>
      <c r="S471" s="133"/>
    </row>
    <row r="472" spans="7:19">
      <c r="G472" s="133"/>
      <c r="H472" s="133"/>
      <c r="I472" s="133"/>
      <c r="J472" s="133"/>
      <c r="K472" s="133"/>
      <c r="L472" s="133"/>
      <c r="M472" s="133"/>
      <c r="N472" s="133"/>
      <c r="O472" s="133"/>
      <c r="P472" s="133"/>
      <c r="Q472" s="133"/>
      <c r="R472" s="133"/>
      <c r="S472" s="133"/>
    </row>
    <row r="473" spans="7:19">
      <c r="G473" s="133"/>
      <c r="H473" s="133"/>
      <c r="I473" s="133"/>
      <c r="J473" s="133"/>
      <c r="K473" s="133"/>
      <c r="L473" s="133"/>
      <c r="M473" s="133"/>
      <c r="N473" s="133"/>
      <c r="O473" s="133"/>
      <c r="P473" s="133"/>
      <c r="Q473" s="133"/>
      <c r="R473" s="133"/>
      <c r="S473" s="133"/>
    </row>
    <row r="474" spans="7:19">
      <c r="G474" s="133"/>
      <c r="H474" s="133"/>
      <c r="I474" s="133"/>
      <c r="J474" s="133"/>
      <c r="K474" s="133"/>
      <c r="L474" s="133"/>
      <c r="M474" s="133"/>
      <c r="N474" s="133"/>
      <c r="O474" s="133"/>
      <c r="P474" s="133"/>
      <c r="Q474" s="133"/>
      <c r="R474" s="133"/>
      <c r="S474" s="133"/>
    </row>
    <row r="475" spans="7:19">
      <c r="G475" s="133"/>
      <c r="H475" s="133"/>
      <c r="I475" s="133"/>
      <c r="J475" s="133"/>
      <c r="K475" s="133"/>
      <c r="L475" s="133"/>
      <c r="M475" s="133"/>
      <c r="N475" s="133"/>
      <c r="O475" s="133"/>
      <c r="P475" s="133"/>
      <c r="Q475" s="133"/>
      <c r="R475" s="133"/>
      <c r="S475" s="133"/>
    </row>
    <row r="476" spans="7:19">
      <c r="G476" s="133"/>
      <c r="H476" s="133"/>
      <c r="I476" s="133"/>
      <c r="J476" s="133"/>
      <c r="K476" s="133"/>
      <c r="L476" s="133"/>
      <c r="M476" s="133"/>
      <c r="N476" s="133"/>
      <c r="O476" s="133"/>
      <c r="P476" s="133"/>
      <c r="Q476" s="133"/>
      <c r="R476" s="133"/>
      <c r="S476" s="133"/>
    </row>
    <row r="477" spans="7:19">
      <c r="G477" s="133"/>
      <c r="H477" s="133"/>
      <c r="I477" s="133"/>
      <c r="J477" s="133"/>
      <c r="K477" s="133"/>
      <c r="L477" s="133"/>
      <c r="M477" s="133"/>
      <c r="N477" s="133"/>
      <c r="O477" s="133"/>
      <c r="P477" s="133"/>
      <c r="Q477" s="133"/>
      <c r="R477" s="133"/>
      <c r="S477" s="133"/>
    </row>
    <row r="478" spans="7:19">
      <c r="G478" s="133"/>
      <c r="H478" s="133"/>
      <c r="I478" s="133"/>
      <c r="J478" s="133"/>
      <c r="K478" s="133"/>
      <c r="L478" s="133"/>
      <c r="M478" s="133"/>
      <c r="N478" s="133"/>
      <c r="O478" s="133"/>
      <c r="P478" s="133"/>
      <c r="Q478" s="133"/>
      <c r="R478" s="133"/>
      <c r="S478" s="133"/>
    </row>
    <row r="481" spans="1:8">
      <c r="A481" s="365" t="s">
        <v>919</v>
      </c>
      <c r="B481" s="365"/>
      <c r="C481" s="365"/>
      <c r="D481" s="365"/>
      <c r="E481" s="365"/>
      <c r="F481" s="365"/>
      <c r="G481" s="365"/>
      <c r="H481" s="365"/>
    </row>
    <row r="483" spans="1:8" ht="14.5" thickBot="1">
      <c r="C483" s="366" t="s">
        <v>920</v>
      </c>
      <c r="D483" s="366"/>
      <c r="E483" s="367" t="s">
        <v>921</v>
      </c>
      <c r="F483" s="367"/>
      <c r="G483" s="368" t="s">
        <v>922</v>
      </c>
      <c r="H483" s="368"/>
    </row>
    <row r="484" spans="1:8">
      <c r="C484" s="136" t="s">
        <v>858</v>
      </c>
      <c r="D484" s="212" t="s">
        <v>859</v>
      </c>
      <c r="E484" s="136" t="s">
        <v>858</v>
      </c>
      <c r="F484" s="137" t="s">
        <v>859</v>
      </c>
      <c r="G484" s="136" t="s">
        <v>858</v>
      </c>
      <c r="H484" s="137" t="s">
        <v>859</v>
      </c>
    </row>
    <row r="485" spans="1:8" ht="14.5" thickBot="1">
      <c r="A485" s="369" t="s">
        <v>860</v>
      </c>
      <c r="B485" s="370"/>
      <c r="C485" s="205" t="s">
        <v>923</v>
      </c>
      <c r="D485" s="221" t="s">
        <v>924</v>
      </c>
      <c r="E485" s="205" t="s">
        <v>923</v>
      </c>
      <c r="F485" s="206" t="s">
        <v>924</v>
      </c>
      <c r="G485" s="205" t="s">
        <v>923</v>
      </c>
      <c r="H485" s="206" t="s">
        <v>924</v>
      </c>
    </row>
    <row r="486" spans="1:8">
      <c r="A486" s="359">
        <v>31</v>
      </c>
      <c r="B486" s="360"/>
      <c r="C486" s="214">
        <v>0</v>
      </c>
      <c r="D486" s="214">
        <v>4.8963210702341096</v>
      </c>
      <c r="E486" s="187">
        <v>0</v>
      </c>
      <c r="F486" s="188">
        <v>4.8561872909699</v>
      </c>
      <c r="G486" s="187">
        <v>0</v>
      </c>
      <c r="H486" s="188">
        <v>4.8260869565217304</v>
      </c>
    </row>
    <row r="487" spans="1:8">
      <c r="A487" s="361"/>
      <c r="B487" s="362"/>
      <c r="C487" s="214">
        <v>7.0833333333333304</v>
      </c>
      <c r="D487" s="214">
        <v>4.4749163879598601</v>
      </c>
      <c r="E487" s="187">
        <v>7.0370370370370301</v>
      </c>
      <c r="F487" s="188">
        <v>4.4046822742474898</v>
      </c>
      <c r="G487" s="187">
        <v>7.0370370370370301</v>
      </c>
      <c r="H487" s="188">
        <v>4.0635451505016702</v>
      </c>
    </row>
    <row r="488" spans="1:8">
      <c r="A488" s="361"/>
      <c r="B488" s="362"/>
      <c r="C488" s="214">
        <v>13.981481481481399</v>
      </c>
      <c r="D488" s="214">
        <v>4.1438127090301</v>
      </c>
      <c r="E488" s="187">
        <v>13.9351851851851</v>
      </c>
      <c r="F488" s="188">
        <v>4.0133779264214002</v>
      </c>
      <c r="G488" s="187">
        <v>13.981481481481399</v>
      </c>
      <c r="H488" s="188">
        <v>3.6822742474916299</v>
      </c>
    </row>
    <row r="489" spans="1:8">
      <c r="A489" s="361"/>
      <c r="B489" s="362"/>
      <c r="C489" s="214">
        <v>20.925925925925899</v>
      </c>
      <c r="D489" s="214">
        <v>3.7826086956521698</v>
      </c>
      <c r="E489" s="187">
        <v>20.925925925925899</v>
      </c>
      <c r="F489" s="188">
        <v>3.7123745819397902</v>
      </c>
      <c r="G489" s="187">
        <v>20.925925925925899</v>
      </c>
      <c r="H489" s="188">
        <v>3.6521739130434701</v>
      </c>
    </row>
    <row r="490" spans="1:8">
      <c r="A490" s="361"/>
      <c r="B490" s="362"/>
      <c r="C490" s="214">
        <v>27.962962962962902</v>
      </c>
      <c r="D490" s="214">
        <v>3.6220735785953102</v>
      </c>
      <c r="E490" s="187">
        <v>27.962962962962902</v>
      </c>
      <c r="F490" s="188">
        <v>3.4515050167224</v>
      </c>
      <c r="G490" s="187">
        <v>28.009259259259199</v>
      </c>
      <c r="H490" s="188">
        <v>3.2107023411371198</v>
      </c>
    </row>
    <row r="491" spans="1:8">
      <c r="A491" s="361"/>
      <c r="B491" s="362"/>
      <c r="C491" s="214">
        <v>41.990740740740698</v>
      </c>
      <c r="D491" s="214">
        <v>3.4314381270903</v>
      </c>
      <c r="E491" s="187">
        <v>41.990740740740698</v>
      </c>
      <c r="F491" s="188">
        <v>3.3311036789297601</v>
      </c>
      <c r="G491" s="187">
        <v>41.990740740740698</v>
      </c>
      <c r="H491" s="188">
        <v>2.9297658862876199</v>
      </c>
    </row>
    <row r="492" spans="1:8">
      <c r="A492" s="361"/>
      <c r="B492" s="362"/>
      <c r="C492" s="210"/>
      <c r="D492" s="223"/>
      <c r="E492" s="210"/>
      <c r="F492" s="211"/>
      <c r="G492" s="210"/>
      <c r="H492" s="211"/>
    </row>
    <row r="493" spans="1:8">
      <c r="A493" s="361"/>
      <c r="B493" s="362"/>
      <c r="C493" s="178"/>
      <c r="D493" s="217"/>
      <c r="E493" s="178"/>
      <c r="F493" s="179"/>
      <c r="G493" s="178"/>
      <c r="H493" s="179"/>
    </row>
    <row r="494" spans="1:8">
      <c r="A494" s="361"/>
      <c r="B494" s="362"/>
      <c r="C494" s="178"/>
      <c r="D494" s="217"/>
      <c r="E494" s="178"/>
      <c r="F494" s="179"/>
      <c r="G494" s="178"/>
      <c r="H494" s="179"/>
    </row>
    <row r="495" spans="1:8" ht="14.5" thickBot="1">
      <c r="A495" s="363"/>
      <c r="B495" s="364"/>
      <c r="C495" s="181"/>
      <c r="D495" s="218"/>
      <c r="E495" s="181"/>
      <c r="F495" s="182"/>
      <c r="G495" s="181"/>
      <c r="H495" s="182"/>
    </row>
    <row r="497" spans="1:8">
      <c r="A497" s="233" t="s">
        <v>925</v>
      </c>
      <c r="B497" s="233"/>
      <c r="C497" s="233"/>
      <c r="D497" s="233"/>
      <c r="E497" s="233"/>
      <c r="F497" s="233"/>
      <c r="G497" s="233"/>
      <c r="H497" s="233"/>
    </row>
    <row r="499" spans="1:8" ht="14.5" thickBot="1">
      <c r="C499" s="234" t="s">
        <v>920</v>
      </c>
      <c r="D499" s="234"/>
      <c r="E499" s="235" t="s">
        <v>921</v>
      </c>
      <c r="F499" s="235"/>
      <c r="G499" s="236" t="s">
        <v>922</v>
      </c>
      <c r="H499" s="236"/>
    </row>
    <row r="500" spans="1:8">
      <c r="C500" s="136" t="s">
        <v>858</v>
      </c>
      <c r="D500" s="212" t="s">
        <v>859</v>
      </c>
      <c r="E500" s="136" t="s">
        <v>858</v>
      </c>
      <c r="F500" s="137" t="s">
        <v>859</v>
      </c>
      <c r="G500" s="136" t="s">
        <v>858</v>
      </c>
      <c r="H500" s="137" t="s">
        <v>859</v>
      </c>
    </row>
    <row r="501" spans="1:8" ht="14.5" thickBot="1">
      <c r="A501" s="237" t="s">
        <v>860</v>
      </c>
      <c r="B501" s="238"/>
      <c r="C501" s="205" t="s">
        <v>923</v>
      </c>
      <c r="D501" s="221" t="s">
        <v>924</v>
      </c>
      <c r="E501" s="205" t="s">
        <v>923</v>
      </c>
      <c r="F501" s="206" t="s">
        <v>924</v>
      </c>
      <c r="G501" s="205" t="s">
        <v>923</v>
      </c>
      <c r="H501" s="206" t="s">
        <v>924</v>
      </c>
    </row>
    <row r="502" spans="1:8">
      <c r="A502" s="148">
        <v>31</v>
      </c>
      <c r="B502" s="149"/>
      <c r="C502" s="122">
        <v>0</v>
      </c>
      <c r="D502" s="214">
        <v>9.3964110929853106</v>
      </c>
      <c r="E502" s="239">
        <v>0</v>
      </c>
      <c r="F502" s="188">
        <v>9.3637846655791108</v>
      </c>
      <c r="G502" s="239">
        <v>0</v>
      </c>
      <c r="H502" s="188">
        <v>9.3637846655791108</v>
      </c>
    </row>
    <row r="503" spans="1:8">
      <c r="A503" s="152"/>
      <c r="B503" s="153"/>
      <c r="C503" s="122">
        <v>7</v>
      </c>
      <c r="D503" s="214">
        <v>7.7487765089722602</v>
      </c>
      <c r="E503" s="239">
        <v>7</v>
      </c>
      <c r="F503" s="188">
        <v>7.4877650897226697</v>
      </c>
      <c r="G503" s="239">
        <v>7</v>
      </c>
      <c r="H503" s="188">
        <v>7.25938009787928</v>
      </c>
    </row>
    <row r="504" spans="1:8">
      <c r="A504" s="152"/>
      <c r="B504" s="153"/>
      <c r="C504" s="122">
        <v>14</v>
      </c>
      <c r="D504" s="214">
        <v>6.8841761827079901</v>
      </c>
      <c r="E504" s="239">
        <v>14</v>
      </c>
      <c r="F504" s="188">
        <v>6.6394779771614996</v>
      </c>
      <c r="G504" s="239">
        <v>14</v>
      </c>
      <c r="H504" s="188">
        <v>6.2316476345840099</v>
      </c>
    </row>
    <row r="505" spans="1:8">
      <c r="A505" s="152"/>
      <c r="B505" s="153"/>
      <c r="C505" s="122">
        <v>21</v>
      </c>
      <c r="D505" s="214">
        <v>6.1827079934747102</v>
      </c>
      <c r="E505" s="239">
        <v>21</v>
      </c>
      <c r="F505" s="188">
        <v>6.06851549755301</v>
      </c>
      <c r="G505" s="239">
        <v>21</v>
      </c>
      <c r="H505" s="188">
        <v>5.6933115823817202</v>
      </c>
    </row>
    <row r="506" spans="1:8">
      <c r="A506" s="152"/>
      <c r="B506" s="153"/>
      <c r="C506" s="122">
        <v>28</v>
      </c>
      <c r="D506" s="214">
        <v>4.8287112561174501</v>
      </c>
      <c r="E506" s="239">
        <v>28</v>
      </c>
      <c r="F506" s="188">
        <v>4.6818923327895501</v>
      </c>
      <c r="G506" s="239">
        <v>28</v>
      </c>
      <c r="H506" s="188">
        <v>3.9967373572593798</v>
      </c>
    </row>
    <row r="507" spans="1:8">
      <c r="A507" s="152"/>
      <c r="B507" s="153"/>
      <c r="C507" s="122">
        <v>42</v>
      </c>
      <c r="D507" s="214">
        <v>4.5513866231647597</v>
      </c>
      <c r="E507" s="239">
        <v>42</v>
      </c>
      <c r="F507" s="188">
        <v>4.0946166394779704</v>
      </c>
      <c r="G507" s="239">
        <v>42</v>
      </c>
      <c r="H507" s="188">
        <v>4.0946166394779704</v>
      </c>
    </row>
    <row r="508" spans="1:8">
      <c r="A508" s="152"/>
      <c r="B508" s="153"/>
      <c r="C508" s="210"/>
      <c r="D508" s="223"/>
      <c r="E508" s="210"/>
      <c r="F508" s="211"/>
      <c r="G508" s="210"/>
      <c r="H508" s="211"/>
    </row>
    <row r="509" spans="1:8">
      <c r="A509" s="152"/>
      <c r="B509" s="153"/>
      <c r="C509" s="178"/>
      <c r="D509" s="217"/>
      <c r="E509" s="178"/>
      <c r="F509" s="179"/>
      <c r="G509" s="178"/>
      <c r="H509" s="179"/>
    </row>
    <row r="510" spans="1:8">
      <c r="A510" s="152"/>
      <c r="B510" s="153"/>
      <c r="C510" s="178"/>
      <c r="D510" s="217"/>
      <c r="E510" s="178"/>
      <c r="F510" s="179"/>
      <c r="G510" s="178"/>
      <c r="H510" s="179"/>
    </row>
    <row r="511" spans="1:8" ht="14.5" thickBot="1">
      <c r="A511" s="154"/>
      <c r="B511" s="155"/>
      <c r="C511" s="181"/>
      <c r="D511" s="218"/>
      <c r="E511" s="181"/>
      <c r="F511" s="182"/>
      <c r="G511" s="181"/>
      <c r="H511" s="182"/>
    </row>
  </sheetData>
  <mergeCells count="6">
    <mergeCell ref="A486:B495"/>
    <mergeCell ref="A481:H481"/>
    <mergeCell ref="C483:D483"/>
    <mergeCell ref="E483:F483"/>
    <mergeCell ref="G483:H483"/>
    <mergeCell ref="A485:B485"/>
  </mergeCells>
  <pageMargins left="0.7" right="0.7" top="0.75" bottom="0.75" header="0.3" footer="0.3"/>
  <headerFooter>
    <oddHeader>&amp;C&amp;"Aptos"&amp;10&amp;K0078D7 [Open]&amp;1#_x000D_</oddHeader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5B3BF-3DF0-4264-930F-E11BF56B0C57}">
  <dimension ref="A1:E15"/>
  <sheetViews>
    <sheetView workbookViewId="0">
      <selection activeCell="C17" sqref="C17"/>
    </sheetView>
  </sheetViews>
  <sheetFormatPr defaultRowHeight="14"/>
  <cols>
    <col min="1" max="1" width="8.6640625" style="37"/>
    <col min="2" max="2" width="26" style="37" customWidth="1"/>
    <col min="3" max="3" width="22.58203125" style="37" bestFit="1" customWidth="1"/>
    <col min="4" max="4" width="15.83203125" style="37" bestFit="1" customWidth="1"/>
    <col min="5" max="5" width="13.4140625" style="37" customWidth="1"/>
    <col min="6" max="16384" width="8.6640625" style="37"/>
  </cols>
  <sheetData>
    <row r="1" spans="1:5" ht="14.5" thickBot="1">
      <c r="A1" s="282" t="s">
        <v>926</v>
      </c>
      <c r="B1" s="283" t="s">
        <v>638</v>
      </c>
      <c r="C1" s="167" t="s">
        <v>927</v>
      </c>
      <c r="D1" s="167" t="s">
        <v>928</v>
      </c>
      <c r="E1" s="240" t="s">
        <v>606</v>
      </c>
    </row>
    <row r="2" spans="1:5">
      <c r="A2" s="284">
        <v>1</v>
      </c>
      <c r="B2" s="284" t="s">
        <v>1031</v>
      </c>
      <c r="C2" s="284">
        <v>0.35909999999999997</v>
      </c>
      <c r="D2" s="284">
        <v>0.01</v>
      </c>
      <c r="E2" s="284">
        <v>2013</v>
      </c>
    </row>
    <row r="3" spans="1:5">
      <c r="A3" s="284">
        <v>2</v>
      </c>
      <c r="B3" s="284" t="s">
        <v>1032</v>
      </c>
      <c r="C3" s="284">
        <v>0.36609999999999998</v>
      </c>
      <c r="D3" s="284">
        <v>0.01</v>
      </c>
      <c r="E3" s="284">
        <v>2013</v>
      </c>
    </row>
    <row r="4" spans="1:5">
      <c r="A4" s="284">
        <v>3</v>
      </c>
      <c r="B4" s="284" t="s">
        <v>1033</v>
      </c>
      <c r="C4" s="284">
        <v>0.37690000000000001</v>
      </c>
      <c r="D4" s="284">
        <v>0.01</v>
      </c>
      <c r="E4" s="284">
        <v>2013</v>
      </c>
    </row>
    <row r="5" spans="1:5">
      <c r="A5" s="284">
        <v>4</v>
      </c>
      <c r="B5" s="284" t="s">
        <v>1034</v>
      </c>
      <c r="C5" s="284">
        <v>0.38519999999999999</v>
      </c>
      <c r="D5" s="284">
        <v>0.01</v>
      </c>
      <c r="E5" s="284">
        <v>2013</v>
      </c>
    </row>
    <row r="6" spans="1:5">
      <c r="A6" s="284">
        <v>5</v>
      </c>
      <c r="B6" s="284" t="s">
        <v>1035</v>
      </c>
      <c r="C6" s="284">
        <v>0.41549999999999998</v>
      </c>
      <c r="D6" s="284">
        <v>0.01</v>
      </c>
      <c r="E6" s="284">
        <v>2013</v>
      </c>
    </row>
    <row r="7" spans="1:5">
      <c r="A7" s="284">
        <v>6</v>
      </c>
      <c r="B7" s="284" t="s">
        <v>1036</v>
      </c>
      <c r="C7" s="284">
        <v>0.41749999999999998</v>
      </c>
      <c r="D7" s="284">
        <v>0.01</v>
      </c>
      <c r="E7" s="284">
        <v>2013</v>
      </c>
    </row>
    <row r="8" spans="1:5">
      <c r="A8" s="284">
        <v>7</v>
      </c>
      <c r="B8" s="284" t="s">
        <v>1037</v>
      </c>
      <c r="C8" s="284">
        <v>0.4506</v>
      </c>
      <c r="D8" s="284">
        <v>0.01</v>
      </c>
      <c r="E8" s="284">
        <v>2013</v>
      </c>
    </row>
    <row r="9" spans="1:5">
      <c r="A9" s="284">
        <v>8</v>
      </c>
      <c r="B9" s="284" t="s">
        <v>1038</v>
      </c>
      <c r="C9" s="284">
        <v>0.46529999999999999</v>
      </c>
      <c r="D9" s="284">
        <v>0.01</v>
      </c>
      <c r="E9" s="284">
        <v>2013</v>
      </c>
    </row>
    <row r="10" spans="1:5">
      <c r="A10" s="284">
        <v>9</v>
      </c>
      <c r="B10" s="284" t="s">
        <v>1039</v>
      </c>
      <c r="C10" s="284">
        <v>0.46550000000000002</v>
      </c>
      <c r="D10" s="284">
        <v>0.01</v>
      </c>
      <c r="E10" s="284">
        <v>2013</v>
      </c>
    </row>
    <row r="11" spans="1:5">
      <c r="A11" s="284">
        <v>10</v>
      </c>
      <c r="B11" s="284" t="s">
        <v>1040</v>
      </c>
      <c r="C11" s="284">
        <v>0.48680000000000001</v>
      </c>
      <c r="D11" s="284">
        <v>0.01</v>
      </c>
      <c r="E11" s="284">
        <v>2013</v>
      </c>
    </row>
    <row r="12" spans="1:5">
      <c r="A12" s="284">
        <v>11</v>
      </c>
      <c r="B12" s="284" t="s">
        <v>1041</v>
      </c>
      <c r="C12" s="284">
        <v>0.51380000000000003</v>
      </c>
      <c r="D12" s="284">
        <v>0.01</v>
      </c>
      <c r="E12" s="284">
        <v>2013</v>
      </c>
    </row>
    <row r="13" spans="1:5">
      <c r="A13" s="284">
        <v>12</v>
      </c>
      <c r="B13" s="284" t="s">
        <v>1042</v>
      </c>
      <c r="C13" s="284">
        <v>0.55779999999999996</v>
      </c>
      <c r="D13" s="284">
        <v>0.01</v>
      </c>
      <c r="E13" s="284">
        <v>2013</v>
      </c>
    </row>
    <row r="14" spans="1:5">
      <c r="A14" s="284">
        <v>13</v>
      </c>
      <c r="B14" s="284" t="s">
        <v>1043</v>
      </c>
      <c r="C14" s="284">
        <v>0.62660000000000005</v>
      </c>
      <c r="D14" s="284">
        <v>0.01</v>
      </c>
      <c r="E14" s="284">
        <v>2013</v>
      </c>
    </row>
    <row r="15" spans="1:5">
      <c r="A15" s="284">
        <v>14</v>
      </c>
      <c r="B15" s="284" t="s">
        <v>1044</v>
      </c>
      <c r="C15" s="284">
        <v>0.65549999999999997</v>
      </c>
      <c r="D15" s="284">
        <v>0.01</v>
      </c>
      <c r="E15" s="284">
        <v>2013</v>
      </c>
    </row>
  </sheetData>
  <pageMargins left="0.7" right="0.7" top="0.75" bottom="0.75" header="0.3" footer="0.3"/>
  <headerFooter>
    <oddHeader>&amp;C&amp;"Aptos"&amp;10&amp;K0078D7 [Open]&amp;1#_x000D_</oddHead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FB924-B039-458F-BBA0-EC81FB067FC7}">
  <dimension ref="A1:F68"/>
  <sheetViews>
    <sheetView workbookViewId="0">
      <selection activeCell="C25" sqref="C25"/>
    </sheetView>
  </sheetViews>
  <sheetFormatPr defaultRowHeight="14"/>
  <cols>
    <col min="1" max="1" width="8.6640625" style="37"/>
    <col min="2" max="2" width="31.9140625" style="37" customWidth="1"/>
    <col min="3" max="3" width="24.9140625" style="37" customWidth="1"/>
    <col min="4" max="4" width="17.4140625" style="37" customWidth="1"/>
    <col min="5" max="5" width="8.6640625" style="37"/>
    <col min="6" max="6" width="25.08203125" style="37" customWidth="1"/>
    <col min="7" max="16384" width="8.6640625" style="37"/>
  </cols>
  <sheetData>
    <row r="1" spans="1:6" ht="14.5" thickBot="1">
      <c r="A1" s="148" t="s">
        <v>926</v>
      </c>
      <c r="B1" s="167" t="s">
        <v>607</v>
      </c>
      <c r="C1" s="167" t="s">
        <v>927</v>
      </c>
      <c r="D1" s="167" t="s">
        <v>928</v>
      </c>
      <c r="E1" s="240" t="s">
        <v>606</v>
      </c>
      <c r="F1" s="118" t="s">
        <v>929</v>
      </c>
    </row>
    <row r="2" spans="1:6">
      <c r="A2" s="148">
        <v>1</v>
      </c>
      <c r="B2" s="167" t="s">
        <v>930</v>
      </c>
      <c r="C2" s="167">
        <v>0.25</v>
      </c>
      <c r="D2" s="167">
        <v>1.69</v>
      </c>
      <c r="E2" s="149">
        <v>2003</v>
      </c>
      <c r="F2" s="241" t="s">
        <v>147</v>
      </c>
    </row>
    <row r="3" spans="1:6">
      <c r="A3" s="152">
        <v>2</v>
      </c>
      <c r="B3" s="118" t="s">
        <v>931</v>
      </c>
      <c r="C3" s="118">
        <v>0</v>
      </c>
      <c r="D3" s="118">
        <v>0</v>
      </c>
      <c r="E3" s="153">
        <v>2003</v>
      </c>
      <c r="F3" s="242" t="s">
        <v>325</v>
      </c>
    </row>
    <row r="4" spans="1:6">
      <c r="A4" s="152">
        <v>3</v>
      </c>
      <c r="B4" s="118" t="s">
        <v>932</v>
      </c>
      <c r="C4" s="118">
        <v>0</v>
      </c>
      <c r="D4" s="118">
        <v>0</v>
      </c>
      <c r="E4" s="153">
        <v>2003</v>
      </c>
      <c r="F4" s="242" t="s">
        <v>147</v>
      </c>
    </row>
    <row r="5" spans="1:6">
      <c r="A5" s="152">
        <v>4</v>
      </c>
      <c r="B5" s="118" t="s">
        <v>933</v>
      </c>
      <c r="C5" s="118">
        <v>0.08</v>
      </c>
      <c r="D5" s="118">
        <v>0.37</v>
      </c>
      <c r="E5" s="153">
        <v>2003</v>
      </c>
      <c r="F5" s="242" t="s">
        <v>147</v>
      </c>
    </row>
    <row r="6" spans="1:6">
      <c r="A6" s="152">
        <v>5</v>
      </c>
      <c r="B6" s="118" t="s">
        <v>934</v>
      </c>
      <c r="C6" s="118">
        <v>2.5000000000000001E-3</v>
      </c>
      <c r="D6" s="118">
        <v>9.4500000000000001E-2</v>
      </c>
      <c r="E6" s="153">
        <v>2003</v>
      </c>
      <c r="F6" s="242" t="s">
        <v>147</v>
      </c>
    </row>
    <row r="7" spans="1:6">
      <c r="A7" s="152">
        <v>6</v>
      </c>
      <c r="B7" s="118" t="s">
        <v>935</v>
      </c>
      <c r="C7" s="118">
        <v>3.5000000000000003E-2</v>
      </c>
      <c r="D7" s="118">
        <v>0.42800000000000005</v>
      </c>
      <c r="E7" s="153">
        <v>2003</v>
      </c>
      <c r="F7" s="242" t="s">
        <v>147</v>
      </c>
    </row>
    <row r="8" spans="1:6">
      <c r="A8" s="152">
        <v>7</v>
      </c>
      <c r="B8" s="118" t="s">
        <v>936</v>
      </c>
      <c r="C8" s="118">
        <v>8.2000000000000003E-2</v>
      </c>
      <c r="D8" s="118">
        <v>0.61299999999999999</v>
      </c>
      <c r="E8" s="153">
        <v>2003</v>
      </c>
      <c r="F8" s="242" t="s">
        <v>147</v>
      </c>
    </row>
    <row r="9" spans="1:6">
      <c r="A9" s="152">
        <v>8</v>
      </c>
      <c r="B9" s="118" t="s">
        <v>937</v>
      </c>
      <c r="C9" s="118">
        <v>7.0000000000000007E-2</v>
      </c>
      <c r="D9" s="118">
        <v>0.3</v>
      </c>
      <c r="E9" s="153">
        <v>2003</v>
      </c>
      <c r="F9" s="242" t="s">
        <v>147</v>
      </c>
    </row>
    <row r="10" spans="1:6">
      <c r="A10" s="152">
        <v>9</v>
      </c>
      <c r="B10" s="118" t="s">
        <v>938</v>
      </c>
      <c r="C10" s="118">
        <v>0.1</v>
      </c>
      <c r="D10" s="118">
        <v>0.66</v>
      </c>
      <c r="E10" s="153">
        <v>2003</v>
      </c>
      <c r="F10" s="242" t="s">
        <v>147</v>
      </c>
    </row>
    <row r="11" spans="1:6">
      <c r="A11" s="152">
        <v>10</v>
      </c>
      <c r="B11" s="118" t="s">
        <v>939</v>
      </c>
      <c r="C11" s="118">
        <v>0</v>
      </c>
      <c r="D11" s="118">
        <v>0</v>
      </c>
      <c r="E11" s="153">
        <v>2003</v>
      </c>
      <c r="F11" s="242" t="s">
        <v>325</v>
      </c>
    </row>
    <row r="12" spans="1:6">
      <c r="A12" s="152">
        <v>11</v>
      </c>
      <c r="B12" s="118" t="s">
        <v>940</v>
      </c>
      <c r="C12" s="118">
        <v>0</v>
      </c>
      <c r="D12" s="118">
        <v>0</v>
      </c>
      <c r="E12" s="153">
        <v>2003</v>
      </c>
      <c r="F12" s="242" t="s">
        <v>325</v>
      </c>
    </row>
    <row r="13" spans="1:6">
      <c r="A13" s="152">
        <v>12</v>
      </c>
      <c r="B13" s="118" t="s">
        <v>941</v>
      </c>
      <c r="C13" s="118">
        <v>0</v>
      </c>
      <c r="D13" s="118">
        <v>0</v>
      </c>
      <c r="E13" s="153">
        <v>2003</v>
      </c>
      <c r="F13" s="242" t="s">
        <v>325</v>
      </c>
    </row>
    <row r="14" spans="1:6">
      <c r="A14" s="152">
        <v>13</v>
      </c>
      <c r="B14" s="118" t="s">
        <v>942</v>
      </c>
      <c r="C14" s="118">
        <v>0</v>
      </c>
      <c r="D14" s="118">
        <v>0</v>
      </c>
      <c r="E14" s="153">
        <v>2003</v>
      </c>
      <c r="F14" s="242" t="s">
        <v>325</v>
      </c>
    </row>
    <row r="15" spans="1:6" ht="14.5" thickBot="1">
      <c r="A15" s="154">
        <v>14</v>
      </c>
      <c r="B15" s="170" t="s">
        <v>943</v>
      </c>
      <c r="C15" s="170">
        <v>0</v>
      </c>
      <c r="D15" s="170">
        <v>0</v>
      </c>
      <c r="E15" s="155">
        <v>2003</v>
      </c>
      <c r="F15" s="243" t="s">
        <v>325</v>
      </c>
    </row>
    <row r="16" spans="1:6">
      <c r="A16" s="148">
        <v>1</v>
      </c>
      <c r="B16" s="167" t="s">
        <v>944</v>
      </c>
      <c r="C16" s="167">
        <v>7.62E-3</v>
      </c>
      <c r="D16" s="167">
        <v>1.018E-2</v>
      </c>
      <c r="E16" s="149">
        <v>2013</v>
      </c>
      <c r="F16" s="241" t="s">
        <v>325</v>
      </c>
    </row>
    <row r="17" spans="1:6">
      <c r="A17" s="152">
        <v>2</v>
      </c>
      <c r="B17" s="118" t="s">
        <v>945</v>
      </c>
      <c r="C17" s="118">
        <v>1.73E-3</v>
      </c>
      <c r="D17" s="118">
        <v>7.7799999999999996E-3</v>
      </c>
      <c r="E17" s="153">
        <v>2013</v>
      </c>
      <c r="F17" s="242" t="s">
        <v>147</v>
      </c>
    </row>
    <row r="18" spans="1:6">
      <c r="A18" s="152">
        <v>3</v>
      </c>
      <c r="B18" s="118" t="s">
        <v>946</v>
      </c>
      <c r="C18" s="118">
        <v>3.64E-3</v>
      </c>
      <c r="D18" s="118">
        <v>0.12336</v>
      </c>
      <c r="E18" s="153">
        <v>2013</v>
      </c>
      <c r="F18" s="242" t="s">
        <v>147</v>
      </c>
    </row>
    <row r="19" spans="1:6" ht="14.5" thickBot="1">
      <c r="A19" s="154">
        <v>4</v>
      </c>
      <c r="B19" s="170" t="s">
        <v>947</v>
      </c>
      <c r="C19" s="170">
        <v>4.4099999999999999E-3</v>
      </c>
      <c r="D19" s="170">
        <v>2.419E-2</v>
      </c>
      <c r="E19" s="155">
        <v>2013</v>
      </c>
      <c r="F19" s="243" t="s">
        <v>147</v>
      </c>
    </row>
    <row r="20" spans="1:6" ht="15" thickBot="1">
      <c r="A20" s="152">
        <v>1</v>
      </c>
      <c r="B20" s="244" t="s">
        <v>948</v>
      </c>
      <c r="C20" s="118">
        <v>0</v>
      </c>
      <c r="D20" s="118">
        <v>0</v>
      </c>
      <c r="E20" s="153">
        <v>2013</v>
      </c>
      <c r="F20" s="242" t="s">
        <v>325</v>
      </c>
    </row>
    <row r="21" spans="1:6" ht="14.5">
      <c r="A21" s="152">
        <v>2</v>
      </c>
      <c r="B21" s="245" t="s">
        <v>949</v>
      </c>
      <c r="C21" s="118">
        <v>0</v>
      </c>
      <c r="D21" s="118">
        <v>0</v>
      </c>
      <c r="E21" s="153">
        <v>2013</v>
      </c>
      <c r="F21" s="242" t="s">
        <v>325</v>
      </c>
    </row>
    <row r="22" spans="1:6" ht="14.5">
      <c r="A22" s="152">
        <v>3</v>
      </c>
      <c r="B22" s="246" t="s">
        <v>950</v>
      </c>
      <c r="C22" s="118">
        <v>0</v>
      </c>
      <c r="D22" s="118">
        <v>0</v>
      </c>
      <c r="E22" s="153">
        <v>2013</v>
      </c>
      <c r="F22" s="242" t="s">
        <v>325</v>
      </c>
    </row>
    <row r="23" spans="1:6" ht="14.5">
      <c r="A23" s="152">
        <v>4</v>
      </c>
      <c r="B23" s="246" t="s">
        <v>951</v>
      </c>
      <c r="C23" s="118">
        <v>0</v>
      </c>
      <c r="D23" s="118">
        <v>0</v>
      </c>
      <c r="E23" s="153">
        <v>2013</v>
      </c>
      <c r="F23" s="242" t="s">
        <v>325</v>
      </c>
    </row>
    <row r="24" spans="1:6" ht="14.5">
      <c r="A24" s="152">
        <v>5</v>
      </c>
      <c r="B24" s="246" t="s">
        <v>952</v>
      </c>
      <c r="C24" s="118">
        <v>0</v>
      </c>
      <c r="D24" s="118">
        <v>0</v>
      </c>
      <c r="E24" s="153">
        <v>2013</v>
      </c>
      <c r="F24" s="242" t="s">
        <v>325</v>
      </c>
    </row>
    <row r="25" spans="1:6" ht="14.5">
      <c r="A25" s="152">
        <v>6</v>
      </c>
      <c r="B25" s="246" t="s">
        <v>953</v>
      </c>
      <c r="C25" s="118">
        <v>0</v>
      </c>
      <c r="D25" s="118">
        <v>0</v>
      </c>
      <c r="E25" s="153">
        <v>2013</v>
      </c>
      <c r="F25" s="242" t="s">
        <v>325</v>
      </c>
    </row>
    <row r="26" spans="1:6" ht="14.5">
      <c r="A26" s="152">
        <v>7</v>
      </c>
      <c r="B26" s="247" t="s">
        <v>954</v>
      </c>
      <c r="C26" s="118">
        <v>0</v>
      </c>
      <c r="D26" s="118">
        <v>0</v>
      </c>
      <c r="E26" s="153">
        <v>2013</v>
      </c>
      <c r="F26" s="242" t="s">
        <v>325</v>
      </c>
    </row>
    <row r="27" spans="1:6" ht="14.5">
      <c r="A27" s="152">
        <v>8</v>
      </c>
      <c r="B27" s="246" t="s">
        <v>955</v>
      </c>
      <c r="C27" s="118">
        <v>0</v>
      </c>
      <c r="D27" s="118">
        <v>0</v>
      </c>
      <c r="E27" s="153">
        <v>2013</v>
      </c>
      <c r="F27" s="242" t="s">
        <v>325</v>
      </c>
    </row>
    <row r="28" spans="1:6" ht="14.5">
      <c r="A28" s="152">
        <v>9</v>
      </c>
      <c r="B28" s="247" t="s">
        <v>956</v>
      </c>
      <c r="C28" s="118">
        <v>0</v>
      </c>
      <c r="D28" s="118">
        <v>0</v>
      </c>
      <c r="E28" s="153">
        <v>2013</v>
      </c>
      <c r="F28" s="242" t="s">
        <v>325</v>
      </c>
    </row>
    <row r="29" spans="1:6" ht="14.5">
      <c r="A29" s="152">
        <v>10</v>
      </c>
      <c r="B29" s="246" t="s">
        <v>957</v>
      </c>
      <c r="C29" s="118">
        <v>0</v>
      </c>
      <c r="D29" s="118">
        <v>0</v>
      </c>
      <c r="E29" s="153">
        <v>2013</v>
      </c>
      <c r="F29" s="242" t="s">
        <v>325</v>
      </c>
    </row>
    <row r="30" spans="1:6" ht="14.5">
      <c r="A30" s="152">
        <v>11</v>
      </c>
      <c r="B30" s="247" t="s">
        <v>958</v>
      </c>
      <c r="C30" s="118">
        <v>0</v>
      </c>
      <c r="D30" s="118">
        <v>0</v>
      </c>
      <c r="E30" s="153">
        <v>2013</v>
      </c>
      <c r="F30" s="242" t="s">
        <v>325</v>
      </c>
    </row>
    <row r="31" spans="1:6" ht="14.5">
      <c r="A31" s="152">
        <v>12</v>
      </c>
      <c r="B31" s="247" t="s">
        <v>959</v>
      </c>
      <c r="C31" s="118">
        <v>0</v>
      </c>
      <c r="D31" s="118">
        <v>0</v>
      </c>
      <c r="E31" s="153">
        <v>2013</v>
      </c>
      <c r="F31" s="242" t="s">
        <v>325</v>
      </c>
    </row>
    <row r="32" spans="1:6" ht="14.5">
      <c r="A32" s="152">
        <v>13</v>
      </c>
      <c r="B32" s="246" t="s">
        <v>960</v>
      </c>
      <c r="C32" s="118">
        <v>0</v>
      </c>
      <c r="D32" s="118">
        <v>0</v>
      </c>
      <c r="E32" s="153">
        <v>2013</v>
      </c>
      <c r="F32" s="242" t="s">
        <v>325</v>
      </c>
    </row>
    <row r="33" spans="1:6" ht="14.5">
      <c r="A33" s="152">
        <v>14</v>
      </c>
      <c r="B33" s="246" t="s">
        <v>961</v>
      </c>
      <c r="C33" s="118">
        <v>0</v>
      </c>
      <c r="D33" s="118">
        <v>0</v>
      </c>
      <c r="E33" s="153">
        <v>2013</v>
      </c>
      <c r="F33" s="242" t="s">
        <v>325</v>
      </c>
    </row>
    <row r="34" spans="1:6" ht="14.5">
      <c r="A34" s="152">
        <v>15</v>
      </c>
      <c r="B34" s="247" t="s">
        <v>962</v>
      </c>
      <c r="C34" s="118">
        <v>0</v>
      </c>
      <c r="D34" s="118">
        <v>0</v>
      </c>
      <c r="E34" s="153">
        <v>2013</v>
      </c>
      <c r="F34" s="242" t="s">
        <v>325</v>
      </c>
    </row>
    <row r="35" spans="1:6" ht="14.5">
      <c r="A35" s="152">
        <v>16</v>
      </c>
      <c r="B35" s="247" t="s">
        <v>963</v>
      </c>
      <c r="C35" s="118">
        <v>0</v>
      </c>
      <c r="D35" s="118">
        <v>0</v>
      </c>
      <c r="E35" s="153">
        <v>2013</v>
      </c>
      <c r="F35" s="242" t="s">
        <v>325</v>
      </c>
    </row>
    <row r="36" spans="1:6" ht="14.5">
      <c r="A36" s="152">
        <v>17</v>
      </c>
      <c r="B36" s="247" t="s">
        <v>964</v>
      </c>
      <c r="C36" s="118">
        <v>0</v>
      </c>
      <c r="D36" s="118">
        <v>0</v>
      </c>
      <c r="E36" s="153">
        <v>2013</v>
      </c>
      <c r="F36" s="242" t="s">
        <v>325</v>
      </c>
    </row>
    <row r="37" spans="1:6" ht="14.5">
      <c r="A37" s="152">
        <v>18</v>
      </c>
      <c r="B37" s="246" t="s">
        <v>965</v>
      </c>
      <c r="C37" s="118">
        <v>0</v>
      </c>
      <c r="D37" s="118">
        <v>0</v>
      </c>
      <c r="E37" s="153">
        <v>2013</v>
      </c>
      <c r="F37" s="242" t="s">
        <v>325</v>
      </c>
    </row>
    <row r="38" spans="1:6" ht="14.5">
      <c r="A38" s="152">
        <v>19</v>
      </c>
      <c r="B38" s="246" t="s">
        <v>966</v>
      </c>
      <c r="C38" s="118">
        <v>0</v>
      </c>
      <c r="D38" s="118">
        <v>0</v>
      </c>
      <c r="E38" s="153">
        <v>2013</v>
      </c>
      <c r="F38" s="242" t="s">
        <v>325</v>
      </c>
    </row>
    <row r="39" spans="1:6" ht="14.5">
      <c r="A39" s="152">
        <v>20</v>
      </c>
      <c r="B39" s="246" t="s">
        <v>967</v>
      </c>
      <c r="C39" s="118">
        <v>0</v>
      </c>
      <c r="D39" s="118">
        <v>0</v>
      </c>
      <c r="E39" s="153">
        <v>2013</v>
      </c>
      <c r="F39" s="242" t="s">
        <v>325</v>
      </c>
    </row>
    <row r="40" spans="1:6" ht="14.5">
      <c r="A40" s="152">
        <v>21</v>
      </c>
      <c r="B40" s="246" t="s">
        <v>968</v>
      </c>
      <c r="C40" s="118">
        <v>0</v>
      </c>
      <c r="D40" s="118">
        <v>0</v>
      </c>
      <c r="E40" s="153">
        <v>2013</v>
      </c>
      <c r="F40" s="242" t="s">
        <v>325</v>
      </c>
    </row>
    <row r="41" spans="1:6" ht="14.5">
      <c r="A41" s="152">
        <v>22</v>
      </c>
      <c r="B41" s="248" t="s">
        <v>969</v>
      </c>
      <c r="C41" s="118">
        <v>0</v>
      </c>
      <c r="D41" s="118">
        <v>0</v>
      </c>
      <c r="E41" s="153">
        <v>2013</v>
      </c>
      <c r="F41" s="242" t="s">
        <v>325</v>
      </c>
    </row>
    <row r="42" spans="1:6" ht="14.5">
      <c r="A42" s="152">
        <v>23</v>
      </c>
      <c r="B42" s="248" t="s">
        <v>970</v>
      </c>
      <c r="C42" s="118">
        <v>0</v>
      </c>
      <c r="D42" s="118">
        <v>0</v>
      </c>
      <c r="E42" s="153">
        <v>2013</v>
      </c>
      <c r="F42" s="242" t="s">
        <v>325</v>
      </c>
    </row>
    <row r="43" spans="1:6" ht="14.5">
      <c r="A43" s="152">
        <v>24</v>
      </c>
      <c r="B43" s="248" t="s">
        <v>971</v>
      </c>
      <c r="C43" s="118">
        <v>0</v>
      </c>
      <c r="D43" s="118">
        <v>0</v>
      </c>
      <c r="E43" s="153">
        <v>2013</v>
      </c>
      <c r="F43" s="242" t="s">
        <v>325</v>
      </c>
    </row>
    <row r="44" spans="1:6" ht="14.5">
      <c r="A44" s="152">
        <v>25</v>
      </c>
      <c r="B44" s="247" t="s">
        <v>972</v>
      </c>
      <c r="C44" s="118">
        <v>0</v>
      </c>
      <c r="D44" s="118">
        <v>0</v>
      </c>
      <c r="E44" s="153">
        <v>2013</v>
      </c>
      <c r="F44" s="242" t="s">
        <v>325</v>
      </c>
    </row>
    <row r="45" spans="1:6" ht="14.5">
      <c r="A45" s="152">
        <v>26</v>
      </c>
      <c r="B45" s="247" t="s">
        <v>973</v>
      </c>
      <c r="C45" s="118">
        <v>0</v>
      </c>
      <c r="D45" s="118">
        <v>0</v>
      </c>
      <c r="E45" s="153">
        <v>2013</v>
      </c>
      <c r="F45" s="242" t="s">
        <v>325</v>
      </c>
    </row>
    <row r="46" spans="1:6" ht="14.5">
      <c r="A46" s="152">
        <v>27</v>
      </c>
      <c r="B46" s="247" t="s">
        <v>974</v>
      </c>
      <c r="C46" s="118">
        <v>0</v>
      </c>
      <c r="D46" s="118">
        <v>0</v>
      </c>
      <c r="E46" s="153">
        <v>2013</v>
      </c>
      <c r="F46" s="242" t="s">
        <v>325</v>
      </c>
    </row>
    <row r="47" spans="1:6" ht="14.5">
      <c r="A47" s="152">
        <v>28</v>
      </c>
      <c r="B47" s="247" t="s">
        <v>975</v>
      </c>
      <c r="C47" s="118">
        <v>0</v>
      </c>
      <c r="D47" s="118">
        <v>0</v>
      </c>
      <c r="E47" s="153">
        <v>2013</v>
      </c>
      <c r="F47" s="242" t="s">
        <v>325</v>
      </c>
    </row>
    <row r="48" spans="1:6" ht="14.5">
      <c r="A48" s="152">
        <v>29</v>
      </c>
      <c r="B48" s="247" t="s">
        <v>976</v>
      </c>
      <c r="C48" s="118">
        <v>0</v>
      </c>
      <c r="D48" s="118">
        <v>0</v>
      </c>
      <c r="E48" s="153">
        <v>2013</v>
      </c>
      <c r="F48" s="242" t="s">
        <v>325</v>
      </c>
    </row>
    <row r="49" spans="1:6" ht="14.5">
      <c r="A49" s="152">
        <v>30</v>
      </c>
      <c r="B49" s="247" t="s">
        <v>977</v>
      </c>
      <c r="C49" s="118">
        <v>0</v>
      </c>
      <c r="D49" s="118">
        <v>0</v>
      </c>
      <c r="E49" s="153">
        <v>2013</v>
      </c>
      <c r="F49" s="242" t="s">
        <v>325</v>
      </c>
    </row>
    <row r="50" spans="1:6" ht="14.5">
      <c r="A50" s="152">
        <v>31</v>
      </c>
      <c r="B50" s="247" t="s">
        <v>978</v>
      </c>
      <c r="C50" s="118">
        <v>0</v>
      </c>
      <c r="D50" s="118">
        <v>0</v>
      </c>
      <c r="E50" s="153">
        <v>2013</v>
      </c>
      <c r="F50" s="242" t="s">
        <v>325</v>
      </c>
    </row>
    <row r="51" spans="1:6" ht="14.5">
      <c r="A51" s="152">
        <v>32</v>
      </c>
      <c r="B51" s="246" t="s">
        <v>979</v>
      </c>
      <c r="C51" s="118">
        <v>0</v>
      </c>
      <c r="D51" s="118">
        <v>0</v>
      </c>
      <c r="E51" s="153">
        <v>2013</v>
      </c>
      <c r="F51" s="242" t="s">
        <v>325</v>
      </c>
    </row>
    <row r="52" spans="1:6" ht="14.5">
      <c r="A52" s="152">
        <v>33</v>
      </c>
      <c r="B52" s="246" t="s">
        <v>980</v>
      </c>
      <c r="C52" s="118">
        <v>0</v>
      </c>
      <c r="D52" s="118">
        <v>0</v>
      </c>
      <c r="E52" s="153">
        <v>2013</v>
      </c>
      <c r="F52" s="242" t="s">
        <v>325</v>
      </c>
    </row>
    <row r="53" spans="1:6" ht="14.5">
      <c r="A53" s="152">
        <v>34</v>
      </c>
      <c r="B53" s="246" t="s">
        <v>981</v>
      </c>
      <c r="C53" s="118">
        <v>0</v>
      </c>
      <c r="D53" s="118">
        <v>0</v>
      </c>
      <c r="E53" s="153">
        <v>2013</v>
      </c>
      <c r="F53" s="242" t="s">
        <v>325</v>
      </c>
    </row>
    <row r="54" spans="1:6" ht="14.5">
      <c r="A54" s="152">
        <v>35</v>
      </c>
      <c r="B54" s="246" t="s">
        <v>982</v>
      </c>
      <c r="C54" s="118">
        <v>0</v>
      </c>
      <c r="D54" s="118">
        <v>0</v>
      </c>
      <c r="E54" s="153">
        <v>2013</v>
      </c>
      <c r="F54" s="242" t="s">
        <v>325</v>
      </c>
    </row>
    <row r="55" spans="1:6" ht="14.5">
      <c r="A55" s="152">
        <v>36</v>
      </c>
      <c r="B55" s="246" t="s">
        <v>983</v>
      </c>
      <c r="C55" s="118">
        <v>0</v>
      </c>
      <c r="D55" s="118">
        <v>0</v>
      </c>
      <c r="E55" s="153">
        <v>2013</v>
      </c>
      <c r="F55" s="242" t="s">
        <v>325</v>
      </c>
    </row>
    <row r="56" spans="1:6" ht="14.5">
      <c r="A56" s="152">
        <v>37</v>
      </c>
      <c r="B56" s="248" t="s">
        <v>984</v>
      </c>
      <c r="C56" s="118">
        <v>0</v>
      </c>
      <c r="D56" s="118">
        <v>0</v>
      </c>
      <c r="E56" s="153">
        <v>2013</v>
      </c>
      <c r="F56" s="242" t="s">
        <v>325</v>
      </c>
    </row>
    <row r="57" spans="1:6" ht="14.5">
      <c r="A57" s="152">
        <v>38</v>
      </c>
      <c r="B57" s="248" t="s">
        <v>985</v>
      </c>
      <c r="C57" s="118">
        <v>0</v>
      </c>
      <c r="D57" s="118">
        <v>0</v>
      </c>
      <c r="E57" s="153">
        <v>2013</v>
      </c>
      <c r="F57" s="242" t="s">
        <v>325</v>
      </c>
    </row>
    <row r="58" spans="1:6" ht="14.5">
      <c r="A58" s="152">
        <v>39</v>
      </c>
      <c r="B58" s="247" t="s">
        <v>986</v>
      </c>
      <c r="C58" s="118">
        <v>0</v>
      </c>
      <c r="D58" s="118">
        <v>0</v>
      </c>
      <c r="E58" s="153">
        <v>2013</v>
      </c>
      <c r="F58" s="242" t="s">
        <v>325</v>
      </c>
    </row>
    <row r="59" spans="1:6" ht="14.5">
      <c r="A59" s="152">
        <v>40</v>
      </c>
      <c r="B59" s="248" t="s">
        <v>987</v>
      </c>
      <c r="C59" s="118">
        <v>0</v>
      </c>
      <c r="D59" s="118">
        <v>0</v>
      </c>
      <c r="E59" s="153">
        <v>2013</v>
      </c>
      <c r="F59" s="242" t="s">
        <v>325</v>
      </c>
    </row>
    <row r="60" spans="1:6" ht="14.5">
      <c r="A60" s="152">
        <v>41</v>
      </c>
      <c r="B60" s="248" t="s">
        <v>988</v>
      </c>
      <c r="C60" s="118">
        <v>0</v>
      </c>
      <c r="D60" s="118">
        <v>0</v>
      </c>
      <c r="E60" s="153">
        <v>2013</v>
      </c>
      <c r="F60" s="242" t="s">
        <v>325</v>
      </c>
    </row>
    <row r="61" spans="1:6" ht="14.5">
      <c r="A61" s="152">
        <v>42</v>
      </c>
      <c r="B61" s="248" t="s">
        <v>989</v>
      </c>
      <c r="C61" s="118">
        <v>0</v>
      </c>
      <c r="D61" s="118">
        <v>0</v>
      </c>
      <c r="E61" s="153">
        <v>2013</v>
      </c>
      <c r="F61" s="242" t="s">
        <v>325</v>
      </c>
    </row>
    <row r="62" spans="1:6" ht="14.5">
      <c r="A62" s="152">
        <v>43</v>
      </c>
      <c r="B62" s="248" t="s">
        <v>990</v>
      </c>
      <c r="C62" s="118">
        <v>0</v>
      </c>
      <c r="D62" s="118">
        <v>0</v>
      </c>
      <c r="E62" s="153">
        <v>2013</v>
      </c>
      <c r="F62" s="242" t="s">
        <v>325</v>
      </c>
    </row>
    <row r="63" spans="1:6" ht="14.5">
      <c r="A63" s="152">
        <v>44</v>
      </c>
      <c r="B63" s="249" t="s">
        <v>991</v>
      </c>
      <c r="C63" s="250">
        <v>8.0000000000000004E-4</v>
      </c>
      <c r="D63" s="250">
        <v>0.13</v>
      </c>
      <c r="E63" s="251">
        <v>2013</v>
      </c>
      <c r="F63" s="252" t="s">
        <v>147</v>
      </c>
    </row>
    <row r="64" spans="1:6" ht="14.5">
      <c r="A64" s="152">
        <v>45</v>
      </c>
      <c r="B64" s="249" t="s">
        <v>992</v>
      </c>
      <c r="C64" s="250">
        <v>8.0000000000000004E-4</v>
      </c>
      <c r="D64" s="250">
        <v>0.13</v>
      </c>
      <c r="E64" s="251">
        <v>2013</v>
      </c>
      <c r="F64" s="252" t="s">
        <v>147</v>
      </c>
    </row>
    <row r="65" spans="1:6" ht="14.5">
      <c r="A65" s="152">
        <v>46</v>
      </c>
      <c r="B65" s="249" t="s">
        <v>993</v>
      </c>
      <c r="C65" s="250">
        <v>8.0000000000000004E-4</v>
      </c>
      <c r="D65" s="250">
        <v>0.13</v>
      </c>
      <c r="E65" s="251">
        <v>2013</v>
      </c>
      <c r="F65" s="252" t="s">
        <v>147</v>
      </c>
    </row>
    <row r="66" spans="1:6" ht="14.5">
      <c r="A66" s="152">
        <v>47</v>
      </c>
      <c r="B66" s="247" t="s">
        <v>994</v>
      </c>
      <c r="C66" s="118">
        <v>0</v>
      </c>
      <c r="D66" s="118">
        <v>0</v>
      </c>
      <c r="E66" s="153">
        <v>2013</v>
      </c>
      <c r="F66" s="242" t="s">
        <v>325</v>
      </c>
    </row>
    <row r="67" spans="1:6" ht="14.5">
      <c r="A67" s="152">
        <v>48</v>
      </c>
      <c r="B67" s="246" t="s">
        <v>995</v>
      </c>
      <c r="C67" s="118">
        <v>0</v>
      </c>
      <c r="D67" s="118">
        <v>0</v>
      </c>
      <c r="E67" s="153">
        <v>2013</v>
      </c>
      <c r="F67" s="242" t="s">
        <v>325</v>
      </c>
    </row>
    <row r="68" spans="1:6" ht="15" thickBot="1">
      <c r="A68" s="152">
        <v>49</v>
      </c>
      <c r="B68" s="244" t="s">
        <v>996</v>
      </c>
      <c r="C68" s="118">
        <v>0</v>
      </c>
      <c r="D68" s="118">
        <v>0</v>
      </c>
      <c r="E68" s="153">
        <v>2013</v>
      </c>
      <c r="F68" s="242" t="s">
        <v>325</v>
      </c>
    </row>
  </sheetData>
  <pageMargins left="0.7" right="0.7" top="0.75" bottom="0.75" header="0.3" footer="0.3"/>
  <headerFooter>
    <oddHeader>&amp;C&amp;"Aptos"&amp;10&amp;K0078D7 [Open]&amp;1#_x000D_</oddHeader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4294E-48B6-4F42-B64B-2C76ABA31680}">
  <dimension ref="B1:G15"/>
  <sheetViews>
    <sheetView zoomScale="130" zoomScaleNormal="130" workbookViewId="0">
      <selection activeCell="D17" sqref="D17"/>
    </sheetView>
  </sheetViews>
  <sheetFormatPr defaultRowHeight="14"/>
  <cols>
    <col min="1" max="3" width="8.6640625" style="37"/>
    <col min="4" max="4" width="37.4140625" style="37" customWidth="1"/>
    <col min="5" max="5" width="27.08203125" style="37" bestFit="1" customWidth="1"/>
    <col min="6" max="6" width="11.33203125" style="37" bestFit="1" customWidth="1"/>
    <col min="7" max="7" width="14.83203125" style="37" bestFit="1" customWidth="1"/>
    <col min="8" max="16384" width="8.6640625" style="37"/>
  </cols>
  <sheetData>
    <row r="1" spans="2:7" ht="14.5" thickBot="1">
      <c r="B1" s="186" t="s">
        <v>606</v>
      </c>
      <c r="C1" s="186" t="s">
        <v>997</v>
      </c>
      <c r="D1" s="186" t="s">
        <v>998</v>
      </c>
      <c r="E1" s="186" t="s">
        <v>999</v>
      </c>
      <c r="F1" s="253" t="s">
        <v>1000</v>
      </c>
      <c r="G1" s="254" t="s">
        <v>1001</v>
      </c>
    </row>
    <row r="2" spans="2:7" ht="14.5">
      <c r="B2" s="255">
        <v>2003</v>
      </c>
      <c r="C2" s="256">
        <v>1</v>
      </c>
      <c r="D2" s="257" t="s">
        <v>1002</v>
      </c>
      <c r="E2" s="256"/>
      <c r="F2" s="258">
        <v>0.53333333333333333</v>
      </c>
      <c r="G2" s="259">
        <v>0.46666666666666667</v>
      </c>
    </row>
    <row r="3" spans="2:7" ht="14.5">
      <c r="B3" s="260">
        <v>2003</v>
      </c>
      <c r="C3" s="261">
        <v>2</v>
      </c>
      <c r="D3" s="262" t="s">
        <v>1003</v>
      </c>
      <c r="E3" s="261"/>
      <c r="F3" s="263">
        <v>1</v>
      </c>
      <c r="G3" s="264">
        <v>0</v>
      </c>
    </row>
    <row r="4" spans="2:7" ht="14.5">
      <c r="B4" s="260">
        <v>2003</v>
      </c>
      <c r="C4" s="261">
        <v>3</v>
      </c>
      <c r="D4" s="262" t="s">
        <v>1004</v>
      </c>
      <c r="E4" s="261"/>
      <c r="F4" s="263">
        <v>1</v>
      </c>
      <c r="G4" s="264">
        <v>0</v>
      </c>
    </row>
    <row r="5" spans="2:7" ht="14.5">
      <c r="B5" s="260">
        <v>2003</v>
      </c>
      <c r="C5" s="261">
        <v>4</v>
      </c>
      <c r="D5" s="262" t="s">
        <v>1005</v>
      </c>
      <c r="E5" s="261"/>
      <c r="F5" s="263">
        <v>0.33333333333333331</v>
      </c>
      <c r="G5" s="265">
        <v>0.66666666666666674</v>
      </c>
    </row>
    <row r="6" spans="2:7" ht="14.5">
      <c r="B6" s="260">
        <v>2003</v>
      </c>
      <c r="C6" s="261">
        <v>5</v>
      </c>
      <c r="D6" s="262" t="s">
        <v>1006</v>
      </c>
      <c r="E6" s="261"/>
      <c r="F6" s="263">
        <v>0.13333333333333333</v>
      </c>
      <c r="G6" s="265">
        <v>0.8666666666666667</v>
      </c>
    </row>
    <row r="7" spans="2:7" ht="14.5">
      <c r="B7" s="260">
        <v>2003</v>
      </c>
      <c r="C7" s="261">
        <v>6</v>
      </c>
      <c r="D7" s="262" t="s">
        <v>1007</v>
      </c>
      <c r="E7" s="261"/>
      <c r="F7" s="263">
        <v>0.33333333333333331</v>
      </c>
      <c r="G7" s="265">
        <v>0.66666666666666674</v>
      </c>
    </row>
    <row r="8" spans="2:7" ht="14.5">
      <c r="B8" s="260">
        <v>2003</v>
      </c>
      <c r="C8" s="261">
        <v>7</v>
      </c>
      <c r="D8" s="262" t="s">
        <v>1008</v>
      </c>
      <c r="E8" s="261"/>
      <c r="F8" s="263">
        <v>0.33333333333333331</v>
      </c>
      <c r="G8" s="265">
        <v>0.66666666666666674</v>
      </c>
    </row>
    <row r="9" spans="2:7" ht="14.5">
      <c r="B9" s="260">
        <v>2003</v>
      </c>
      <c r="C9" s="261">
        <v>8</v>
      </c>
      <c r="D9" s="262" t="s">
        <v>1009</v>
      </c>
      <c r="E9" s="261"/>
      <c r="F9" s="263">
        <v>0</v>
      </c>
      <c r="G9" s="265">
        <v>1</v>
      </c>
    </row>
    <row r="10" spans="2:7" ht="14.5">
      <c r="B10" s="260">
        <v>2003</v>
      </c>
      <c r="C10" s="261">
        <v>9</v>
      </c>
      <c r="D10" s="262" t="s">
        <v>1010</v>
      </c>
      <c r="E10" s="261"/>
      <c r="F10" s="263">
        <v>0.26666666666666666</v>
      </c>
      <c r="G10" s="265">
        <v>0.73333333333333339</v>
      </c>
    </row>
    <row r="11" spans="2:7" ht="14.5">
      <c r="B11" s="260">
        <v>2003</v>
      </c>
      <c r="C11" s="261">
        <v>10</v>
      </c>
      <c r="D11" s="262" t="s">
        <v>1011</v>
      </c>
      <c r="E11" s="261"/>
      <c r="F11" s="263">
        <v>1</v>
      </c>
      <c r="G11" s="264">
        <v>0</v>
      </c>
    </row>
    <row r="12" spans="2:7" ht="14.5">
      <c r="B12" s="260">
        <v>2003</v>
      </c>
      <c r="C12" s="261">
        <v>11</v>
      </c>
      <c r="D12" s="262" t="s">
        <v>1012</v>
      </c>
      <c r="E12" s="261"/>
      <c r="F12" s="263">
        <v>1</v>
      </c>
      <c r="G12" s="264">
        <v>0</v>
      </c>
    </row>
    <row r="13" spans="2:7" ht="14.5">
      <c r="B13" s="260">
        <v>2003</v>
      </c>
      <c r="C13" s="261">
        <v>12</v>
      </c>
      <c r="D13" s="262" t="s">
        <v>1013</v>
      </c>
      <c r="E13" s="261"/>
      <c r="F13" s="263">
        <v>1</v>
      </c>
      <c r="G13" s="264">
        <v>0</v>
      </c>
    </row>
    <row r="14" spans="2:7" ht="14.5">
      <c r="B14" s="260">
        <v>2003</v>
      </c>
      <c r="C14" s="261">
        <v>13</v>
      </c>
      <c r="D14" s="262" t="s">
        <v>1014</v>
      </c>
      <c r="E14" s="261"/>
      <c r="F14" s="263">
        <v>1</v>
      </c>
      <c r="G14" s="264">
        <v>0</v>
      </c>
    </row>
    <row r="15" spans="2:7" ht="15" thickBot="1">
      <c r="B15" s="266">
        <v>2003</v>
      </c>
      <c r="C15" s="267">
        <v>14</v>
      </c>
      <c r="D15" s="268" t="s">
        <v>1015</v>
      </c>
      <c r="E15" s="267"/>
      <c r="F15" s="269">
        <v>1</v>
      </c>
      <c r="G15" s="270">
        <v>0</v>
      </c>
    </row>
  </sheetData>
  <pageMargins left="0.7" right="0.7" top="0.75" bottom="0.75" header="0.3" footer="0.3"/>
  <headerFooter>
    <oddHeader>&amp;C&amp;"Aptos"&amp;10&amp;K0078D7 [Open]&amp;1#_x000D_</oddHeader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47B9D-0E32-4480-BF91-9614C4BB8445}">
  <dimension ref="B1:G5"/>
  <sheetViews>
    <sheetView zoomScale="130" zoomScaleNormal="130" workbookViewId="0">
      <selection activeCell="B5" sqref="B5"/>
    </sheetView>
  </sheetViews>
  <sheetFormatPr defaultRowHeight="14"/>
  <cols>
    <col min="1" max="3" width="8.6640625" style="37"/>
    <col min="4" max="4" width="37.4140625" style="37" customWidth="1"/>
    <col min="5" max="5" width="27.08203125" style="37" bestFit="1" customWidth="1"/>
    <col min="6" max="6" width="11.33203125" style="37" bestFit="1" customWidth="1"/>
    <col min="7" max="7" width="14.83203125" style="37" bestFit="1" customWidth="1"/>
    <col min="8" max="16384" width="8.6640625" style="37"/>
  </cols>
  <sheetData>
    <row r="1" spans="2:7" ht="14.5" thickBot="1">
      <c r="B1" s="186" t="s">
        <v>606</v>
      </c>
      <c r="C1" s="186" t="s">
        <v>997</v>
      </c>
      <c r="D1" s="186" t="s">
        <v>998</v>
      </c>
      <c r="E1" s="186" t="s">
        <v>999</v>
      </c>
      <c r="F1" s="253" t="s">
        <v>1000</v>
      </c>
      <c r="G1" s="254" t="s">
        <v>1001</v>
      </c>
    </row>
    <row r="2" spans="2:7" ht="14.5">
      <c r="B2" s="255">
        <v>2013</v>
      </c>
      <c r="C2" s="256">
        <v>1</v>
      </c>
      <c r="D2" s="256" t="s">
        <v>1016</v>
      </c>
      <c r="E2" s="256"/>
      <c r="F2" s="271">
        <v>0.125</v>
      </c>
      <c r="G2" s="272">
        <v>0.875</v>
      </c>
    </row>
    <row r="3" spans="2:7" ht="16.5">
      <c r="B3" s="260">
        <v>2013</v>
      </c>
      <c r="C3" s="261">
        <v>2</v>
      </c>
      <c r="D3" s="261" t="s">
        <v>1017</v>
      </c>
      <c r="E3" s="261"/>
      <c r="F3" s="273">
        <v>8.3333333333333329E-2</v>
      </c>
      <c r="G3" s="274">
        <v>0.91666666666666663</v>
      </c>
    </row>
    <row r="4" spans="2:7" ht="14.5">
      <c r="B4" s="260">
        <v>2013</v>
      </c>
      <c r="C4" s="261">
        <v>3</v>
      </c>
      <c r="D4" s="261" t="s">
        <v>1018</v>
      </c>
      <c r="E4" s="261"/>
      <c r="F4" s="273">
        <v>0.70833333333333337</v>
      </c>
      <c r="G4" s="274">
        <v>0.29166666666666663</v>
      </c>
    </row>
    <row r="5" spans="2:7" ht="16.5">
      <c r="B5" s="260">
        <v>2013</v>
      </c>
      <c r="C5" s="261">
        <v>4</v>
      </c>
      <c r="D5" s="261" t="s">
        <v>1019</v>
      </c>
      <c r="E5" s="261"/>
      <c r="F5" s="273">
        <v>0</v>
      </c>
      <c r="G5" s="274">
        <v>1</v>
      </c>
    </row>
  </sheetData>
  <pageMargins left="0.7" right="0.7" top="0.75" bottom="0.75" header="0.3" footer="0.3"/>
  <headerFooter>
    <oddHeader>&amp;C&amp;"Aptos"&amp;10&amp;K0078D7 [Open]&amp;1#_x000D_</oddHeader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55C55-3B71-4646-92A3-696E6DEE70E3}">
  <dimension ref="B1:G50"/>
  <sheetViews>
    <sheetView topLeftCell="O29" zoomScale="130" zoomScaleNormal="130" workbookViewId="0">
      <selection activeCell="D43" sqref="D43"/>
    </sheetView>
  </sheetViews>
  <sheetFormatPr defaultRowHeight="14"/>
  <cols>
    <col min="1" max="3" width="8.6640625" style="37"/>
    <col min="4" max="4" width="37.4140625" style="37" customWidth="1"/>
    <col min="5" max="5" width="27.08203125" style="37" bestFit="1" customWidth="1"/>
    <col min="6" max="6" width="11.33203125" style="37" bestFit="1" customWidth="1"/>
    <col min="7" max="7" width="14.83203125" style="37" bestFit="1" customWidth="1"/>
    <col min="8" max="16384" width="8.6640625" style="37"/>
  </cols>
  <sheetData>
    <row r="1" spans="2:7">
      <c r="B1" s="186" t="s">
        <v>606</v>
      </c>
      <c r="C1" s="186" t="s">
        <v>997</v>
      </c>
      <c r="D1" s="186" t="s">
        <v>998</v>
      </c>
      <c r="E1" s="186" t="s">
        <v>999</v>
      </c>
      <c r="F1" s="253" t="s">
        <v>1000</v>
      </c>
      <c r="G1" s="254" t="s">
        <v>1001</v>
      </c>
    </row>
    <row r="2" spans="2:7" ht="15" thickBot="1">
      <c r="B2" s="266">
        <v>2013</v>
      </c>
      <c r="C2" s="267">
        <v>1</v>
      </c>
      <c r="D2" s="244" t="s">
        <v>948</v>
      </c>
      <c r="E2" s="267"/>
      <c r="F2" s="267">
        <v>1</v>
      </c>
      <c r="G2" s="275">
        <v>0</v>
      </c>
    </row>
    <row r="3" spans="2:7" ht="14.5">
      <c r="B3" s="255">
        <v>2013</v>
      </c>
      <c r="C3" s="256">
        <v>2</v>
      </c>
      <c r="D3" s="245" t="s">
        <v>949</v>
      </c>
      <c r="E3" s="245" t="s">
        <v>1020</v>
      </c>
      <c r="F3" s="245">
        <v>1</v>
      </c>
      <c r="G3" s="276">
        <v>0</v>
      </c>
    </row>
    <row r="4" spans="2:7" ht="14.5">
      <c r="B4" s="260">
        <v>2013</v>
      </c>
      <c r="C4" s="261">
        <v>3</v>
      </c>
      <c r="D4" s="246" t="s">
        <v>950</v>
      </c>
      <c r="E4" s="246" t="s">
        <v>1020</v>
      </c>
      <c r="F4" s="246">
        <v>1</v>
      </c>
      <c r="G4" s="277">
        <v>0</v>
      </c>
    </row>
    <row r="5" spans="2:7" ht="14.5">
      <c r="B5" s="260">
        <v>2013</v>
      </c>
      <c r="C5" s="261">
        <v>4</v>
      </c>
      <c r="D5" s="246" t="s">
        <v>951</v>
      </c>
      <c r="E5" s="246" t="s">
        <v>1020</v>
      </c>
      <c r="F5" s="246">
        <v>1</v>
      </c>
      <c r="G5" s="277">
        <v>0</v>
      </c>
    </row>
    <row r="6" spans="2:7" ht="14.5">
      <c r="B6" s="260">
        <v>2013</v>
      </c>
      <c r="C6" s="261">
        <v>5</v>
      </c>
      <c r="D6" s="246" t="s">
        <v>952</v>
      </c>
      <c r="E6" s="246" t="s">
        <v>1020</v>
      </c>
      <c r="F6" s="246">
        <v>1</v>
      </c>
      <c r="G6" s="277">
        <v>0</v>
      </c>
    </row>
    <row r="7" spans="2:7" ht="14.5">
      <c r="B7" s="260">
        <v>2013</v>
      </c>
      <c r="C7" s="261">
        <v>6</v>
      </c>
      <c r="D7" s="246" t="s">
        <v>953</v>
      </c>
      <c r="E7" s="246" t="s">
        <v>1020</v>
      </c>
      <c r="F7" s="246">
        <v>1</v>
      </c>
      <c r="G7" s="277">
        <v>0</v>
      </c>
    </row>
    <row r="8" spans="2:7" ht="14.5">
      <c r="B8" s="260">
        <v>2013</v>
      </c>
      <c r="C8" s="261">
        <v>7</v>
      </c>
      <c r="D8" s="247" t="s">
        <v>954</v>
      </c>
      <c r="E8" s="247" t="s">
        <v>1021</v>
      </c>
      <c r="F8" s="247">
        <v>1</v>
      </c>
      <c r="G8" s="278">
        <v>0</v>
      </c>
    </row>
    <row r="9" spans="2:7" ht="14.5">
      <c r="B9" s="260">
        <v>2013</v>
      </c>
      <c r="C9" s="261">
        <v>8</v>
      </c>
      <c r="D9" s="246" t="s">
        <v>955</v>
      </c>
      <c r="E9" s="246" t="s">
        <v>1020</v>
      </c>
      <c r="F9" s="246">
        <v>1</v>
      </c>
      <c r="G9" s="277">
        <v>0</v>
      </c>
    </row>
    <row r="10" spans="2:7" ht="14.5">
      <c r="B10" s="260">
        <v>2013</v>
      </c>
      <c r="C10" s="261">
        <v>9</v>
      </c>
      <c r="D10" s="247" t="s">
        <v>956</v>
      </c>
      <c r="E10" s="247" t="s">
        <v>1021</v>
      </c>
      <c r="F10" s="247">
        <v>1</v>
      </c>
      <c r="G10" s="278">
        <v>0</v>
      </c>
    </row>
    <row r="11" spans="2:7" ht="14.5">
      <c r="B11" s="260">
        <v>2013</v>
      </c>
      <c r="C11" s="261">
        <v>10</v>
      </c>
      <c r="D11" s="246" t="s">
        <v>957</v>
      </c>
      <c r="E11" s="246" t="s">
        <v>1020</v>
      </c>
      <c r="F11" s="246">
        <v>1</v>
      </c>
      <c r="G11" s="277">
        <v>0</v>
      </c>
    </row>
    <row r="12" spans="2:7" ht="14.5">
      <c r="B12" s="260">
        <v>2013</v>
      </c>
      <c r="C12" s="261">
        <v>11</v>
      </c>
      <c r="D12" s="247" t="s">
        <v>958</v>
      </c>
      <c r="E12" s="247" t="s">
        <v>1021</v>
      </c>
      <c r="F12" s="247">
        <v>1</v>
      </c>
      <c r="G12" s="278">
        <v>0</v>
      </c>
    </row>
    <row r="13" spans="2:7" ht="14.5">
      <c r="B13" s="260">
        <v>2013</v>
      </c>
      <c r="C13" s="261">
        <v>12</v>
      </c>
      <c r="D13" s="247" t="s">
        <v>959</v>
      </c>
      <c r="E13" s="247" t="s">
        <v>1021</v>
      </c>
      <c r="F13" s="247">
        <v>1</v>
      </c>
      <c r="G13" s="278">
        <v>0</v>
      </c>
    </row>
    <row r="14" spans="2:7" ht="14.5">
      <c r="B14" s="260">
        <v>2013</v>
      </c>
      <c r="C14" s="261">
        <v>13</v>
      </c>
      <c r="D14" s="246" t="s">
        <v>960</v>
      </c>
      <c r="E14" s="246" t="s">
        <v>1020</v>
      </c>
      <c r="F14" s="246">
        <v>1</v>
      </c>
      <c r="G14" s="277">
        <v>0</v>
      </c>
    </row>
    <row r="15" spans="2:7" ht="14.5">
      <c r="B15" s="260">
        <v>2013</v>
      </c>
      <c r="C15" s="261">
        <v>14</v>
      </c>
      <c r="D15" s="246" t="s">
        <v>961</v>
      </c>
      <c r="E15" s="246" t="s">
        <v>1020</v>
      </c>
      <c r="F15" s="246">
        <v>1</v>
      </c>
      <c r="G15" s="277">
        <v>0</v>
      </c>
    </row>
    <row r="16" spans="2:7" ht="14.5">
      <c r="B16" s="260">
        <v>2013</v>
      </c>
      <c r="C16" s="261">
        <v>15</v>
      </c>
      <c r="D16" s="247" t="s">
        <v>962</v>
      </c>
      <c r="E16" s="247" t="s">
        <v>1021</v>
      </c>
      <c r="F16" s="247">
        <v>1</v>
      </c>
      <c r="G16" s="278">
        <v>0</v>
      </c>
    </row>
    <row r="17" spans="2:7" ht="14.5">
      <c r="B17" s="260">
        <v>2013</v>
      </c>
      <c r="C17" s="261">
        <v>16</v>
      </c>
      <c r="D17" s="247" t="s">
        <v>963</v>
      </c>
      <c r="E17" s="247" t="s">
        <v>1021</v>
      </c>
      <c r="F17" s="247">
        <v>1</v>
      </c>
      <c r="G17" s="278">
        <v>0</v>
      </c>
    </row>
    <row r="18" spans="2:7" ht="14.5">
      <c r="B18" s="260">
        <v>2013</v>
      </c>
      <c r="C18" s="261">
        <v>17</v>
      </c>
      <c r="D18" s="247" t="s">
        <v>964</v>
      </c>
      <c r="E18" s="247" t="s">
        <v>1021</v>
      </c>
      <c r="F18" s="247">
        <v>1</v>
      </c>
      <c r="G18" s="278">
        <v>0</v>
      </c>
    </row>
    <row r="19" spans="2:7" ht="14.5">
      <c r="B19" s="260">
        <v>2013</v>
      </c>
      <c r="C19" s="261">
        <v>18</v>
      </c>
      <c r="D19" s="246" t="s">
        <v>965</v>
      </c>
      <c r="E19" s="246" t="s">
        <v>1020</v>
      </c>
      <c r="F19" s="246">
        <v>1</v>
      </c>
      <c r="G19" s="277">
        <v>0</v>
      </c>
    </row>
    <row r="20" spans="2:7" ht="14.5">
      <c r="B20" s="260">
        <v>2013</v>
      </c>
      <c r="C20" s="261">
        <v>19</v>
      </c>
      <c r="D20" s="246" t="s">
        <v>966</v>
      </c>
      <c r="E20" s="246" t="s">
        <v>1020</v>
      </c>
      <c r="F20" s="246">
        <v>1</v>
      </c>
      <c r="G20" s="277">
        <v>0</v>
      </c>
    </row>
    <row r="21" spans="2:7" ht="14.5">
      <c r="B21" s="260">
        <v>2013</v>
      </c>
      <c r="C21" s="261">
        <v>20</v>
      </c>
      <c r="D21" s="246" t="s">
        <v>967</v>
      </c>
      <c r="E21" s="246" t="s">
        <v>1020</v>
      </c>
      <c r="F21" s="246">
        <v>1</v>
      </c>
      <c r="G21" s="277">
        <v>0</v>
      </c>
    </row>
    <row r="22" spans="2:7" ht="14.5">
      <c r="B22" s="260">
        <v>2013</v>
      </c>
      <c r="C22" s="261">
        <v>21</v>
      </c>
      <c r="D22" s="246" t="s">
        <v>968</v>
      </c>
      <c r="E22" s="246" t="s">
        <v>1020</v>
      </c>
      <c r="F22" s="246">
        <v>1</v>
      </c>
      <c r="G22" s="277">
        <v>0</v>
      </c>
    </row>
    <row r="23" spans="2:7" ht="14.5">
      <c r="B23" s="260">
        <v>2013</v>
      </c>
      <c r="C23" s="261">
        <v>22</v>
      </c>
      <c r="D23" s="248" t="s">
        <v>969</v>
      </c>
      <c r="E23" s="248" t="s">
        <v>1022</v>
      </c>
      <c r="F23" s="248">
        <v>0.5</v>
      </c>
      <c r="G23" s="279">
        <v>0.5</v>
      </c>
    </row>
    <row r="24" spans="2:7" ht="14.5">
      <c r="B24" s="260">
        <v>2013</v>
      </c>
      <c r="C24" s="261">
        <v>23</v>
      </c>
      <c r="D24" s="248" t="s">
        <v>970</v>
      </c>
      <c r="E24" s="248" t="s">
        <v>1022</v>
      </c>
      <c r="F24" s="248">
        <v>0.5</v>
      </c>
      <c r="G24" s="279">
        <v>0.5</v>
      </c>
    </row>
    <row r="25" spans="2:7" ht="14.5">
      <c r="B25" s="260">
        <v>2013</v>
      </c>
      <c r="C25" s="261">
        <v>24</v>
      </c>
      <c r="D25" s="248" t="s">
        <v>971</v>
      </c>
      <c r="E25" s="248" t="s">
        <v>1022</v>
      </c>
      <c r="F25" s="248">
        <v>0.5</v>
      </c>
      <c r="G25" s="279">
        <v>0.5</v>
      </c>
    </row>
    <row r="26" spans="2:7" ht="14.5">
      <c r="B26" s="260">
        <v>2013</v>
      </c>
      <c r="C26" s="261">
        <v>25</v>
      </c>
      <c r="D26" s="247" t="s">
        <v>972</v>
      </c>
      <c r="E26" s="247" t="s">
        <v>1021</v>
      </c>
      <c r="F26" s="247">
        <v>1</v>
      </c>
      <c r="G26" s="278">
        <v>0</v>
      </c>
    </row>
    <row r="27" spans="2:7" ht="14.5">
      <c r="B27" s="260">
        <v>2013</v>
      </c>
      <c r="C27" s="261">
        <v>26</v>
      </c>
      <c r="D27" s="247" t="s">
        <v>973</v>
      </c>
      <c r="E27" s="247" t="s">
        <v>1021</v>
      </c>
      <c r="F27" s="247">
        <v>1</v>
      </c>
      <c r="G27" s="278">
        <v>0</v>
      </c>
    </row>
    <row r="28" spans="2:7" ht="14.5">
      <c r="B28" s="260">
        <v>2013</v>
      </c>
      <c r="C28" s="261">
        <v>27</v>
      </c>
      <c r="D28" s="247" t="s">
        <v>974</v>
      </c>
      <c r="E28" s="247" t="s">
        <v>1021</v>
      </c>
      <c r="F28" s="247">
        <v>1</v>
      </c>
      <c r="G28" s="278">
        <v>0</v>
      </c>
    </row>
    <row r="29" spans="2:7" ht="14.5">
      <c r="B29" s="260">
        <v>2013</v>
      </c>
      <c r="C29" s="261">
        <v>28</v>
      </c>
      <c r="D29" s="247" t="s">
        <v>975</v>
      </c>
      <c r="E29" s="247" t="s">
        <v>1021</v>
      </c>
      <c r="F29" s="247">
        <v>1</v>
      </c>
      <c r="G29" s="278">
        <v>0</v>
      </c>
    </row>
    <row r="30" spans="2:7" ht="14.5">
      <c r="B30" s="260">
        <v>2013</v>
      </c>
      <c r="C30" s="261">
        <v>29</v>
      </c>
      <c r="D30" s="247" t="s">
        <v>976</v>
      </c>
      <c r="E30" s="247" t="s">
        <v>1021</v>
      </c>
      <c r="F30" s="247">
        <v>1</v>
      </c>
      <c r="G30" s="278">
        <v>0</v>
      </c>
    </row>
    <row r="31" spans="2:7" ht="14.5">
      <c r="B31" s="260">
        <v>2013</v>
      </c>
      <c r="C31" s="261">
        <v>30</v>
      </c>
      <c r="D31" s="247" t="s">
        <v>977</v>
      </c>
      <c r="E31" s="247" t="s">
        <v>1021</v>
      </c>
      <c r="F31" s="247">
        <v>1</v>
      </c>
      <c r="G31" s="278">
        <v>0</v>
      </c>
    </row>
    <row r="32" spans="2:7" ht="14.5">
      <c r="B32" s="260">
        <v>2013</v>
      </c>
      <c r="C32" s="261">
        <v>31</v>
      </c>
      <c r="D32" s="247" t="s">
        <v>978</v>
      </c>
      <c r="E32" s="247" t="s">
        <v>1021</v>
      </c>
      <c r="F32" s="247">
        <v>1</v>
      </c>
      <c r="G32" s="278">
        <v>0</v>
      </c>
    </row>
    <row r="33" spans="2:7" ht="14.5">
      <c r="B33" s="260">
        <v>2013</v>
      </c>
      <c r="C33" s="261">
        <v>32</v>
      </c>
      <c r="D33" s="246" t="s">
        <v>979</v>
      </c>
      <c r="E33" s="246" t="s">
        <v>1020</v>
      </c>
      <c r="F33" s="246">
        <v>1</v>
      </c>
      <c r="G33" s="277">
        <v>0</v>
      </c>
    </row>
    <row r="34" spans="2:7" ht="14.5">
      <c r="B34" s="260">
        <v>2013</v>
      </c>
      <c r="C34" s="261">
        <v>34</v>
      </c>
      <c r="D34" s="246" t="s">
        <v>980</v>
      </c>
      <c r="E34" s="246" t="s">
        <v>1020</v>
      </c>
      <c r="F34" s="246">
        <v>1</v>
      </c>
      <c r="G34" s="277">
        <v>0</v>
      </c>
    </row>
    <row r="35" spans="2:7" ht="14.5">
      <c r="B35" s="260">
        <v>2013</v>
      </c>
      <c r="C35" s="261">
        <v>35</v>
      </c>
      <c r="D35" s="246" t="s">
        <v>981</v>
      </c>
      <c r="E35" s="246" t="s">
        <v>1020</v>
      </c>
      <c r="F35" s="246">
        <v>1</v>
      </c>
      <c r="G35" s="277">
        <v>0</v>
      </c>
    </row>
    <row r="36" spans="2:7" ht="14.5">
      <c r="B36" s="260">
        <v>2013</v>
      </c>
      <c r="C36" s="261">
        <v>36</v>
      </c>
      <c r="D36" s="246" t="s">
        <v>982</v>
      </c>
      <c r="E36" s="246" t="s">
        <v>1020</v>
      </c>
      <c r="F36" s="246">
        <v>1</v>
      </c>
      <c r="G36" s="277">
        <v>0</v>
      </c>
    </row>
    <row r="37" spans="2:7" ht="14.5">
      <c r="B37" s="260">
        <v>2013</v>
      </c>
      <c r="C37" s="261">
        <v>37</v>
      </c>
      <c r="D37" s="246" t="s">
        <v>983</v>
      </c>
      <c r="E37" s="246" t="s">
        <v>1020</v>
      </c>
      <c r="F37" s="246">
        <v>1</v>
      </c>
      <c r="G37" s="277">
        <v>0</v>
      </c>
    </row>
    <row r="38" spans="2:7" ht="14.5">
      <c r="B38" s="260">
        <v>2013</v>
      </c>
      <c r="C38" s="261">
        <v>38</v>
      </c>
      <c r="D38" s="248" t="s">
        <v>984</v>
      </c>
      <c r="E38" s="248" t="s">
        <v>1023</v>
      </c>
      <c r="F38" s="248">
        <v>0.5</v>
      </c>
      <c r="G38" s="279">
        <v>0.5</v>
      </c>
    </row>
    <row r="39" spans="2:7" ht="14.5">
      <c r="B39" s="260">
        <v>2013</v>
      </c>
      <c r="C39" s="261">
        <v>39</v>
      </c>
      <c r="D39" s="248" t="s">
        <v>985</v>
      </c>
      <c r="E39" s="248" t="s">
        <v>1024</v>
      </c>
      <c r="F39" s="248">
        <v>0.5</v>
      </c>
      <c r="G39" s="279">
        <v>0.5</v>
      </c>
    </row>
    <row r="40" spans="2:7" ht="14.5">
      <c r="B40" s="260">
        <v>2013</v>
      </c>
      <c r="C40" s="261">
        <v>40</v>
      </c>
      <c r="D40" s="247" t="s">
        <v>986</v>
      </c>
      <c r="E40" s="247" t="s">
        <v>1025</v>
      </c>
      <c r="F40" s="247">
        <v>0.5</v>
      </c>
      <c r="G40" s="278">
        <v>0.5</v>
      </c>
    </row>
    <row r="41" spans="2:7" ht="14.5">
      <c r="B41" s="260">
        <v>2013</v>
      </c>
      <c r="C41" s="261" t="s">
        <v>1026</v>
      </c>
      <c r="D41" s="248" t="s">
        <v>987</v>
      </c>
      <c r="E41" s="248" t="s">
        <v>1027</v>
      </c>
      <c r="F41" s="248">
        <v>0.5</v>
      </c>
      <c r="G41" s="279">
        <v>0.5</v>
      </c>
    </row>
    <row r="42" spans="2:7" ht="14.5">
      <c r="B42" s="260">
        <v>2013</v>
      </c>
      <c r="C42" s="261" t="s">
        <v>1028</v>
      </c>
      <c r="D42" s="248" t="s">
        <v>988</v>
      </c>
      <c r="E42" s="248" t="s">
        <v>1027</v>
      </c>
      <c r="F42" s="248">
        <v>0.5</v>
      </c>
      <c r="G42" s="279">
        <v>0.5</v>
      </c>
    </row>
    <row r="43" spans="2:7" ht="14.5">
      <c r="B43" s="260">
        <v>2013</v>
      </c>
      <c r="C43" s="261">
        <v>41</v>
      </c>
      <c r="D43" s="248" t="s">
        <v>989</v>
      </c>
      <c r="E43" s="248" t="s">
        <v>1027</v>
      </c>
      <c r="F43" s="248">
        <v>0.5</v>
      </c>
      <c r="G43" s="279">
        <v>0.5</v>
      </c>
    </row>
    <row r="44" spans="2:7" ht="14.5">
      <c r="B44" s="260">
        <v>2013</v>
      </c>
      <c r="C44" s="261">
        <v>42</v>
      </c>
      <c r="D44" s="248" t="s">
        <v>990</v>
      </c>
      <c r="E44" s="248" t="s">
        <v>1027</v>
      </c>
      <c r="F44" s="248">
        <v>0.5</v>
      </c>
      <c r="G44" s="279">
        <v>0.5</v>
      </c>
    </row>
    <row r="45" spans="2:7" ht="14.5">
      <c r="B45" s="260">
        <v>2013</v>
      </c>
      <c r="C45" s="261">
        <v>43</v>
      </c>
      <c r="D45" s="249" t="s">
        <v>991</v>
      </c>
      <c r="E45" s="249" t="s">
        <v>1022</v>
      </c>
      <c r="F45" s="249">
        <v>0</v>
      </c>
      <c r="G45" s="280">
        <v>1</v>
      </c>
    </row>
    <row r="46" spans="2:7" ht="14.5">
      <c r="B46" s="260">
        <v>2013</v>
      </c>
      <c r="C46" s="261" t="s">
        <v>1029</v>
      </c>
      <c r="D46" s="249" t="s">
        <v>992</v>
      </c>
      <c r="E46" s="249" t="s">
        <v>1022</v>
      </c>
      <c r="F46" s="249">
        <v>0</v>
      </c>
      <c r="G46" s="280">
        <v>1</v>
      </c>
    </row>
    <row r="47" spans="2:7" ht="14.5">
      <c r="B47" s="260">
        <v>2013</v>
      </c>
      <c r="C47" s="261" t="s">
        <v>1030</v>
      </c>
      <c r="D47" s="249" t="s">
        <v>993</v>
      </c>
      <c r="E47" s="249" t="s">
        <v>1022</v>
      </c>
      <c r="F47" s="249">
        <v>0</v>
      </c>
      <c r="G47" s="280">
        <v>1</v>
      </c>
    </row>
    <row r="48" spans="2:7" ht="14.5">
      <c r="B48" s="260">
        <v>2013</v>
      </c>
      <c r="C48" s="261">
        <v>44</v>
      </c>
      <c r="D48" s="247" t="s">
        <v>994</v>
      </c>
      <c r="E48" s="247" t="s">
        <v>1025</v>
      </c>
      <c r="F48" s="247">
        <v>1</v>
      </c>
      <c r="G48" s="278">
        <v>0</v>
      </c>
    </row>
    <row r="49" spans="2:7" ht="14.5">
      <c r="B49" s="260">
        <v>2013</v>
      </c>
      <c r="C49" s="261">
        <v>45</v>
      </c>
      <c r="D49" s="246" t="s">
        <v>995</v>
      </c>
      <c r="E49" s="246" t="s">
        <v>1020</v>
      </c>
      <c r="F49" s="246">
        <v>1</v>
      </c>
      <c r="G49" s="277">
        <v>0</v>
      </c>
    </row>
    <row r="50" spans="2:7" ht="15" thickBot="1">
      <c r="B50" s="266">
        <v>2013</v>
      </c>
      <c r="C50" s="267">
        <v>46</v>
      </c>
      <c r="D50" s="244" t="s">
        <v>996</v>
      </c>
      <c r="E50" s="244" t="s">
        <v>1020</v>
      </c>
      <c r="F50" s="244">
        <v>1</v>
      </c>
      <c r="G50" s="281">
        <v>0</v>
      </c>
    </row>
  </sheetData>
  <pageMargins left="0.7" right="0.7" top="0.75" bottom="0.75" header="0.3" footer="0.3"/>
  <headerFooter>
    <oddHeader>&amp;C&amp;"Aptos"&amp;10&amp;K0078D7 [Open]&amp;1#_x000D_</oddHeader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59B3E-F098-4CD7-876D-306CCB86648C}">
  <sheetPr>
    <tabColor rgb="FFFFFF00"/>
  </sheetPr>
  <dimension ref="A1:AH601"/>
  <sheetViews>
    <sheetView topLeftCell="B1" zoomScale="91" zoomScaleNormal="90" workbookViewId="0">
      <pane ySplit="1" topLeftCell="A2" activePane="bottomLeft" state="frozen"/>
      <selection activeCell="B1" sqref="B1"/>
      <selection pane="bottomLeft" activeCell="E1441" sqref="E1441"/>
    </sheetView>
  </sheetViews>
  <sheetFormatPr defaultRowHeight="14"/>
  <cols>
    <col min="1" max="1" width="24.1640625" style="315" hidden="1" customWidth="1"/>
    <col min="2" max="2" width="12.6640625" style="315" customWidth="1"/>
    <col min="3" max="3" width="21.9140625" style="344" customWidth="1"/>
    <col min="4" max="4" width="26.83203125" style="316" customWidth="1"/>
    <col min="5" max="5" width="22.25" style="317" customWidth="1"/>
    <col min="6" max="6" width="21.33203125" style="317" customWidth="1"/>
    <col min="7" max="7" width="18.6640625" style="317" customWidth="1"/>
    <col min="8" max="8" width="19.83203125" style="317" customWidth="1"/>
    <col min="9" max="9" width="29" style="318" customWidth="1"/>
    <col min="10" max="10" width="16.83203125" style="318" customWidth="1"/>
    <col min="11" max="11" width="17.9140625" style="319" customWidth="1"/>
    <col min="12" max="12" width="35.58203125" style="319" customWidth="1"/>
    <col min="13" max="13" width="39.08203125" style="319" customWidth="1"/>
    <col min="14" max="14" width="44.1640625" style="317" customWidth="1"/>
    <col min="15" max="15" width="23.08203125" style="315" customWidth="1"/>
    <col min="16" max="16" width="24.08203125" style="318" customWidth="1"/>
    <col min="17" max="17" width="18" style="315" hidden="1" customWidth="1"/>
    <col min="18" max="18" width="13.83203125" style="320" customWidth="1"/>
    <col min="19" max="19" width="13.08203125" style="318" customWidth="1"/>
    <col min="20" max="20" width="18.9140625" style="318" customWidth="1"/>
    <col min="21" max="21" width="14.1640625" style="318" customWidth="1"/>
    <col min="22" max="22" width="12.75" style="315" customWidth="1"/>
    <col min="23" max="23" width="21.58203125" style="318" customWidth="1"/>
    <col min="24" max="24" width="13.58203125" style="315" customWidth="1"/>
    <col min="25" max="25" width="18.6640625" style="315" customWidth="1"/>
    <col min="26" max="26" width="17.1640625" style="315" customWidth="1"/>
    <col min="27" max="27" width="28.6640625" style="315" customWidth="1"/>
    <col min="28" max="28" width="18.75" style="345" customWidth="1"/>
    <col min="29" max="29" width="26.83203125" style="345" customWidth="1"/>
    <col min="30" max="30" width="16.58203125" style="345" customWidth="1"/>
    <col min="31" max="31" width="22.5" style="345" customWidth="1"/>
    <col min="32" max="32" width="13.08203125" style="345" customWidth="1"/>
    <col min="33" max="33" width="16.4140625" style="345" customWidth="1"/>
    <col min="34" max="34" width="20.75" style="345" customWidth="1"/>
    <col min="35" max="16384" width="8.6640625" style="315"/>
  </cols>
  <sheetData>
    <row r="1" spans="1:34" s="308" customFormat="1">
      <c r="A1" s="308" t="s">
        <v>1113</v>
      </c>
      <c r="B1" s="308" t="s">
        <v>361</v>
      </c>
      <c r="C1" s="309" t="s">
        <v>673</v>
      </c>
      <c r="D1" s="310" t="s">
        <v>1114</v>
      </c>
      <c r="E1" s="311" t="s">
        <v>1115</v>
      </c>
      <c r="F1" s="311" t="s">
        <v>1116</v>
      </c>
      <c r="G1" s="311" t="s">
        <v>1117</v>
      </c>
      <c r="H1" s="311" t="s">
        <v>1118</v>
      </c>
      <c r="I1" s="312" t="s">
        <v>1119</v>
      </c>
      <c r="J1" s="312" t="s">
        <v>1120</v>
      </c>
      <c r="K1" s="313" t="s">
        <v>1121</v>
      </c>
      <c r="L1" s="313" t="s">
        <v>1122</v>
      </c>
      <c r="M1" s="313" t="s">
        <v>1123</v>
      </c>
      <c r="N1" s="311" t="s">
        <v>1124</v>
      </c>
      <c r="O1" s="308" t="s">
        <v>1125</v>
      </c>
      <c r="P1" s="312" t="s">
        <v>1126</v>
      </c>
      <c r="Q1" s="308" t="s">
        <v>1127</v>
      </c>
      <c r="R1" s="313" t="s">
        <v>1128</v>
      </c>
      <c r="S1" s="312" t="s">
        <v>1129</v>
      </c>
      <c r="T1" s="312" t="s">
        <v>1130</v>
      </c>
      <c r="U1" s="312" t="s">
        <v>1131</v>
      </c>
      <c r="V1" s="308" t="s">
        <v>1132</v>
      </c>
      <c r="W1" s="312" t="s">
        <v>1133</v>
      </c>
      <c r="X1" s="308" t="s">
        <v>1134</v>
      </c>
      <c r="Y1" s="308" t="s">
        <v>1135</v>
      </c>
      <c r="Z1" s="308" t="s">
        <v>1136</v>
      </c>
      <c r="AA1" s="308" t="s">
        <v>1137</v>
      </c>
      <c r="AB1" s="314" t="s">
        <v>1138</v>
      </c>
      <c r="AC1" s="314" t="s">
        <v>1139</v>
      </c>
      <c r="AD1" s="314" t="s">
        <v>1140</v>
      </c>
      <c r="AE1" s="314" t="s">
        <v>1141</v>
      </c>
      <c r="AF1" s="314" t="s">
        <v>1142</v>
      </c>
      <c r="AG1" s="314" t="s">
        <v>1143</v>
      </c>
      <c r="AH1" s="314" t="s">
        <v>1144</v>
      </c>
    </row>
    <row r="2" spans="1:34">
      <c r="A2" s="315" t="s">
        <v>1145</v>
      </c>
      <c r="B2" s="315" t="s">
        <v>1146</v>
      </c>
      <c r="C2" s="316" t="s">
        <v>1147</v>
      </c>
      <c r="D2" s="316" t="s">
        <v>1147</v>
      </c>
      <c r="E2" s="317">
        <v>3.62</v>
      </c>
      <c r="F2" s="317">
        <v>0.68135285346569807</v>
      </c>
      <c r="G2" s="317">
        <v>0.68135285346569807</v>
      </c>
      <c r="H2" s="317">
        <v>0.68135285346569807</v>
      </c>
      <c r="I2" s="318">
        <v>18.821902029439173</v>
      </c>
      <c r="J2" s="318">
        <v>56.612852659583702</v>
      </c>
      <c r="K2" s="319">
        <v>42.779693180893105</v>
      </c>
      <c r="L2" s="319">
        <v>23.957791151453932</v>
      </c>
      <c r="M2" s="319">
        <f t="shared" ref="M2:M65" si="0">IF(L2&lt;0,0,L2)</f>
        <v>23.957791151453932</v>
      </c>
      <c r="N2" s="317">
        <v>0.86727203968263245</v>
      </c>
      <c r="O2" s="315" t="s">
        <v>1148</v>
      </c>
      <c r="P2" s="318">
        <v>159</v>
      </c>
      <c r="R2" s="320">
        <v>70.555555555555557</v>
      </c>
      <c r="S2" s="318">
        <v>28</v>
      </c>
      <c r="T2" s="318">
        <v>65</v>
      </c>
      <c r="U2" s="318">
        <v>55.2</v>
      </c>
      <c r="V2" s="315">
        <v>0.25</v>
      </c>
      <c r="W2" s="318">
        <v>1000</v>
      </c>
      <c r="X2" s="315">
        <v>1</v>
      </c>
      <c r="Y2" s="315" t="s">
        <v>1149</v>
      </c>
      <c r="Z2" s="315">
        <v>0</v>
      </c>
      <c r="AA2" s="315" t="s">
        <v>1150</v>
      </c>
      <c r="AB2" s="321">
        <v>0</v>
      </c>
      <c r="AC2" s="321">
        <v>1923</v>
      </c>
      <c r="AD2" s="321">
        <v>1730</v>
      </c>
      <c r="AE2" s="321">
        <v>0.71</v>
      </c>
      <c r="AF2" s="321">
        <v>0.88</v>
      </c>
      <c r="AG2" s="321">
        <v>1.05</v>
      </c>
      <c r="AH2" s="321">
        <v>315</v>
      </c>
    </row>
    <row r="3" spans="1:34">
      <c r="A3" s="315" t="s">
        <v>1145</v>
      </c>
      <c r="B3" s="315" t="s">
        <v>1146</v>
      </c>
      <c r="C3" s="316" t="s">
        <v>1151</v>
      </c>
      <c r="D3" s="316" t="s">
        <v>1151</v>
      </c>
      <c r="E3" s="317">
        <v>4.29</v>
      </c>
      <c r="F3" s="317">
        <v>1.548225667032777</v>
      </c>
      <c r="G3" s="317">
        <v>1.548225667032777</v>
      </c>
      <c r="H3" s="317">
        <v>1.548225667032777</v>
      </c>
      <c r="I3" s="318">
        <v>36.089176387710417</v>
      </c>
      <c r="J3" s="318">
        <v>56.626625930249801</v>
      </c>
      <c r="K3" s="319">
        <v>42.775134339439703</v>
      </c>
      <c r="L3" s="319">
        <v>6.6859579517292858</v>
      </c>
      <c r="M3" s="319">
        <f t="shared" si="0"/>
        <v>6.6859579517292858</v>
      </c>
      <c r="N3" s="317">
        <v>0.2868275961291864</v>
      </c>
      <c r="O3" s="315" t="s">
        <v>1148</v>
      </c>
      <c r="P3" s="318">
        <v>161</v>
      </c>
      <c r="R3" s="320">
        <v>71.666666666666671</v>
      </c>
      <c r="S3" s="318">
        <v>30</v>
      </c>
      <c r="T3" s="318">
        <v>56</v>
      </c>
      <c r="U3" s="318">
        <v>43.5</v>
      </c>
      <c r="V3" s="315">
        <v>0.25</v>
      </c>
      <c r="W3" s="318">
        <v>2600</v>
      </c>
      <c r="X3" s="315">
        <v>2</v>
      </c>
      <c r="Y3" s="315" t="s">
        <v>1149</v>
      </c>
      <c r="Z3" s="315">
        <v>0</v>
      </c>
      <c r="AA3" s="315" t="s">
        <v>1150</v>
      </c>
      <c r="AB3" s="321">
        <v>0</v>
      </c>
      <c r="AC3" s="321">
        <v>2113</v>
      </c>
      <c r="AD3" s="321">
        <v>1190</v>
      </c>
      <c r="AE3" s="321">
        <v>0.71</v>
      </c>
      <c r="AF3" s="321">
        <v>0.88</v>
      </c>
      <c r="AG3" s="321">
        <v>1.05</v>
      </c>
      <c r="AH3" s="321">
        <v>315</v>
      </c>
    </row>
    <row r="4" spans="1:34">
      <c r="A4" s="315" t="s">
        <v>1145</v>
      </c>
      <c r="B4" s="322" t="s">
        <v>584</v>
      </c>
      <c r="C4" s="323" t="s">
        <v>1152</v>
      </c>
      <c r="D4" s="323" t="s">
        <v>1153</v>
      </c>
      <c r="E4" s="324">
        <v>230.59999999999994</v>
      </c>
      <c r="F4" s="324">
        <v>74.262301300000004</v>
      </c>
      <c r="G4" s="324">
        <v>79.6660989817657</v>
      </c>
      <c r="H4" s="324">
        <v>80.942711902350254</v>
      </c>
      <c r="I4" s="325">
        <v>35.100915829293264</v>
      </c>
      <c r="J4" s="325">
        <v>55.0109213760526</v>
      </c>
      <c r="K4" s="326">
        <v>38.529838075710998</v>
      </c>
      <c r="L4" s="326">
        <v>3.4289222464177342</v>
      </c>
      <c r="M4" s="326">
        <f t="shared" si="0"/>
        <v>3.4289222464177342</v>
      </c>
      <c r="N4" s="324">
        <v>7.9070947002392931</v>
      </c>
      <c r="O4" s="322" t="s">
        <v>1148</v>
      </c>
      <c r="P4" s="325">
        <v>118</v>
      </c>
      <c r="Q4" s="322"/>
      <c r="R4" s="327">
        <v>116.11111111111111</v>
      </c>
      <c r="S4" s="325">
        <v>42</v>
      </c>
      <c r="T4" s="325">
        <v>30</v>
      </c>
      <c r="U4" s="325">
        <v>164</v>
      </c>
      <c r="V4" s="322">
        <v>0.21</v>
      </c>
      <c r="W4" s="325">
        <v>150</v>
      </c>
      <c r="X4" s="322">
        <v>12</v>
      </c>
      <c r="Y4" s="322" t="s">
        <v>1154</v>
      </c>
      <c r="Z4" s="322">
        <v>9</v>
      </c>
      <c r="AA4" s="322" t="s">
        <v>1150</v>
      </c>
      <c r="AB4" s="322">
        <v>0.22</v>
      </c>
      <c r="AC4" s="322">
        <v>2517</v>
      </c>
      <c r="AD4" s="322">
        <v>2517</v>
      </c>
      <c r="AE4" s="322">
        <v>0.7</v>
      </c>
      <c r="AF4" s="322">
        <v>1.45</v>
      </c>
      <c r="AG4" s="322">
        <v>0.39</v>
      </c>
      <c r="AH4" s="322">
        <v>670</v>
      </c>
    </row>
    <row r="5" spans="1:34">
      <c r="A5" s="315" t="s">
        <v>1145</v>
      </c>
      <c r="B5" s="315" t="s">
        <v>584</v>
      </c>
      <c r="C5" s="316" t="s">
        <v>1155</v>
      </c>
      <c r="D5" s="316" t="s">
        <v>1156</v>
      </c>
      <c r="E5" s="317">
        <v>43.699999999999996</v>
      </c>
      <c r="F5" s="317">
        <v>10.1335262</v>
      </c>
      <c r="G5" s="317">
        <v>11.472260002101649</v>
      </c>
      <c r="H5" s="317">
        <v>12.800666023909105</v>
      </c>
      <c r="I5" s="318">
        <v>29.292141931142119</v>
      </c>
      <c r="J5" s="318">
        <v>67.341215561661798</v>
      </c>
      <c r="K5" s="319">
        <v>30.301619508314399</v>
      </c>
      <c r="L5" s="319">
        <v>1.0094775771722801</v>
      </c>
      <c r="M5" s="319">
        <f t="shared" si="0"/>
        <v>1.0094775771722801</v>
      </c>
      <c r="N5" s="317">
        <v>0.44114170122428642</v>
      </c>
      <c r="O5" s="315" t="s">
        <v>1148</v>
      </c>
      <c r="P5" s="318">
        <v>215</v>
      </c>
      <c r="R5" s="320">
        <v>101.66666666666667</v>
      </c>
      <c r="S5" s="318">
        <v>41.2</v>
      </c>
      <c r="T5" s="318">
        <v>16.405000000000001</v>
      </c>
      <c r="U5" s="318">
        <v>108</v>
      </c>
      <c r="V5" s="315">
        <v>0.22</v>
      </c>
      <c r="W5" s="318">
        <v>1000</v>
      </c>
      <c r="X5" s="315">
        <v>10</v>
      </c>
      <c r="Y5" s="315" t="s">
        <v>1154</v>
      </c>
      <c r="Z5" s="315">
        <v>2</v>
      </c>
      <c r="AA5" s="315" t="s">
        <v>1157</v>
      </c>
      <c r="AB5" s="315">
        <v>0.32</v>
      </c>
      <c r="AC5" s="315">
        <v>2335</v>
      </c>
      <c r="AD5" s="315">
        <v>2335</v>
      </c>
      <c r="AE5" s="315">
        <v>0.48</v>
      </c>
      <c r="AF5" s="315">
        <v>1.4410000000000001</v>
      </c>
      <c r="AG5" s="315">
        <v>0.26</v>
      </c>
      <c r="AH5" s="315">
        <v>730</v>
      </c>
    </row>
    <row r="6" spans="1:34">
      <c r="A6" s="315" t="s">
        <v>1158</v>
      </c>
      <c r="B6" s="315" t="s">
        <v>584</v>
      </c>
      <c r="C6" s="316" t="s">
        <v>1159</v>
      </c>
      <c r="D6" s="316" t="s">
        <v>1160</v>
      </c>
      <c r="E6" s="317">
        <v>21.799999999999994</v>
      </c>
      <c r="F6" s="317">
        <v>4.8406010999999998</v>
      </c>
      <c r="G6" s="317">
        <v>4.8622018072166417</v>
      </c>
      <c r="H6" s="317">
        <v>4.8622018072166417</v>
      </c>
      <c r="I6" s="318">
        <v>22.303678014755242</v>
      </c>
      <c r="J6" s="318">
        <v>58.515372939580502</v>
      </c>
      <c r="K6" s="319">
        <v>36.953471466329802</v>
      </c>
      <c r="L6" s="319">
        <v>14.64979345157456</v>
      </c>
      <c r="M6" s="319">
        <f t="shared" si="0"/>
        <v>14.64979345157456</v>
      </c>
      <c r="N6" s="317">
        <v>3.1936549724432535</v>
      </c>
      <c r="O6" s="315" t="s">
        <v>1148</v>
      </c>
      <c r="P6" s="318">
        <v>220</v>
      </c>
      <c r="R6" s="320">
        <v>104.44444444444444</v>
      </c>
      <c r="S6" s="318">
        <v>43.9</v>
      </c>
      <c r="T6" s="318">
        <v>16.405000000000001</v>
      </c>
      <c r="U6" s="318">
        <v>43</v>
      </c>
      <c r="V6" s="315">
        <v>0.18</v>
      </c>
      <c r="W6" s="318">
        <v>250</v>
      </c>
      <c r="X6" s="315">
        <v>7</v>
      </c>
      <c r="Y6" s="315" t="s">
        <v>1154</v>
      </c>
      <c r="Z6" s="315">
        <v>2</v>
      </c>
      <c r="AA6" s="315" t="s">
        <v>1150</v>
      </c>
      <c r="AB6" s="315">
        <v>1</v>
      </c>
      <c r="AC6" s="315">
        <v>2386</v>
      </c>
      <c r="AD6" s="315">
        <v>2386</v>
      </c>
      <c r="AE6" s="315">
        <v>0.65</v>
      </c>
      <c r="AF6" s="315">
        <v>1.53</v>
      </c>
      <c r="AG6" s="315">
        <v>0.31</v>
      </c>
      <c r="AH6" s="315">
        <v>685</v>
      </c>
    </row>
    <row r="7" spans="1:34">
      <c r="A7" s="315" t="s">
        <v>1161</v>
      </c>
      <c r="B7" s="315" t="s">
        <v>584</v>
      </c>
      <c r="C7" s="316" t="s">
        <v>1162</v>
      </c>
      <c r="D7" s="316" t="s">
        <v>1163</v>
      </c>
      <c r="E7" s="317">
        <v>25.299999999999997</v>
      </c>
      <c r="F7" s="317">
        <v>3.8946448</v>
      </c>
      <c r="G7" s="317">
        <v>4.2706536932117816</v>
      </c>
      <c r="H7" s="317">
        <v>5.806444876870831</v>
      </c>
      <c r="I7" s="318">
        <v>22.950375007394591</v>
      </c>
      <c r="J7" s="318">
        <v>55.8713510804116</v>
      </c>
      <c r="K7" s="319">
        <v>35.665513417582702</v>
      </c>
      <c r="L7" s="319">
        <v>12.715138410188111</v>
      </c>
      <c r="M7" s="319">
        <f t="shared" si="0"/>
        <v>12.715138410188111</v>
      </c>
      <c r="N7" s="317">
        <v>3.2169300177775915</v>
      </c>
      <c r="O7" s="315" t="s">
        <v>1148</v>
      </c>
      <c r="P7" s="318">
        <v>221</v>
      </c>
      <c r="R7" s="320">
        <v>105</v>
      </c>
      <c r="S7" s="318">
        <v>43.9</v>
      </c>
      <c r="T7" s="318">
        <v>19.686</v>
      </c>
      <c r="U7" s="318">
        <v>66</v>
      </c>
      <c r="V7" s="315">
        <v>0.16</v>
      </c>
      <c r="W7" s="318">
        <v>150</v>
      </c>
      <c r="X7" s="315">
        <v>4</v>
      </c>
      <c r="Y7" s="315" t="s">
        <v>1154</v>
      </c>
      <c r="Z7" s="315">
        <v>2</v>
      </c>
      <c r="AA7" s="315" t="s">
        <v>1150</v>
      </c>
      <c r="AB7" s="315">
        <v>0.14000000000000001</v>
      </c>
      <c r="AC7" s="315">
        <v>2386</v>
      </c>
      <c r="AD7" s="315">
        <v>2386</v>
      </c>
      <c r="AE7" s="315">
        <v>0.76</v>
      </c>
      <c r="AF7" s="315">
        <v>1.53</v>
      </c>
      <c r="AG7" s="315">
        <v>0.31</v>
      </c>
      <c r="AH7" s="315">
        <v>685</v>
      </c>
    </row>
    <row r="8" spans="1:34">
      <c r="A8" s="315" t="s">
        <v>1158</v>
      </c>
      <c r="B8" s="328" t="s">
        <v>584</v>
      </c>
      <c r="C8" s="329" t="s">
        <v>1164</v>
      </c>
      <c r="D8" s="329" t="s">
        <v>1165</v>
      </c>
      <c r="E8" s="330">
        <v>25.539999999999996</v>
      </c>
      <c r="F8" s="330">
        <v>7.6000674999999998</v>
      </c>
      <c r="G8" s="330">
        <v>8.1197849866134231</v>
      </c>
      <c r="H8" s="330">
        <v>9.0921885866134229</v>
      </c>
      <c r="I8" s="331">
        <v>35.599798694649273</v>
      </c>
      <c r="J8" s="331">
        <v>51.058840834657502</v>
      </c>
      <c r="K8" s="332">
        <v>40.296265135735297</v>
      </c>
      <c r="L8" s="332">
        <v>4.6964664410860237</v>
      </c>
      <c r="M8" s="332">
        <f t="shared" si="0"/>
        <v>4.6964664410860237</v>
      </c>
      <c r="N8" s="330">
        <v>1.1994775290533704</v>
      </c>
      <c r="O8" s="328" t="s">
        <v>1148</v>
      </c>
      <c r="P8" s="331">
        <v>239</v>
      </c>
      <c r="Q8" s="328"/>
      <c r="R8" s="333">
        <v>115</v>
      </c>
      <c r="S8" s="331">
        <v>42</v>
      </c>
      <c r="T8" s="331">
        <v>36.091000000000001</v>
      </c>
      <c r="U8" s="331">
        <v>170</v>
      </c>
      <c r="V8" s="328">
        <v>0.19</v>
      </c>
      <c r="W8" s="331">
        <v>150</v>
      </c>
      <c r="X8" s="328">
        <v>6</v>
      </c>
      <c r="Y8" s="328" t="s">
        <v>1154</v>
      </c>
      <c r="Z8" s="328">
        <v>1</v>
      </c>
      <c r="AA8" s="328" t="s">
        <v>1150</v>
      </c>
      <c r="AB8" s="328">
        <v>0.26</v>
      </c>
      <c r="AC8" s="328">
        <v>2341</v>
      </c>
      <c r="AD8" s="328">
        <v>2341</v>
      </c>
      <c r="AE8" s="328">
        <v>0.8</v>
      </c>
      <c r="AF8" s="328">
        <v>1.38</v>
      </c>
      <c r="AG8" s="328">
        <v>0.2</v>
      </c>
      <c r="AH8" s="328">
        <v>1000</v>
      </c>
    </row>
    <row r="9" spans="1:34">
      <c r="A9" s="315" t="s">
        <v>1145</v>
      </c>
      <c r="B9" s="315" t="s">
        <v>584</v>
      </c>
      <c r="C9" s="316" t="s">
        <v>1166</v>
      </c>
      <c r="D9" s="316" t="s">
        <v>1167</v>
      </c>
      <c r="E9" s="317">
        <v>1.0749999999999997</v>
      </c>
      <c r="F9" s="317">
        <v>0</v>
      </c>
      <c r="G9" s="317">
        <v>0</v>
      </c>
      <c r="H9" s="317">
        <v>0</v>
      </c>
      <c r="I9" s="318">
        <v>0</v>
      </c>
      <c r="J9" s="318">
        <v>44.464515390184197</v>
      </c>
      <c r="K9" s="319">
        <v>41.538067744000301</v>
      </c>
      <c r="L9" s="319">
        <v>41.538067744000301</v>
      </c>
      <c r="M9" s="319">
        <f t="shared" si="0"/>
        <v>41.538067744000301</v>
      </c>
      <c r="N9" s="317">
        <v>0.44653422824800315</v>
      </c>
      <c r="O9" s="315" t="s">
        <v>1168</v>
      </c>
      <c r="P9" s="318">
        <v>240</v>
      </c>
      <c r="R9" s="320">
        <v>115.55555555555556</v>
      </c>
      <c r="S9" s="318">
        <v>41</v>
      </c>
      <c r="T9" s="318">
        <v>15.748799999999999</v>
      </c>
      <c r="U9" s="318">
        <v>183</v>
      </c>
      <c r="V9" s="315">
        <v>0.183</v>
      </c>
      <c r="W9" s="318">
        <v>44</v>
      </c>
      <c r="X9" s="315">
        <v>0</v>
      </c>
      <c r="Y9" s="315" t="s">
        <v>1149</v>
      </c>
      <c r="Z9" s="315">
        <v>0</v>
      </c>
      <c r="AA9" s="315" t="s">
        <v>1157</v>
      </c>
      <c r="AB9" s="315">
        <v>47.5</v>
      </c>
      <c r="AC9" s="315">
        <v>2330</v>
      </c>
      <c r="AD9" s="315">
        <v>2330</v>
      </c>
      <c r="AE9" s="315">
        <v>0.75</v>
      </c>
      <c r="AF9" s="315">
        <v>1.46</v>
      </c>
      <c r="AG9" s="315">
        <v>0.44</v>
      </c>
      <c r="AH9" s="315">
        <v>0.64200000000000002</v>
      </c>
    </row>
    <row r="10" spans="1:34">
      <c r="A10" s="315" t="s">
        <v>1145</v>
      </c>
      <c r="B10" s="315" t="s">
        <v>584</v>
      </c>
      <c r="C10" s="316" t="s">
        <v>1169</v>
      </c>
      <c r="D10" s="316" t="s">
        <v>1170</v>
      </c>
      <c r="E10" s="317">
        <v>45.569999999999986</v>
      </c>
      <c r="F10" s="317">
        <v>14.282691699999999</v>
      </c>
      <c r="G10" s="317">
        <v>15.643114253781915</v>
      </c>
      <c r="H10" s="317">
        <v>16.453246488992544</v>
      </c>
      <c r="I10" s="318">
        <v>36.105434472224154</v>
      </c>
      <c r="J10" s="318">
        <v>53.370986936080598</v>
      </c>
      <c r="K10" s="319">
        <v>39.028623470133397</v>
      </c>
      <c r="L10" s="319">
        <v>2.9231889979092429</v>
      </c>
      <c r="M10" s="319">
        <f t="shared" si="0"/>
        <v>2.9231889979092429</v>
      </c>
      <c r="N10" s="317">
        <v>1.3320972263472415</v>
      </c>
      <c r="O10" s="315" t="s">
        <v>1148</v>
      </c>
      <c r="P10" s="318">
        <v>240</v>
      </c>
      <c r="R10" s="320">
        <v>115.55555555555556</v>
      </c>
      <c r="S10" s="318">
        <v>41</v>
      </c>
      <c r="T10" s="318">
        <v>10.4992</v>
      </c>
      <c r="U10" s="318">
        <v>144</v>
      </c>
      <c r="V10" s="315">
        <v>0.23400000000000001</v>
      </c>
      <c r="W10" s="318">
        <v>526</v>
      </c>
      <c r="X10" s="315">
        <v>4</v>
      </c>
      <c r="Y10" s="315" t="s">
        <v>1154</v>
      </c>
      <c r="Z10" s="315">
        <v>1</v>
      </c>
      <c r="AA10" s="315" t="s">
        <v>1157</v>
      </c>
      <c r="AB10" s="315">
        <v>0.3</v>
      </c>
      <c r="AC10" s="315">
        <v>2330</v>
      </c>
      <c r="AD10" s="315">
        <v>2330</v>
      </c>
      <c r="AE10" s="315">
        <v>0.8</v>
      </c>
      <c r="AF10" s="315">
        <v>1.44</v>
      </c>
      <c r="AG10" s="315">
        <v>0.44</v>
      </c>
      <c r="AH10" s="315">
        <v>0.64200000000000002</v>
      </c>
    </row>
    <row r="11" spans="1:34">
      <c r="A11" s="315" t="s">
        <v>1145</v>
      </c>
      <c r="B11" s="315" t="s">
        <v>584</v>
      </c>
      <c r="C11" s="316" t="s">
        <v>1171</v>
      </c>
      <c r="D11" s="316" t="s">
        <v>1172</v>
      </c>
      <c r="E11" s="317">
        <v>7.6279999999999983</v>
      </c>
      <c r="F11" s="317">
        <v>1.7774671</v>
      </c>
      <c r="G11" s="317">
        <v>2.0382766071031968</v>
      </c>
      <c r="H11" s="317">
        <v>2.5233984071031967</v>
      </c>
      <c r="I11" s="318">
        <v>33.080734230508618</v>
      </c>
      <c r="J11" s="318">
        <v>51.816488885401697</v>
      </c>
      <c r="K11" s="319">
        <v>39.3113068815425</v>
      </c>
      <c r="L11" s="319">
        <v>6.2305726510338815</v>
      </c>
      <c r="M11" s="319">
        <f t="shared" si="0"/>
        <v>6.2305726510338815</v>
      </c>
      <c r="N11" s="317">
        <v>0.47526808182086433</v>
      </c>
      <c r="O11" s="315" t="s">
        <v>1148</v>
      </c>
      <c r="P11" s="318">
        <v>240</v>
      </c>
      <c r="R11" s="320">
        <v>115.55555555555556</v>
      </c>
      <c r="S11" s="318">
        <v>41</v>
      </c>
      <c r="T11" s="318">
        <v>14.1083</v>
      </c>
      <c r="U11" s="318">
        <v>108</v>
      </c>
      <c r="V11" s="315">
        <v>0.23400000000000001</v>
      </c>
      <c r="W11" s="318">
        <v>526</v>
      </c>
      <c r="X11" s="315">
        <v>3</v>
      </c>
      <c r="Y11" s="315" t="s">
        <v>1149</v>
      </c>
      <c r="Z11" s="315">
        <v>0</v>
      </c>
      <c r="AA11" s="315" t="s">
        <v>1157</v>
      </c>
      <c r="AB11" s="315">
        <v>4.0999999999999996</v>
      </c>
      <c r="AC11" s="315">
        <v>2330</v>
      </c>
      <c r="AD11" s="315">
        <v>2330</v>
      </c>
      <c r="AE11" s="315">
        <v>0.8</v>
      </c>
      <c r="AF11" s="315">
        <v>1.44</v>
      </c>
      <c r="AG11" s="315">
        <v>0.44</v>
      </c>
      <c r="AH11" s="315">
        <v>0.64200000000000002</v>
      </c>
    </row>
    <row r="12" spans="1:34">
      <c r="A12" s="315" t="s">
        <v>1173</v>
      </c>
      <c r="B12" s="315" t="s">
        <v>584</v>
      </c>
      <c r="C12" s="316" t="s">
        <v>1174</v>
      </c>
      <c r="D12" s="316" t="s">
        <v>1175</v>
      </c>
      <c r="E12" s="317">
        <v>6.4719999999999986</v>
      </c>
      <c r="F12" s="317">
        <v>1.7519001999999999</v>
      </c>
      <c r="G12" s="317">
        <v>1.7519001999999999</v>
      </c>
      <c r="H12" s="317">
        <v>1.7519001999999999</v>
      </c>
      <c r="I12" s="318">
        <v>27.068915327564902</v>
      </c>
      <c r="J12" s="318">
        <v>53.207355562324899</v>
      </c>
      <c r="K12" s="319">
        <v>39.057666476679195</v>
      </c>
      <c r="L12" s="319">
        <v>11.988751149114293</v>
      </c>
      <c r="M12" s="319">
        <f t="shared" si="0"/>
        <v>11.988751149114293</v>
      </c>
      <c r="N12" s="317">
        <v>0.77591197437067694</v>
      </c>
      <c r="O12" s="315" t="s">
        <v>1148</v>
      </c>
      <c r="P12" s="318">
        <v>240</v>
      </c>
      <c r="R12" s="320">
        <v>115.55555555555556</v>
      </c>
      <c r="S12" s="318">
        <v>41</v>
      </c>
      <c r="T12" s="318">
        <v>11.1554</v>
      </c>
      <c r="U12" s="318">
        <v>72</v>
      </c>
      <c r="V12" s="315">
        <v>0.23699999999999999</v>
      </c>
      <c r="W12" s="318">
        <v>524</v>
      </c>
      <c r="X12" s="315">
        <v>1</v>
      </c>
      <c r="Y12" s="315" t="s">
        <v>1154</v>
      </c>
      <c r="Z12" s="315">
        <v>1</v>
      </c>
      <c r="AA12" s="315" t="s">
        <v>1157</v>
      </c>
      <c r="AB12" s="315">
        <v>0.7</v>
      </c>
      <c r="AC12" s="315">
        <v>2330</v>
      </c>
      <c r="AD12" s="315">
        <v>2330</v>
      </c>
      <c r="AE12" s="315">
        <v>0.8</v>
      </c>
      <c r="AF12" s="315">
        <v>1.44</v>
      </c>
      <c r="AG12" s="315">
        <v>0.44</v>
      </c>
      <c r="AH12" s="315">
        <v>0.64200000000000002</v>
      </c>
    </row>
    <row r="13" spans="1:34">
      <c r="A13" s="315" t="s">
        <v>1145</v>
      </c>
      <c r="B13" s="334" t="s">
        <v>584</v>
      </c>
      <c r="C13" s="335" t="s">
        <v>1176</v>
      </c>
      <c r="D13" s="335" t="s">
        <v>1177</v>
      </c>
      <c r="E13" s="336">
        <v>228.12999999999997</v>
      </c>
      <c r="F13" s="336">
        <v>122.7483538</v>
      </c>
      <c r="G13" s="336">
        <v>131.73263836234693</v>
      </c>
      <c r="H13" s="336">
        <v>133.26633770151187</v>
      </c>
      <c r="I13" s="337">
        <v>58.416840267177442</v>
      </c>
      <c r="J13" s="337">
        <v>52.895345733758198</v>
      </c>
      <c r="K13" s="338">
        <v>39.996934043544101</v>
      </c>
      <c r="L13" s="338">
        <v>-18.41990622363334</v>
      </c>
      <c r="M13" s="338">
        <f t="shared" si="0"/>
        <v>0</v>
      </c>
      <c r="N13" s="336">
        <v>0</v>
      </c>
      <c r="O13" s="334" t="s">
        <v>1148</v>
      </c>
      <c r="P13" s="337">
        <v>241</v>
      </c>
      <c r="Q13" s="334"/>
      <c r="R13" s="339">
        <v>116.11111111111111</v>
      </c>
      <c r="S13" s="337">
        <v>42</v>
      </c>
      <c r="T13" s="337">
        <v>49.215000000000003</v>
      </c>
      <c r="U13" s="337">
        <v>236</v>
      </c>
      <c r="V13" s="334">
        <v>0.25</v>
      </c>
      <c r="W13" s="337">
        <v>700</v>
      </c>
      <c r="X13" s="334">
        <v>16</v>
      </c>
      <c r="Y13" s="334" t="s">
        <v>1154</v>
      </c>
      <c r="Z13" s="334">
        <v>10</v>
      </c>
      <c r="AA13" s="334" t="s">
        <v>1150</v>
      </c>
      <c r="AB13" s="334">
        <v>0.03</v>
      </c>
      <c r="AC13" s="334">
        <v>2345</v>
      </c>
      <c r="AD13" s="334">
        <v>2345</v>
      </c>
      <c r="AE13" s="334">
        <v>0.78</v>
      </c>
      <c r="AF13" s="334">
        <v>1.385</v>
      </c>
      <c r="AG13" s="334">
        <v>0.45</v>
      </c>
      <c r="AH13" s="334">
        <v>0.54</v>
      </c>
    </row>
    <row r="14" spans="1:34">
      <c r="A14" s="315" t="s">
        <v>1145</v>
      </c>
      <c r="B14" s="315" t="s">
        <v>584</v>
      </c>
      <c r="C14" s="316" t="s">
        <v>1178</v>
      </c>
      <c r="D14" s="316" t="s">
        <v>1179</v>
      </c>
      <c r="E14" s="317">
        <v>30.899999999999991</v>
      </c>
      <c r="F14" s="317">
        <v>10.7111907</v>
      </c>
      <c r="G14" s="317">
        <v>10.734478407216642</v>
      </c>
      <c r="H14" s="317">
        <v>10.736047344653752</v>
      </c>
      <c r="I14" s="318">
        <v>34.744489788523481</v>
      </c>
      <c r="J14" s="318">
        <v>51.796329653762001</v>
      </c>
      <c r="K14" s="319">
        <v>38.826723868142999</v>
      </c>
      <c r="L14" s="319">
        <v>4.0822340796195178</v>
      </c>
      <c r="M14" s="319">
        <f t="shared" si="0"/>
        <v>4.0822340796195178</v>
      </c>
      <c r="N14" s="317">
        <v>1.2614103306024307</v>
      </c>
      <c r="O14" s="315" t="s">
        <v>1148</v>
      </c>
      <c r="P14" s="318">
        <v>241</v>
      </c>
      <c r="R14" s="320">
        <v>116.11111111111111</v>
      </c>
      <c r="S14" s="318">
        <v>42.3</v>
      </c>
      <c r="T14" s="318">
        <v>52.496000000000002</v>
      </c>
      <c r="U14" s="318">
        <v>105</v>
      </c>
      <c r="V14" s="315">
        <v>0.25</v>
      </c>
      <c r="W14" s="318">
        <v>500</v>
      </c>
      <c r="X14" s="315">
        <v>4</v>
      </c>
      <c r="Y14" s="315" t="s">
        <v>1149</v>
      </c>
      <c r="Z14" s="315">
        <v>0</v>
      </c>
      <c r="AA14" s="315" t="s">
        <v>1157</v>
      </c>
      <c r="AB14" s="315">
        <v>2.6</v>
      </c>
      <c r="AC14" s="315">
        <v>2388</v>
      </c>
      <c r="AD14" s="315">
        <v>2388</v>
      </c>
      <c r="AE14" s="315">
        <v>0.75</v>
      </c>
      <c r="AF14" s="315">
        <v>1.3779999999999999</v>
      </c>
      <c r="AG14" s="315">
        <v>0.36</v>
      </c>
      <c r="AH14" s="315">
        <v>0.46</v>
      </c>
    </row>
    <row r="15" spans="1:34">
      <c r="A15" s="315" t="s">
        <v>1145</v>
      </c>
      <c r="B15" s="315" t="s">
        <v>584</v>
      </c>
      <c r="C15" s="316" t="s">
        <v>1180</v>
      </c>
      <c r="D15" s="316" t="s">
        <v>1181</v>
      </c>
      <c r="E15" s="317">
        <v>65.689999999999984</v>
      </c>
      <c r="F15" s="317">
        <v>19.771714899999999</v>
      </c>
      <c r="G15" s="317">
        <v>20.89609253202315</v>
      </c>
      <c r="H15" s="317">
        <v>22.502491932023151</v>
      </c>
      <c r="I15" s="318">
        <v>34.255582176926715</v>
      </c>
      <c r="J15" s="318">
        <v>52.811112591176403</v>
      </c>
      <c r="K15" s="319">
        <v>40.444144833406995</v>
      </c>
      <c r="L15" s="319">
        <v>6.1885626564802791</v>
      </c>
      <c r="M15" s="319">
        <f t="shared" si="0"/>
        <v>6.1885626564802791</v>
      </c>
      <c r="N15" s="317">
        <v>4.0652668090418942</v>
      </c>
      <c r="O15" s="315" t="s">
        <v>1148</v>
      </c>
      <c r="P15" s="318">
        <v>241</v>
      </c>
      <c r="R15" s="320">
        <v>116.11111111111111</v>
      </c>
      <c r="S15" s="318">
        <v>42.3</v>
      </c>
      <c r="T15" s="318">
        <v>39.372</v>
      </c>
      <c r="U15" s="318">
        <v>131</v>
      </c>
      <c r="V15" s="315">
        <v>0.28000000000000003</v>
      </c>
      <c r="W15" s="318">
        <v>500</v>
      </c>
      <c r="X15" s="315">
        <v>7</v>
      </c>
      <c r="Y15" s="315" t="s">
        <v>1154</v>
      </c>
      <c r="Z15" s="315">
        <v>3</v>
      </c>
      <c r="AA15" s="315" t="s">
        <v>1150</v>
      </c>
      <c r="AB15" s="315">
        <v>0.1</v>
      </c>
      <c r="AC15" s="315">
        <v>2354</v>
      </c>
      <c r="AD15" s="315">
        <v>2354</v>
      </c>
      <c r="AE15" s="315">
        <v>0.75</v>
      </c>
      <c r="AF15" s="315">
        <v>1.4064000000000001</v>
      </c>
      <c r="AG15" s="315">
        <v>0.37</v>
      </c>
      <c r="AH15" s="315">
        <v>0.47</v>
      </c>
    </row>
    <row r="16" spans="1:34">
      <c r="A16" s="315" t="s">
        <v>1145</v>
      </c>
      <c r="B16" s="315" t="s">
        <v>584</v>
      </c>
      <c r="C16" s="316" t="s">
        <v>1182</v>
      </c>
      <c r="D16" s="316" t="s">
        <v>1183</v>
      </c>
      <c r="E16" s="317">
        <v>41.779999999999994</v>
      </c>
      <c r="F16" s="317">
        <v>13.8134266</v>
      </c>
      <c r="G16" s="317">
        <v>15.159329804200549</v>
      </c>
      <c r="H16" s="317">
        <v>15.833266263402322</v>
      </c>
      <c r="I16" s="318">
        <v>37.896759845386129</v>
      </c>
      <c r="J16" s="318">
        <v>54.626773885283001</v>
      </c>
      <c r="K16" s="319">
        <v>38.929732420014105</v>
      </c>
      <c r="L16" s="319">
        <v>1.0329725746279763</v>
      </c>
      <c r="M16" s="319">
        <f t="shared" si="0"/>
        <v>1.0329725746279763</v>
      </c>
      <c r="N16" s="317">
        <v>0.43157594167956848</v>
      </c>
      <c r="O16" s="315" t="s">
        <v>1148</v>
      </c>
      <c r="P16" s="318">
        <v>241</v>
      </c>
      <c r="R16" s="320">
        <v>116.11111111111111</v>
      </c>
      <c r="S16" s="318">
        <v>42.3</v>
      </c>
      <c r="T16" s="318">
        <v>32.81</v>
      </c>
      <c r="U16" s="318">
        <v>125</v>
      </c>
      <c r="V16" s="315">
        <v>0.24</v>
      </c>
      <c r="W16" s="318">
        <v>1000</v>
      </c>
      <c r="X16" s="315">
        <v>4</v>
      </c>
      <c r="Y16" s="315" t="s">
        <v>1154</v>
      </c>
      <c r="Z16" s="315">
        <v>2</v>
      </c>
      <c r="AA16" s="315" t="s">
        <v>1150</v>
      </c>
      <c r="AB16" s="315">
        <v>0</v>
      </c>
      <c r="AC16" s="315">
        <v>2347</v>
      </c>
      <c r="AD16" s="315">
        <v>2347</v>
      </c>
      <c r="AE16" s="315">
        <v>0.75</v>
      </c>
      <c r="AF16" s="315">
        <v>1.385</v>
      </c>
      <c r="AG16" s="315">
        <v>0.45</v>
      </c>
      <c r="AH16" s="315">
        <v>0.44</v>
      </c>
    </row>
    <row r="17" spans="1:34">
      <c r="A17" s="315" t="s">
        <v>1145</v>
      </c>
      <c r="B17" s="315" t="s">
        <v>584</v>
      </c>
      <c r="C17" s="316" t="s">
        <v>1184</v>
      </c>
      <c r="D17" s="316" t="s">
        <v>1185</v>
      </c>
      <c r="E17" s="317">
        <v>21.999999999999996</v>
      </c>
      <c r="F17" s="317">
        <v>10.737226</v>
      </c>
      <c r="G17" s="317">
        <v>12.912110892915619</v>
      </c>
      <c r="H17" s="317">
        <v>12.913388192915619</v>
      </c>
      <c r="I17" s="318">
        <v>58.697219058707375</v>
      </c>
      <c r="J17" s="318">
        <v>52.091324659842599</v>
      </c>
      <c r="K17" s="319">
        <v>41.632558376389198</v>
      </c>
      <c r="L17" s="319">
        <v>-17.064660682318177</v>
      </c>
      <c r="M17" s="319">
        <f t="shared" si="0"/>
        <v>0</v>
      </c>
      <c r="N17" s="317">
        <v>0</v>
      </c>
      <c r="O17" s="315" t="s">
        <v>1148</v>
      </c>
      <c r="P17" s="318">
        <v>241</v>
      </c>
      <c r="R17" s="320">
        <v>116.11111111111111</v>
      </c>
      <c r="S17" s="318">
        <v>42.3</v>
      </c>
      <c r="T17" s="318">
        <v>39.372</v>
      </c>
      <c r="U17" s="318">
        <v>108</v>
      </c>
      <c r="V17" s="315">
        <v>0.25</v>
      </c>
      <c r="W17" s="318">
        <v>1000</v>
      </c>
      <c r="X17" s="315">
        <v>6</v>
      </c>
      <c r="Y17" s="315" t="s">
        <v>1154</v>
      </c>
      <c r="Z17" s="315">
        <v>2</v>
      </c>
      <c r="AA17" s="315" t="s">
        <v>1150</v>
      </c>
      <c r="AB17" s="315">
        <v>0.04</v>
      </c>
      <c r="AC17" s="315">
        <v>2333</v>
      </c>
      <c r="AD17" s="315">
        <v>2333</v>
      </c>
      <c r="AE17" s="315">
        <v>0.75</v>
      </c>
      <c r="AF17" s="315">
        <v>1.385</v>
      </c>
      <c r="AG17" s="315">
        <v>0.31</v>
      </c>
      <c r="AH17" s="315">
        <v>0.66</v>
      </c>
    </row>
    <row r="18" spans="1:34">
      <c r="A18" s="315" t="s">
        <v>1145</v>
      </c>
      <c r="B18" s="315" t="s">
        <v>584</v>
      </c>
      <c r="C18" s="316" t="s">
        <v>1186</v>
      </c>
      <c r="D18" s="316" t="s">
        <v>1187</v>
      </c>
      <c r="E18" s="317">
        <v>31.299999999999997</v>
      </c>
      <c r="F18" s="317">
        <v>4.5545555000000002</v>
      </c>
      <c r="G18" s="317">
        <v>5.7702454825478791</v>
      </c>
      <c r="H18" s="317">
        <v>10.409809940496585</v>
      </c>
      <c r="I18" s="318">
        <v>33.258178723631268</v>
      </c>
      <c r="J18" s="318">
        <v>47.751321833098999</v>
      </c>
      <c r="K18" s="319">
        <v>40.810239722443399</v>
      </c>
      <c r="L18" s="319">
        <v>7.5520609988121308</v>
      </c>
      <c r="M18" s="319">
        <f t="shared" si="0"/>
        <v>7.5520609988121308</v>
      </c>
      <c r="N18" s="317">
        <v>2.3637950926281968</v>
      </c>
      <c r="O18" s="315" t="s">
        <v>1148</v>
      </c>
      <c r="P18" s="318">
        <v>241</v>
      </c>
      <c r="R18" s="320">
        <v>116.11111111111111</v>
      </c>
      <c r="S18" s="318">
        <v>42.3</v>
      </c>
      <c r="T18" s="318">
        <v>49.215000000000003</v>
      </c>
      <c r="U18" s="318">
        <v>147</v>
      </c>
      <c r="V18" s="315">
        <v>0.28000000000000003</v>
      </c>
      <c r="W18" s="318">
        <v>1000</v>
      </c>
      <c r="X18" s="315">
        <v>4</v>
      </c>
      <c r="Y18" s="315" t="s">
        <v>1154</v>
      </c>
      <c r="Z18" s="315">
        <v>2</v>
      </c>
      <c r="AA18" s="315" t="s">
        <v>1157</v>
      </c>
      <c r="AB18" s="315">
        <v>5</v>
      </c>
      <c r="AC18" s="315">
        <v>2347</v>
      </c>
      <c r="AD18" s="315">
        <v>2347</v>
      </c>
      <c r="AE18" s="315">
        <v>0.85</v>
      </c>
      <c r="AF18" s="315">
        <v>1.4064000000000001</v>
      </c>
      <c r="AG18" s="315">
        <v>0.4</v>
      </c>
      <c r="AH18" s="315">
        <v>355</v>
      </c>
    </row>
    <row r="19" spans="1:34">
      <c r="A19" s="315" t="s">
        <v>1161</v>
      </c>
      <c r="B19" s="315" t="s">
        <v>1066</v>
      </c>
      <c r="C19" s="316" t="s">
        <v>1188</v>
      </c>
      <c r="D19" s="316" t="s">
        <v>1189</v>
      </c>
      <c r="E19" s="317">
        <v>29.9</v>
      </c>
      <c r="F19" s="317">
        <v>1.7916493</v>
      </c>
      <c r="G19" s="317">
        <v>1.9532953</v>
      </c>
      <c r="H19" s="317">
        <v>3.2936563999999997</v>
      </c>
      <c r="I19" s="318">
        <v>11.015573244147157</v>
      </c>
      <c r="J19" s="318">
        <v>68.042130992923305</v>
      </c>
      <c r="K19" s="319">
        <v>33.474819444724901</v>
      </c>
      <c r="L19" s="319">
        <v>22.459246200577745</v>
      </c>
      <c r="M19" s="319">
        <f t="shared" si="0"/>
        <v>22.459246200577745</v>
      </c>
      <c r="N19" s="317">
        <v>6.7153146139727458</v>
      </c>
      <c r="O19" s="315" t="s">
        <v>1148</v>
      </c>
      <c r="P19" s="318">
        <v>135</v>
      </c>
      <c r="R19" s="320">
        <v>57.222222222222221</v>
      </c>
      <c r="S19" s="318">
        <v>19</v>
      </c>
      <c r="T19" s="318">
        <v>342.7</v>
      </c>
      <c r="U19" s="318">
        <v>658</v>
      </c>
      <c r="V19" s="315">
        <v>0.28399999999999997</v>
      </c>
      <c r="W19" s="318">
        <v>869.3</v>
      </c>
      <c r="X19" s="315">
        <v>1</v>
      </c>
      <c r="Y19" s="315" t="s">
        <v>1149</v>
      </c>
      <c r="Z19" s="315">
        <v>0</v>
      </c>
      <c r="AA19" s="315" t="s">
        <v>1190</v>
      </c>
      <c r="AB19" s="316">
        <v>0</v>
      </c>
      <c r="AC19" s="316">
        <v>1344</v>
      </c>
      <c r="AD19" s="316">
        <v>1292</v>
      </c>
      <c r="AE19" s="316">
        <v>0.45</v>
      </c>
      <c r="AF19" s="316">
        <v>1.0740000000000001</v>
      </c>
      <c r="AG19" s="316">
        <v>3.3959999999999999</v>
      </c>
      <c r="AH19" s="316">
        <v>146</v>
      </c>
    </row>
    <row r="20" spans="1:34">
      <c r="A20" s="315" t="s">
        <v>1145</v>
      </c>
      <c r="B20" s="315" t="s">
        <v>1066</v>
      </c>
      <c r="C20" s="316" t="s">
        <v>1191</v>
      </c>
      <c r="D20" s="316" t="s">
        <v>1192</v>
      </c>
      <c r="E20" s="317">
        <v>107.3</v>
      </c>
      <c r="F20" s="317">
        <v>21.8512615</v>
      </c>
      <c r="G20" s="317">
        <v>24.0135516</v>
      </c>
      <c r="H20" s="317">
        <v>38.194471500000006</v>
      </c>
      <c r="I20" s="318">
        <v>35.595965983224609</v>
      </c>
      <c r="J20" s="318">
        <v>58.995420749961703</v>
      </c>
      <c r="K20" s="319">
        <v>38.729073298654001</v>
      </c>
      <c r="L20" s="319">
        <v>3.1331073154293918</v>
      </c>
      <c r="M20" s="319">
        <f t="shared" si="0"/>
        <v>3.1331073154293918</v>
      </c>
      <c r="N20" s="317">
        <v>3.3618241494557375</v>
      </c>
      <c r="O20" s="315" t="s">
        <v>1148</v>
      </c>
      <c r="P20" s="318">
        <v>137</v>
      </c>
      <c r="R20" s="320">
        <v>58.333333333333336</v>
      </c>
      <c r="S20" s="318">
        <v>20</v>
      </c>
      <c r="T20" s="318">
        <v>300</v>
      </c>
      <c r="U20" s="318">
        <v>638.70000000000005</v>
      </c>
      <c r="V20" s="315">
        <v>0.31</v>
      </c>
      <c r="W20" s="318">
        <v>3705</v>
      </c>
      <c r="X20" s="315">
        <v>7</v>
      </c>
      <c r="Y20" s="315" t="s">
        <v>1149</v>
      </c>
      <c r="Z20" s="315">
        <v>0</v>
      </c>
      <c r="AA20" s="315" t="s">
        <v>1190</v>
      </c>
      <c r="AB20" s="316">
        <v>0</v>
      </c>
      <c r="AC20" s="316">
        <v>1350</v>
      </c>
      <c r="AD20" s="316">
        <v>1382</v>
      </c>
      <c r="AE20" s="316">
        <v>0.6</v>
      </c>
      <c r="AF20" s="316">
        <v>1.0820000000000001</v>
      </c>
      <c r="AG20" s="316">
        <v>2.8370000000000002</v>
      </c>
      <c r="AH20" s="316">
        <v>163</v>
      </c>
    </row>
    <row r="21" spans="1:34">
      <c r="A21" s="315" t="s">
        <v>1145</v>
      </c>
      <c r="B21" s="315" t="s">
        <v>1066</v>
      </c>
      <c r="C21" s="316" t="s">
        <v>1193</v>
      </c>
      <c r="D21" s="316" t="s">
        <v>1194</v>
      </c>
      <c r="E21" s="317">
        <v>1.2</v>
      </c>
      <c r="F21" s="317">
        <v>0.65198370000000005</v>
      </c>
      <c r="G21" s="317">
        <v>0.71080690000000002</v>
      </c>
      <c r="H21" s="317">
        <v>0.73804110000000001</v>
      </c>
      <c r="I21" s="318">
        <v>61.503425</v>
      </c>
      <c r="J21" s="318">
        <v>0</v>
      </c>
      <c r="K21" s="319">
        <v>0</v>
      </c>
      <c r="L21" s="319">
        <v>-61.503425</v>
      </c>
      <c r="M21" s="319">
        <f t="shared" si="0"/>
        <v>0</v>
      </c>
      <c r="N21" s="317">
        <v>0</v>
      </c>
      <c r="O21" s="315" t="s">
        <v>1148</v>
      </c>
      <c r="P21" s="318">
        <v>138</v>
      </c>
      <c r="R21" s="320">
        <v>58.888888888888886</v>
      </c>
      <c r="S21" s="318">
        <v>19</v>
      </c>
      <c r="T21" s="318">
        <v>126.8</v>
      </c>
      <c r="U21" s="318">
        <v>126.8</v>
      </c>
      <c r="V21" s="315">
        <v>0.29199999999999998</v>
      </c>
      <c r="W21" s="318">
        <v>690.9</v>
      </c>
      <c r="X21" s="315">
        <v>1</v>
      </c>
      <c r="Y21" s="315" t="s">
        <v>1149</v>
      </c>
      <c r="Z21" s="315">
        <v>0</v>
      </c>
      <c r="AA21" s="315" t="s">
        <v>1157</v>
      </c>
      <c r="AB21" s="315">
        <v>0</v>
      </c>
      <c r="AC21" s="315">
        <v>1429</v>
      </c>
      <c r="AD21" s="315">
        <v>1359</v>
      </c>
      <c r="AE21" s="315">
        <v>0.5</v>
      </c>
      <c r="AF21" s="315">
        <v>1.09832</v>
      </c>
      <c r="AG21" s="315">
        <v>18.9712</v>
      </c>
      <c r="AH21" s="315">
        <v>170</v>
      </c>
    </row>
    <row r="22" spans="1:34">
      <c r="A22" s="315" t="s">
        <v>1145</v>
      </c>
      <c r="B22" s="315" t="s">
        <v>1066</v>
      </c>
      <c r="C22" s="316" t="s">
        <v>1195</v>
      </c>
      <c r="D22" s="316" t="s">
        <v>1196</v>
      </c>
      <c r="E22" s="317">
        <v>34.2339226</v>
      </c>
      <c r="F22" s="317">
        <v>23.048614799999999</v>
      </c>
      <c r="G22" s="317">
        <v>25.4194304</v>
      </c>
      <c r="H22" s="317">
        <v>33.186415500000003</v>
      </c>
      <c r="I22" s="318">
        <v>96.940148775121685</v>
      </c>
      <c r="J22" s="318">
        <v>65.461075301598996</v>
      </c>
      <c r="K22" s="319">
        <v>35.894609860773905</v>
      </c>
      <c r="L22" s="319">
        <v>-61.04553891434778</v>
      </c>
      <c r="M22" s="319">
        <f t="shared" si="0"/>
        <v>0</v>
      </c>
      <c r="N22" s="317">
        <v>0</v>
      </c>
      <c r="O22" s="315" t="s">
        <v>1148</v>
      </c>
      <c r="P22" s="318">
        <v>139</v>
      </c>
      <c r="R22" s="320">
        <v>59.444444444444443</v>
      </c>
      <c r="S22" s="318">
        <v>19.489999999999998</v>
      </c>
      <c r="T22" s="318">
        <v>243.2</v>
      </c>
      <c r="U22" s="318">
        <v>203</v>
      </c>
      <c r="V22" s="315">
        <v>0.28999999999999998</v>
      </c>
      <c r="W22" s="318">
        <v>1001.3</v>
      </c>
      <c r="X22" s="315">
        <v>6</v>
      </c>
      <c r="Y22" s="315" t="s">
        <v>1149</v>
      </c>
      <c r="Z22" s="315">
        <v>0</v>
      </c>
      <c r="AA22" s="315" t="s">
        <v>1190</v>
      </c>
      <c r="AB22" s="315">
        <v>0</v>
      </c>
      <c r="AC22" s="315">
        <v>1390</v>
      </c>
      <c r="AD22" s="315">
        <v>1134</v>
      </c>
      <c r="AE22" s="315">
        <v>0.48</v>
      </c>
      <c r="AF22" s="315">
        <v>1.028</v>
      </c>
      <c r="AG22" s="315">
        <v>5.0449999999999999</v>
      </c>
      <c r="AH22" s="315">
        <v>138</v>
      </c>
    </row>
    <row r="23" spans="1:34">
      <c r="A23" s="315" t="s">
        <v>1145</v>
      </c>
      <c r="B23" s="315" t="s">
        <v>1066</v>
      </c>
      <c r="C23" s="316" t="s">
        <v>1197</v>
      </c>
      <c r="D23" s="316" t="s">
        <v>1198</v>
      </c>
      <c r="E23" s="317">
        <v>48.096531499999998</v>
      </c>
      <c r="F23" s="317">
        <v>36.067542299999999</v>
      </c>
      <c r="G23" s="317">
        <v>39.321625400000002</v>
      </c>
      <c r="H23" s="317">
        <v>45.005622299999999</v>
      </c>
      <c r="I23" s="318">
        <v>93.573529933234383</v>
      </c>
      <c r="J23" s="318">
        <v>60.842343771121897</v>
      </c>
      <c r="K23" s="319">
        <v>36.7132881629473</v>
      </c>
      <c r="L23" s="319">
        <v>-56.860241770287082</v>
      </c>
      <c r="M23" s="319">
        <f t="shared" si="0"/>
        <v>0</v>
      </c>
      <c r="N23" s="317">
        <v>0</v>
      </c>
      <c r="O23" s="315" t="s">
        <v>1148</v>
      </c>
      <c r="P23" s="318">
        <v>139</v>
      </c>
      <c r="R23" s="320">
        <v>59.444444444444443</v>
      </c>
      <c r="S23" s="318">
        <v>19.5</v>
      </c>
      <c r="T23" s="318">
        <v>121.4</v>
      </c>
      <c r="U23" s="318">
        <v>88</v>
      </c>
      <c r="V23" s="315">
        <v>0.31</v>
      </c>
      <c r="W23" s="318">
        <v>1008</v>
      </c>
      <c r="X23" s="315">
        <v>8</v>
      </c>
      <c r="Y23" s="315" t="s">
        <v>1149</v>
      </c>
      <c r="Z23" s="315">
        <v>0</v>
      </c>
      <c r="AA23" s="315" t="s">
        <v>1190</v>
      </c>
      <c r="AB23" s="315">
        <v>0</v>
      </c>
      <c r="AC23" s="315">
        <v>1390</v>
      </c>
      <c r="AD23" s="315">
        <v>1134</v>
      </c>
      <c r="AE23" s="315">
        <v>0.61</v>
      </c>
      <c r="AF23" s="315">
        <v>1.028</v>
      </c>
      <c r="AG23" s="315">
        <v>5.0449999999999999</v>
      </c>
      <c r="AH23" s="315">
        <v>138</v>
      </c>
    </row>
    <row r="24" spans="1:34">
      <c r="A24" s="315" t="s">
        <v>1145</v>
      </c>
      <c r="B24" s="315" t="s">
        <v>1066</v>
      </c>
      <c r="C24" s="316" t="s">
        <v>1199</v>
      </c>
      <c r="D24" s="316" t="s">
        <v>1200</v>
      </c>
      <c r="E24" s="317">
        <v>11.2</v>
      </c>
      <c r="F24" s="317">
        <v>0</v>
      </c>
      <c r="G24" s="317">
        <v>0</v>
      </c>
      <c r="H24" s="317">
        <v>0.88419329999999996</v>
      </c>
      <c r="I24" s="318">
        <v>7.8945830357142865</v>
      </c>
      <c r="J24" s="318">
        <v>0</v>
      </c>
      <c r="K24" s="319">
        <v>0</v>
      </c>
      <c r="L24" s="319">
        <v>-7.8945830357142865</v>
      </c>
      <c r="M24" s="319">
        <f t="shared" si="0"/>
        <v>0</v>
      </c>
      <c r="N24" s="317">
        <v>0</v>
      </c>
      <c r="O24" s="315" t="s">
        <v>1168</v>
      </c>
      <c r="P24" s="318">
        <v>140</v>
      </c>
      <c r="R24" s="320">
        <v>60</v>
      </c>
      <c r="S24" s="318">
        <v>19</v>
      </c>
      <c r="T24" s="318">
        <v>90.3</v>
      </c>
      <c r="U24" s="318">
        <v>49.1</v>
      </c>
      <c r="V24" s="315">
        <v>0.309</v>
      </c>
      <c r="W24" s="318">
        <v>1928.7</v>
      </c>
      <c r="X24" s="315">
        <v>0</v>
      </c>
      <c r="Y24" s="315" t="s">
        <v>1149</v>
      </c>
      <c r="Z24" s="315">
        <v>0</v>
      </c>
      <c r="AA24" s="315" t="s">
        <v>1157</v>
      </c>
      <c r="AB24" s="315">
        <v>0</v>
      </c>
      <c r="AC24" s="315">
        <v>1509</v>
      </c>
      <c r="AD24" s="315">
        <v>1433</v>
      </c>
      <c r="AE24" s="315">
        <v>0.53699999999999992</v>
      </c>
      <c r="AF24" s="315">
        <v>1.1034299999999999</v>
      </c>
      <c r="AG24" s="315">
        <v>17.5809</v>
      </c>
      <c r="AH24" s="315">
        <v>180</v>
      </c>
    </row>
    <row r="25" spans="1:34">
      <c r="A25" s="315" t="s">
        <v>1145</v>
      </c>
      <c r="B25" s="315" t="s">
        <v>1066</v>
      </c>
      <c r="C25" s="316" t="s">
        <v>1201</v>
      </c>
      <c r="D25" s="316" t="s">
        <v>1202</v>
      </c>
      <c r="E25" s="317">
        <v>16</v>
      </c>
      <c r="F25" s="317">
        <v>5.9701968000000001</v>
      </c>
      <c r="G25" s="317">
        <v>6.5088395000000006</v>
      </c>
      <c r="H25" s="317">
        <v>6.7582223000000008</v>
      </c>
      <c r="I25" s="318">
        <v>42.238889375000007</v>
      </c>
      <c r="J25" s="318">
        <v>0</v>
      </c>
      <c r="K25" s="319">
        <v>0</v>
      </c>
      <c r="L25" s="319">
        <v>-42.238889375000007</v>
      </c>
      <c r="M25" s="319">
        <f t="shared" si="0"/>
        <v>0</v>
      </c>
      <c r="N25" s="317">
        <v>0</v>
      </c>
      <c r="O25" s="315" t="s">
        <v>1148</v>
      </c>
      <c r="P25" s="318">
        <v>140</v>
      </c>
      <c r="R25" s="320">
        <v>60</v>
      </c>
      <c r="S25" s="318">
        <v>19</v>
      </c>
      <c r="T25" s="318">
        <v>384.3</v>
      </c>
      <c r="U25" s="318">
        <v>459</v>
      </c>
      <c r="V25" s="315">
        <v>0.3</v>
      </c>
      <c r="W25" s="318">
        <v>532.5</v>
      </c>
      <c r="X25" s="315">
        <v>1</v>
      </c>
      <c r="Y25" s="315" t="s">
        <v>1149</v>
      </c>
      <c r="Z25" s="315">
        <v>0</v>
      </c>
      <c r="AA25" s="315" t="s">
        <v>1157</v>
      </c>
      <c r="AB25" s="315">
        <v>0</v>
      </c>
      <c r="AC25" s="315">
        <v>1509</v>
      </c>
      <c r="AD25" s="315">
        <v>1433</v>
      </c>
      <c r="AE25" s="315">
        <v>0.38</v>
      </c>
      <c r="AF25" s="315">
        <v>1.1034299999999999</v>
      </c>
      <c r="AG25" s="315">
        <v>17.5809</v>
      </c>
      <c r="AH25" s="315">
        <v>180</v>
      </c>
    </row>
    <row r="26" spans="1:34">
      <c r="A26" s="315" t="s">
        <v>1145</v>
      </c>
      <c r="B26" s="315" t="s">
        <v>1066</v>
      </c>
      <c r="C26" s="316" t="s">
        <v>1203</v>
      </c>
      <c r="D26" s="316" t="s">
        <v>1204</v>
      </c>
      <c r="E26" s="317">
        <v>1.03</v>
      </c>
      <c r="F26" s="317">
        <v>0</v>
      </c>
      <c r="G26" s="317">
        <v>0</v>
      </c>
      <c r="H26" s="317">
        <v>0.2047755</v>
      </c>
      <c r="I26" s="318">
        <v>19.881116504854369</v>
      </c>
      <c r="J26" s="318">
        <v>0</v>
      </c>
      <c r="K26" s="319">
        <v>0</v>
      </c>
      <c r="L26" s="319">
        <v>-19.881116504854369</v>
      </c>
      <c r="M26" s="319">
        <f t="shared" si="0"/>
        <v>0</v>
      </c>
      <c r="N26" s="317">
        <v>0</v>
      </c>
      <c r="O26" s="315" t="s">
        <v>1168</v>
      </c>
      <c r="P26" s="318">
        <v>141</v>
      </c>
      <c r="R26" s="320">
        <v>60.555555555555557</v>
      </c>
      <c r="S26" s="318">
        <v>25</v>
      </c>
      <c r="T26" s="318">
        <v>24.95</v>
      </c>
      <c r="U26" s="318">
        <v>24.95</v>
      </c>
      <c r="V26" s="315">
        <v>0.3</v>
      </c>
      <c r="W26" s="318">
        <v>521.02</v>
      </c>
      <c r="X26" s="315">
        <v>0</v>
      </c>
      <c r="Y26" s="315" t="s">
        <v>1149</v>
      </c>
      <c r="Z26" s="315">
        <v>0</v>
      </c>
      <c r="AA26" s="315" t="s">
        <v>1190</v>
      </c>
      <c r="AB26" s="316">
        <v>0</v>
      </c>
      <c r="AC26" s="316">
        <v>1598</v>
      </c>
      <c r="AD26" s="316">
        <v>1546</v>
      </c>
      <c r="AE26" s="316">
        <v>0.21</v>
      </c>
      <c r="AF26" s="316">
        <v>1.1100000000000001</v>
      </c>
      <c r="AG26" s="316">
        <v>1.5549999999999999</v>
      </c>
      <c r="AH26" s="316">
        <v>219</v>
      </c>
    </row>
    <row r="27" spans="1:34">
      <c r="A27" s="315" t="s">
        <v>1145</v>
      </c>
      <c r="B27" s="315" t="s">
        <v>1066</v>
      </c>
      <c r="C27" s="316" t="s">
        <v>1205</v>
      </c>
      <c r="D27" s="316" t="s">
        <v>1206</v>
      </c>
      <c r="E27" s="317">
        <v>3.76</v>
      </c>
      <c r="F27" s="317">
        <v>0</v>
      </c>
      <c r="G27" s="317">
        <v>0</v>
      </c>
      <c r="H27" s="317">
        <v>1.2643185000000001</v>
      </c>
      <c r="I27" s="318">
        <v>33.6254920212766</v>
      </c>
      <c r="J27" s="318">
        <v>77.674671249849794</v>
      </c>
      <c r="K27" s="319">
        <v>30.663324485994099</v>
      </c>
      <c r="L27" s="319">
        <v>-2.9621675352825001</v>
      </c>
      <c r="M27" s="319">
        <f t="shared" si="0"/>
        <v>0</v>
      </c>
      <c r="N27" s="317">
        <v>0</v>
      </c>
      <c r="O27" s="315" t="s">
        <v>1168</v>
      </c>
      <c r="P27" s="318">
        <v>141</v>
      </c>
      <c r="R27" s="320">
        <v>60.555555555555557</v>
      </c>
      <c r="S27" s="318">
        <v>25</v>
      </c>
      <c r="T27" s="318">
        <v>259.60000000000002</v>
      </c>
      <c r="U27" s="318">
        <v>259.60000000000002</v>
      </c>
      <c r="V27" s="315">
        <v>0.28999999999999998</v>
      </c>
      <c r="W27" s="318">
        <v>1028</v>
      </c>
      <c r="X27" s="315">
        <v>1</v>
      </c>
      <c r="Y27" s="315" t="s">
        <v>1149</v>
      </c>
      <c r="Z27" s="315">
        <v>0</v>
      </c>
      <c r="AA27" s="315" t="s">
        <v>1190</v>
      </c>
      <c r="AB27" s="316">
        <v>0</v>
      </c>
      <c r="AC27" s="316">
        <v>1598</v>
      </c>
      <c r="AD27" s="316">
        <v>1546</v>
      </c>
      <c r="AE27" s="316">
        <v>0.3</v>
      </c>
      <c r="AF27" s="316">
        <v>1.3029999999999999</v>
      </c>
      <c r="AG27" s="316">
        <v>0.79300000000000004</v>
      </c>
      <c r="AH27" s="316">
        <v>219</v>
      </c>
    </row>
    <row r="28" spans="1:34">
      <c r="A28" s="315" t="s">
        <v>1145</v>
      </c>
      <c r="B28" s="315" t="s">
        <v>1066</v>
      </c>
      <c r="C28" s="316" t="s">
        <v>1207</v>
      </c>
      <c r="D28" s="316" t="s">
        <v>1208</v>
      </c>
      <c r="E28" s="317">
        <v>6.78</v>
      </c>
      <c r="F28" s="317">
        <v>2.2105253</v>
      </c>
      <c r="G28" s="317">
        <v>2.4099632</v>
      </c>
      <c r="H28" s="317">
        <v>2.7936580000000002</v>
      </c>
      <c r="I28" s="318">
        <v>41.204395280235993</v>
      </c>
      <c r="J28" s="318">
        <v>0</v>
      </c>
      <c r="K28" s="319">
        <v>0</v>
      </c>
      <c r="L28" s="319">
        <v>-41.204395280235993</v>
      </c>
      <c r="M28" s="319">
        <f t="shared" si="0"/>
        <v>0</v>
      </c>
      <c r="N28" s="317">
        <v>0</v>
      </c>
      <c r="O28" s="315" t="s">
        <v>1148</v>
      </c>
      <c r="P28" s="318">
        <v>141</v>
      </c>
      <c r="R28" s="320">
        <v>60.555555555555557</v>
      </c>
      <c r="S28" s="318">
        <v>19</v>
      </c>
      <c r="T28" s="318">
        <v>82.3</v>
      </c>
      <c r="U28" s="318">
        <v>112.8</v>
      </c>
      <c r="V28" s="315">
        <v>0.317</v>
      </c>
      <c r="W28" s="318">
        <v>2023.2</v>
      </c>
      <c r="X28" s="315">
        <v>1</v>
      </c>
      <c r="Y28" s="315" t="s">
        <v>1149</v>
      </c>
      <c r="Z28" s="315">
        <v>0</v>
      </c>
      <c r="AA28" s="315" t="s">
        <v>1157</v>
      </c>
      <c r="AB28" s="315">
        <v>0</v>
      </c>
      <c r="AC28" s="315">
        <v>1551.8500000000001</v>
      </c>
      <c r="AD28" s="315">
        <v>1480</v>
      </c>
      <c r="AE28" s="315">
        <v>0.71500000000000008</v>
      </c>
      <c r="AF28" s="315">
        <v>1.1062799999999999</v>
      </c>
      <c r="AG28" s="315">
        <v>17.089099999999998</v>
      </c>
      <c r="AH28" s="315">
        <v>180</v>
      </c>
    </row>
    <row r="29" spans="1:34">
      <c r="A29" s="315" t="s">
        <v>1209</v>
      </c>
      <c r="B29" s="315" t="s">
        <v>1066</v>
      </c>
      <c r="C29" s="316" t="s">
        <v>1210</v>
      </c>
      <c r="D29" s="316" t="s">
        <v>1211</v>
      </c>
      <c r="E29" s="317">
        <v>17.600000000000001</v>
      </c>
      <c r="F29" s="317">
        <v>8.0651311000000003</v>
      </c>
      <c r="G29" s="317">
        <v>8.7927828000000012</v>
      </c>
      <c r="H29" s="317">
        <v>9.1296737000000014</v>
      </c>
      <c r="I29" s="318">
        <v>51.873146022727276</v>
      </c>
      <c r="J29" s="318">
        <v>0</v>
      </c>
      <c r="K29" s="319">
        <v>0</v>
      </c>
      <c r="L29" s="319">
        <v>-51.873146022727276</v>
      </c>
      <c r="M29" s="319">
        <f t="shared" si="0"/>
        <v>0</v>
      </c>
      <c r="N29" s="317">
        <v>0</v>
      </c>
      <c r="O29" s="315" t="s">
        <v>1148</v>
      </c>
      <c r="P29" s="318">
        <v>141.60499999999999</v>
      </c>
      <c r="R29" s="320">
        <v>60.891666666666666</v>
      </c>
      <c r="S29" s="318">
        <v>19</v>
      </c>
      <c r="T29" s="318">
        <v>273.3</v>
      </c>
      <c r="U29" s="318">
        <v>554</v>
      </c>
      <c r="V29" s="315">
        <v>0.28599999999999998</v>
      </c>
      <c r="W29" s="318">
        <v>586.29999999999995</v>
      </c>
      <c r="X29" s="315">
        <v>3</v>
      </c>
      <c r="Y29" s="315" t="s">
        <v>1149</v>
      </c>
      <c r="Z29" s="315">
        <v>0</v>
      </c>
      <c r="AA29" s="315" t="s">
        <v>1150</v>
      </c>
      <c r="AB29" s="315">
        <v>0</v>
      </c>
      <c r="AC29" s="315">
        <v>1500</v>
      </c>
      <c r="AD29" s="315">
        <v>1380</v>
      </c>
      <c r="AE29" s="315">
        <v>0.47</v>
      </c>
      <c r="AF29" s="315">
        <v>1.1060000000000001</v>
      </c>
      <c r="AG29" s="315">
        <v>17.026</v>
      </c>
      <c r="AH29" s="315">
        <v>180</v>
      </c>
    </row>
    <row r="30" spans="1:34">
      <c r="A30" s="315" t="s">
        <v>1145</v>
      </c>
      <c r="B30" s="315" t="s">
        <v>1066</v>
      </c>
      <c r="C30" s="316" t="s">
        <v>1212</v>
      </c>
      <c r="D30" s="316" t="s">
        <v>1213</v>
      </c>
      <c r="E30" s="317">
        <v>50.720059499999998</v>
      </c>
      <c r="F30" s="317">
        <v>43.922187300000004</v>
      </c>
      <c r="G30" s="317">
        <v>47.989732799999999</v>
      </c>
      <c r="H30" s="317">
        <v>56.113968199999995</v>
      </c>
      <c r="I30" s="318">
        <v>110.63466556067428</v>
      </c>
      <c r="J30" s="318">
        <v>62.296575278888099</v>
      </c>
      <c r="K30" s="319">
        <v>36.3473039984544</v>
      </c>
      <c r="L30" s="319">
        <v>-74.287361562219871</v>
      </c>
      <c r="M30" s="319">
        <f t="shared" si="0"/>
        <v>0</v>
      </c>
      <c r="N30" s="317">
        <v>0</v>
      </c>
      <c r="O30" s="315" t="s">
        <v>1148</v>
      </c>
      <c r="P30" s="318">
        <v>142.19999999999999</v>
      </c>
      <c r="R30" s="320">
        <v>61.222222222222221</v>
      </c>
      <c r="S30" s="318">
        <v>19</v>
      </c>
      <c r="T30" s="318">
        <v>16.268129999999999</v>
      </c>
      <c r="U30" s="318">
        <v>6.9560000000000004</v>
      </c>
      <c r="V30" s="315">
        <v>0.294319</v>
      </c>
      <c r="W30" s="318">
        <v>381.06349999999998</v>
      </c>
      <c r="X30" s="315">
        <v>20</v>
      </c>
      <c r="Y30" s="315" t="s">
        <v>1149</v>
      </c>
      <c r="Z30" s="315">
        <v>0</v>
      </c>
      <c r="AA30" s="315" t="s">
        <v>1190</v>
      </c>
      <c r="AB30" s="315">
        <v>0</v>
      </c>
      <c r="AC30" s="315">
        <v>1414</v>
      </c>
      <c r="AD30" s="315">
        <v>1414</v>
      </c>
      <c r="AE30" s="315">
        <v>0.8</v>
      </c>
      <c r="AF30" s="315">
        <v>1.102535</v>
      </c>
      <c r="AG30" s="315">
        <v>5.46</v>
      </c>
      <c r="AH30" s="315">
        <v>176</v>
      </c>
    </row>
    <row r="31" spans="1:34">
      <c r="A31" s="315" t="s">
        <v>1145</v>
      </c>
      <c r="B31" s="315" t="s">
        <v>1066</v>
      </c>
      <c r="C31" s="316" t="s">
        <v>1214</v>
      </c>
      <c r="D31" s="316" t="s">
        <v>1215</v>
      </c>
      <c r="E31" s="317">
        <v>7.44</v>
      </c>
      <c r="F31" s="317">
        <v>1.5159887000000001</v>
      </c>
      <c r="G31" s="317">
        <v>1.6527641000000002</v>
      </c>
      <c r="H31" s="317">
        <v>2.5173242000000005</v>
      </c>
      <c r="I31" s="318">
        <v>33.835002688172047</v>
      </c>
      <c r="J31" s="318">
        <v>0</v>
      </c>
      <c r="K31" s="319">
        <v>0</v>
      </c>
      <c r="L31" s="319">
        <v>-33.835002688172047</v>
      </c>
      <c r="M31" s="319">
        <f t="shared" si="0"/>
        <v>0</v>
      </c>
      <c r="N31" s="317">
        <v>0</v>
      </c>
      <c r="O31" s="315" t="s">
        <v>1148</v>
      </c>
      <c r="P31" s="318">
        <v>143</v>
      </c>
      <c r="R31" s="320">
        <v>61.666666666666664</v>
      </c>
      <c r="S31" s="318">
        <v>19</v>
      </c>
      <c r="T31" s="318">
        <v>84.6</v>
      </c>
      <c r="U31" s="318">
        <v>113</v>
      </c>
      <c r="V31" s="315">
        <v>0.308</v>
      </c>
      <c r="W31" s="318">
        <v>1921</v>
      </c>
      <c r="X31" s="315">
        <v>1</v>
      </c>
      <c r="Y31" s="315" t="s">
        <v>1149</v>
      </c>
      <c r="Z31" s="315">
        <v>0</v>
      </c>
      <c r="AA31" s="315" t="s">
        <v>1157</v>
      </c>
      <c r="AB31" s="315">
        <v>0</v>
      </c>
      <c r="AC31" s="315">
        <v>1605.9750000000001</v>
      </c>
      <c r="AD31" s="315">
        <v>1469</v>
      </c>
      <c r="AE31" s="315">
        <v>0.67199999999999993</v>
      </c>
      <c r="AF31" s="315">
        <v>1.10626</v>
      </c>
      <c r="AG31" s="315">
        <v>16.527999999999999</v>
      </c>
      <c r="AH31" s="315">
        <v>180</v>
      </c>
    </row>
    <row r="32" spans="1:34">
      <c r="A32" s="315" t="s">
        <v>1161</v>
      </c>
      <c r="B32" s="315" t="s">
        <v>1066</v>
      </c>
      <c r="C32" s="316" t="s">
        <v>1216</v>
      </c>
      <c r="D32" s="316" t="s">
        <v>1217</v>
      </c>
      <c r="E32" s="317">
        <v>8.3107120000000005</v>
      </c>
      <c r="F32" s="317">
        <v>0.11569699999999999</v>
      </c>
      <c r="G32" s="317">
        <v>0.1261311</v>
      </c>
      <c r="H32" s="317">
        <v>1.7810557999999999</v>
      </c>
      <c r="I32" s="318">
        <v>21.430844914370752</v>
      </c>
      <c r="J32" s="318">
        <v>65.706218740148799</v>
      </c>
      <c r="K32" s="319">
        <v>35.782455684834801</v>
      </c>
      <c r="L32" s="319">
        <v>14.351610770464049</v>
      </c>
      <c r="M32" s="319">
        <f t="shared" si="0"/>
        <v>14.351610770464049</v>
      </c>
      <c r="N32" s="317">
        <v>1.1927210384942482</v>
      </c>
      <c r="O32" s="315" t="s">
        <v>1148</v>
      </c>
      <c r="P32" s="318">
        <v>144</v>
      </c>
      <c r="R32" s="320">
        <v>62.222222222222221</v>
      </c>
      <c r="S32" s="318">
        <v>26.7</v>
      </c>
      <c r="T32" s="318">
        <v>304.10000000000002</v>
      </c>
      <c r="U32" s="318">
        <v>304.10000000000002</v>
      </c>
      <c r="V32" s="315">
        <v>0.27</v>
      </c>
      <c r="W32" s="318">
        <v>223.7</v>
      </c>
      <c r="X32" s="315">
        <v>2</v>
      </c>
      <c r="Y32" s="315" t="s">
        <v>1149</v>
      </c>
      <c r="Z32" s="315">
        <v>0</v>
      </c>
      <c r="AA32" s="315" t="s">
        <v>1190</v>
      </c>
      <c r="AB32" s="315">
        <v>0</v>
      </c>
      <c r="AC32" s="315">
        <v>2219</v>
      </c>
      <c r="AD32" s="315">
        <v>2219</v>
      </c>
      <c r="AE32" s="315">
        <v>0.47</v>
      </c>
      <c r="AF32" s="315">
        <v>1.099</v>
      </c>
      <c r="AG32" s="315">
        <v>4.66</v>
      </c>
      <c r="AH32" s="315">
        <v>182</v>
      </c>
    </row>
    <row r="33" spans="1:34">
      <c r="A33" s="315" t="s">
        <v>1145</v>
      </c>
      <c r="B33" s="315" t="s">
        <v>1066</v>
      </c>
      <c r="C33" s="316" t="s">
        <v>1218</v>
      </c>
      <c r="D33" s="316" t="s">
        <v>1219</v>
      </c>
      <c r="E33" s="317">
        <v>13.4</v>
      </c>
      <c r="F33" s="317">
        <v>7.1585253999999994</v>
      </c>
      <c r="G33" s="317">
        <v>8.1311949000000006</v>
      </c>
      <c r="H33" s="317">
        <v>8.4301957999999999</v>
      </c>
      <c r="I33" s="318">
        <v>62.911908955223886</v>
      </c>
      <c r="J33" s="318">
        <v>80.367869559520102</v>
      </c>
      <c r="K33" s="319">
        <v>27.829954724642398</v>
      </c>
      <c r="L33" s="319">
        <v>-35.081954230581488</v>
      </c>
      <c r="M33" s="319">
        <f t="shared" si="0"/>
        <v>0</v>
      </c>
      <c r="N33" s="317">
        <v>0</v>
      </c>
      <c r="O33" s="315" t="s">
        <v>1148</v>
      </c>
      <c r="P33" s="318">
        <v>144.5</v>
      </c>
      <c r="R33" s="320">
        <v>62.5</v>
      </c>
      <c r="S33" s="318">
        <v>19</v>
      </c>
      <c r="T33" s="318">
        <v>132.80000000000001</v>
      </c>
      <c r="U33" s="318">
        <v>266</v>
      </c>
      <c r="V33" s="315">
        <v>0.27</v>
      </c>
      <c r="W33" s="318">
        <v>929.7</v>
      </c>
      <c r="X33" s="315">
        <v>2</v>
      </c>
      <c r="Y33" s="315" t="s">
        <v>1149</v>
      </c>
      <c r="Z33" s="315">
        <v>0</v>
      </c>
      <c r="AA33" s="315" t="s">
        <v>1150</v>
      </c>
      <c r="AB33" s="315">
        <v>0</v>
      </c>
      <c r="AC33" s="315">
        <v>1565.3</v>
      </c>
      <c r="AD33" s="315">
        <v>1532.19</v>
      </c>
      <c r="AE33" s="315">
        <v>0.33</v>
      </c>
      <c r="AF33" s="315">
        <v>1.1060000000000001</v>
      </c>
      <c r="AG33" s="315">
        <v>5.12</v>
      </c>
      <c r="AH33" s="315">
        <v>186</v>
      </c>
    </row>
    <row r="34" spans="1:34">
      <c r="A34" s="315" t="s">
        <v>1145</v>
      </c>
      <c r="B34" s="315" t="s">
        <v>1066</v>
      </c>
      <c r="C34" s="316" t="s">
        <v>1220</v>
      </c>
      <c r="D34" s="316" t="s">
        <v>1221</v>
      </c>
      <c r="E34" s="317">
        <v>4.7</v>
      </c>
      <c r="F34" s="317">
        <v>0</v>
      </c>
      <c r="G34" s="317">
        <v>0</v>
      </c>
      <c r="H34" s="317">
        <v>1.5473383000000001</v>
      </c>
      <c r="I34" s="318">
        <v>32.922091489361705</v>
      </c>
      <c r="J34" s="318">
        <v>61.6918824172513</v>
      </c>
      <c r="K34" s="319">
        <v>36.1027205776386</v>
      </c>
      <c r="L34" s="319">
        <v>3.1806290882768948</v>
      </c>
      <c r="M34" s="319">
        <f t="shared" si="0"/>
        <v>3.1806290882768948</v>
      </c>
      <c r="N34" s="317">
        <v>0.14948956714901407</v>
      </c>
      <c r="O34" s="315" t="s">
        <v>1168</v>
      </c>
      <c r="P34" s="318">
        <v>145.5</v>
      </c>
      <c r="R34" s="320">
        <v>63.055555555555557</v>
      </c>
      <c r="S34" s="318">
        <v>19</v>
      </c>
      <c r="T34" s="318">
        <v>205.8</v>
      </c>
      <c r="U34" s="318">
        <v>139.86000000000001</v>
      </c>
      <c r="V34" s="315">
        <v>0.26</v>
      </c>
      <c r="W34" s="318">
        <v>586.4</v>
      </c>
      <c r="X34" s="315">
        <v>0</v>
      </c>
      <c r="Y34" s="315" t="s">
        <v>1149</v>
      </c>
      <c r="Z34" s="315">
        <v>0</v>
      </c>
      <c r="AA34" s="315" t="s">
        <v>1190</v>
      </c>
      <c r="AB34" s="315">
        <v>0</v>
      </c>
      <c r="AC34" s="315">
        <v>2468.6999999999998</v>
      </c>
      <c r="AD34" s="315">
        <v>2465.6999999999998</v>
      </c>
      <c r="AE34" s="315">
        <v>0.44</v>
      </c>
      <c r="AF34" s="315">
        <v>1.3698630136986301</v>
      </c>
      <c r="AG34" s="315">
        <v>0.36</v>
      </c>
      <c r="AH34" s="315">
        <v>687</v>
      </c>
    </row>
    <row r="35" spans="1:34">
      <c r="A35" s="315" t="s">
        <v>1222</v>
      </c>
      <c r="B35" s="315" t="s">
        <v>1066</v>
      </c>
      <c r="C35" s="316" t="s">
        <v>1223</v>
      </c>
      <c r="D35" s="316" t="s">
        <v>1224</v>
      </c>
      <c r="E35" s="317">
        <v>21.3</v>
      </c>
      <c r="F35" s="317">
        <v>4.6478080999999998</v>
      </c>
      <c r="G35" s="317">
        <v>5.0671422999999995</v>
      </c>
      <c r="H35" s="317">
        <v>7.0065683999999999</v>
      </c>
      <c r="I35" s="318">
        <v>32.894687323943664</v>
      </c>
      <c r="J35" s="318">
        <v>76.671921927218506</v>
      </c>
      <c r="K35" s="319">
        <v>30.304364419720297</v>
      </c>
      <c r="L35" s="319">
        <v>-2.5903229042233669</v>
      </c>
      <c r="M35" s="319">
        <f t="shared" si="0"/>
        <v>0</v>
      </c>
      <c r="N35" s="317">
        <v>0</v>
      </c>
      <c r="O35" s="315" t="s">
        <v>1148</v>
      </c>
      <c r="P35" s="318">
        <v>146.4</v>
      </c>
      <c r="R35" s="320">
        <v>63.555555555555557</v>
      </c>
      <c r="S35" s="318">
        <v>19</v>
      </c>
      <c r="T35" s="318">
        <v>276</v>
      </c>
      <c r="U35" s="318">
        <v>432.32</v>
      </c>
      <c r="V35" s="315">
        <v>0.28000000000000003</v>
      </c>
      <c r="W35" s="318">
        <v>883.2</v>
      </c>
      <c r="X35" s="315">
        <v>5</v>
      </c>
      <c r="Y35" s="315" t="s">
        <v>1149</v>
      </c>
      <c r="Z35" s="315">
        <v>0</v>
      </c>
      <c r="AA35" s="315" t="s">
        <v>1190</v>
      </c>
      <c r="AB35" s="315">
        <v>0</v>
      </c>
      <c r="AC35" s="315">
        <v>1558</v>
      </c>
      <c r="AD35" s="315">
        <v>1551</v>
      </c>
      <c r="AE35" s="315">
        <v>0.34</v>
      </c>
      <c r="AF35" s="315">
        <v>1.1100000000000001</v>
      </c>
      <c r="AG35" s="315">
        <v>4.97</v>
      </c>
      <c r="AH35" s="315">
        <v>194</v>
      </c>
    </row>
    <row r="36" spans="1:34">
      <c r="A36" s="315" t="s">
        <v>1145</v>
      </c>
      <c r="B36" s="315" t="s">
        <v>1066</v>
      </c>
      <c r="C36" s="316" t="s">
        <v>1225</v>
      </c>
      <c r="D36" s="316" t="s">
        <v>1226</v>
      </c>
      <c r="E36" s="317">
        <v>0.56999999999999995</v>
      </c>
      <c r="F36" s="317">
        <v>0</v>
      </c>
      <c r="G36" s="317">
        <v>0</v>
      </c>
      <c r="H36" s="317">
        <v>0</v>
      </c>
      <c r="I36" s="318">
        <v>0</v>
      </c>
      <c r="J36" s="318">
        <v>0</v>
      </c>
      <c r="K36" s="319">
        <v>0</v>
      </c>
      <c r="L36" s="319">
        <v>0</v>
      </c>
      <c r="M36" s="319">
        <f t="shared" si="0"/>
        <v>0</v>
      </c>
      <c r="N36" s="317">
        <v>0</v>
      </c>
      <c r="O36" s="315" t="s">
        <v>1168</v>
      </c>
      <c r="P36" s="318">
        <v>148</v>
      </c>
      <c r="R36" s="320">
        <v>64.444444444444443</v>
      </c>
      <c r="S36" s="318">
        <v>19</v>
      </c>
      <c r="T36" s="318">
        <v>56.4</v>
      </c>
      <c r="U36" s="318">
        <v>56.4</v>
      </c>
      <c r="V36" s="315">
        <v>0.31</v>
      </c>
      <c r="W36" s="318">
        <v>1008</v>
      </c>
      <c r="X36" s="315">
        <v>0</v>
      </c>
      <c r="Y36" s="315" t="s">
        <v>1149</v>
      </c>
      <c r="Z36" s="315">
        <v>0</v>
      </c>
      <c r="AA36" s="315" t="s">
        <v>1157</v>
      </c>
      <c r="AB36" s="315">
        <v>0</v>
      </c>
      <c r="AC36" s="315">
        <v>1615</v>
      </c>
      <c r="AD36" s="315">
        <v>1602</v>
      </c>
      <c r="AE36" s="315">
        <v>0.26400000000000001</v>
      </c>
      <c r="AF36" s="315">
        <v>1.1173500000000001</v>
      </c>
      <c r="AG36" s="315">
        <v>13.932399999999999</v>
      </c>
      <c r="AH36" s="315">
        <v>201</v>
      </c>
    </row>
    <row r="37" spans="1:34">
      <c r="A37" s="315" t="s">
        <v>1145</v>
      </c>
      <c r="B37" s="315" t="s">
        <v>1066</v>
      </c>
      <c r="C37" s="316" t="s">
        <v>1227</v>
      </c>
      <c r="D37" s="316" t="s">
        <v>1228</v>
      </c>
      <c r="E37" s="317">
        <v>7.31</v>
      </c>
      <c r="F37" s="317">
        <v>0</v>
      </c>
      <c r="G37" s="317">
        <v>0</v>
      </c>
      <c r="H37" s="317">
        <v>0.4095511</v>
      </c>
      <c r="I37" s="318">
        <v>5.6026142270861836</v>
      </c>
      <c r="J37" s="318">
        <v>72.503365560358105</v>
      </c>
      <c r="K37" s="319">
        <v>32.986022945715895</v>
      </c>
      <c r="L37" s="319">
        <v>27.38340871862971</v>
      </c>
      <c r="M37" s="319">
        <f t="shared" si="0"/>
        <v>27.38340871862971</v>
      </c>
      <c r="N37" s="317">
        <v>2.0017271773318317</v>
      </c>
      <c r="O37" s="315" t="s">
        <v>1168</v>
      </c>
      <c r="P37" s="318">
        <v>148.1</v>
      </c>
      <c r="R37" s="320">
        <v>64.5</v>
      </c>
      <c r="S37" s="318">
        <v>28.2</v>
      </c>
      <c r="T37" s="318">
        <v>250</v>
      </c>
      <c r="U37" s="318">
        <v>147.5</v>
      </c>
      <c r="V37" s="315">
        <v>0.34</v>
      </c>
      <c r="W37" s="318">
        <v>1232</v>
      </c>
      <c r="X37" s="315">
        <v>1</v>
      </c>
      <c r="Y37" s="315" t="s">
        <v>1149</v>
      </c>
      <c r="Z37" s="315">
        <v>0</v>
      </c>
      <c r="AA37" s="315" t="s">
        <v>1190</v>
      </c>
      <c r="AB37" s="315">
        <v>0</v>
      </c>
      <c r="AC37" s="315">
        <v>1612</v>
      </c>
      <c r="AD37" s="315">
        <v>1605</v>
      </c>
      <c r="AE37" s="315">
        <v>0.36899999999999999</v>
      </c>
      <c r="AF37" s="315">
        <v>1.1140000000000001</v>
      </c>
      <c r="AG37" s="315">
        <v>4.66</v>
      </c>
      <c r="AH37" s="315">
        <v>202</v>
      </c>
    </row>
    <row r="38" spans="1:34">
      <c r="A38" s="315" t="s">
        <v>1229</v>
      </c>
      <c r="B38" s="315" t="s">
        <v>1066</v>
      </c>
      <c r="C38" s="316" t="s">
        <v>1230</v>
      </c>
      <c r="D38" s="316" t="s">
        <v>1231</v>
      </c>
      <c r="E38" s="317">
        <v>1.07</v>
      </c>
      <c r="F38" s="317">
        <v>2.4640000000000003E-4</v>
      </c>
      <c r="G38" s="317">
        <v>0.16907730000000001</v>
      </c>
      <c r="H38" s="317">
        <v>0.16907730000000001</v>
      </c>
      <c r="I38" s="318">
        <v>15.801616822429907</v>
      </c>
      <c r="J38" s="318">
        <v>77.329974135713996</v>
      </c>
      <c r="K38" s="319">
        <v>30.358189723373304</v>
      </c>
      <c r="L38" s="319">
        <v>14.556572900943397</v>
      </c>
      <c r="M38" s="319">
        <f t="shared" si="0"/>
        <v>14.556572900943397</v>
      </c>
      <c r="N38" s="317">
        <v>0.15575533004009437</v>
      </c>
      <c r="O38" s="315" t="s">
        <v>1148</v>
      </c>
      <c r="P38" s="318">
        <v>148.1</v>
      </c>
      <c r="R38" s="320">
        <v>64.5</v>
      </c>
      <c r="S38" s="318">
        <v>19</v>
      </c>
      <c r="T38" s="318">
        <v>506</v>
      </c>
      <c r="U38" s="318">
        <v>206</v>
      </c>
      <c r="V38" s="315">
        <v>0.31</v>
      </c>
      <c r="W38" s="318">
        <v>615.20000000000005</v>
      </c>
      <c r="X38" s="315">
        <v>0</v>
      </c>
      <c r="Y38" s="315" t="s">
        <v>1149</v>
      </c>
      <c r="Z38" s="315">
        <v>0</v>
      </c>
      <c r="AA38" s="315" t="s">
        <v>1157</v>
      </c>
      <c r="AB38" s="315">
        <v>0</v>
      </c>
      <c r="AC38" s="315">
        <v>1612</v>
      </c>
      <c r="AD38" s="315">
        <v>1605</v>
      </c>
      <c r="AE38" s="315">
        <v>0.23</v>
      </c>
      <c r="AF38" s="315">
        <v>1.1140000000000001</v>
      </c>
      <c r="AG38" s="315">
        <v>4.66</v>
      </c>
      <c r="AH38" s="315">
        <v>202</v>
      </c>
    </row>
    <row r="39" spans="1:34">
      <c r="A39" s="315" t="s">
        <v>1145</v>
      </c>
      <c r="B39" s="315" t="s">
        <v>1066</v>
      </c>
      <c r="C39" s="316" t="s">
        <v>1232</v>
      </c>
      <c r="D39" s="316" t="s">
        <v>1233</v>
      </c>
      <c r="E39" s="317">
        <v>31.34704</v>
      </c>
      <c r="F39" s="317">
        <v>57.0716106</v>
      </c>
      <c r="G39" s="317">
        <v>62.295515100000003</v>
      </c>
      <c r="H39" s="317">
        <v>66.969741600000006</v>
      </c>
      <c r="I39" s="318">
        <v>213.63976184035241</v>
      </c>
      <c r="J39" s="318">
        <v>67.796385642891295</v>
      </c>
      <c r="K39" s="319">
        <v>35.235937370318801</v>
      </c>
      <c r="L39" s="319">
        <v>-178.40382447003361</v>
      </c>
      <c r="M39" s="319">
        <f t="shared" si="0"/>
        <v>0</v>
      </c>
      <c r="N39" s="317">
        <v>0</v>
      </c>
      <c r="O39" s="315" t="s">
        <v>1148</v>
      </c>
      <c r="P39" s="318">
        <v>150</v>
      </c>
      <c r="R39" s="320">
        <v>65.555555555555557</v>
      </c>
      <c r="S39" s="318">
        <v>26.7</v>
      </c>
      <c r="T39" s="318">
        <v>260.3</v>
      </c>
      <c r="U39" s="318">
        <v>361</v>
      </c>
      <c r="V39" s="315">
        <v>0.27</v>
      </c>
      <c r="W39" s="318">
        <v>260.5</v>
      </c>
      <c r="X39" s="315">
        <v>11</v>
      </c>
      <c r="Y39" s="315" t="s">
        <v>1149</v>
      </c>
      <c r="Z39" s="315">
        <v>0</v>
      </c>
      <c r="AA39" s="315" t="s">
        <v>1190</v>
      </c>
      <c r="AB39" s="315">
        <v>0</v>
      </c>
      <c r="AC39" s="315">
        <v>1962</v>
      </c>
      <c r="AD39" s="315">
        <v>1954</v>
      </c>
      <c r="AE39" s="315">
        <v>0.36</v>
      </c>
      <c r="AF39" s="315">
        <v>1.0409999999999999</v>
      </c>
      <c r="AG39" s="315">
        <v>0.99</v>
      </c>
      <c r="AH39" s="315">
        <v>331</v>
      </c>
    </row>
    <row r="40" spans="1:34">
      <c r="A40" s="315" t="s">
        <v>1145</v>
      </c>
      <c r="B40" s="315" t="s">
        <v>1066</v>
      </c>
      <c r="C40" s="316" t="s">
        <v>1234</v>
      </c>
      <c r="D40" s="316" t="s">
        <v>1235</v>
      </c>
      <c r="E40" s="317">
        <v>28.989698600000001</v>
      </c>
      <c r="F40" s="317">
        <v>10.2012885</v>
      </c>
      <c r="G40" s="317">
        <v>11.121668400000001</v>
      </c>
      <c r="H40" s="317">
        <v>18.351053499999999</v>
      </c>
      <c r="I40" s="318">
        <v>63.301981000933893</v>
      </c>
      <c r="J40" s="318">
        <v>67.871543185678306</v>
      </c>
      <c r="K40" s="319">
        <v>35.113218888426502</v>
      </c>
      <c r="L40" s="319">
        <v>-28.188762112507391</v>
      </c>
      <c r="M40" s="319">
        <f t="shared" si="0"/>
        <v>0</v>
      </c>
      <c r="N40" s="317">
        <v>0</v>
      </c>
      <c r="O40" s="315" t="s">
        <v>1148</v>
      </c>
      <c r="P40" s="318">
        <v>150</v>
      </c>
      <c r="R40" s="320">
        <v>65.555555555555557</v>
      </c>
      <c r="S40" s="318">
        <v>26.7</v>
      </c>
      <c r="T40" s="318">
        <v>127.4</v>
      </c>
      <c r="U40" s="318">
        <v>277</v>
      </c>
      <c r="V40" s="315">
        <v>0.27</v>
      </c>
      <c r="W40" s="318">
        <v>203.7</v>
      </c>
      <c r="X40" s="315">
        <v>8</v>
      </c>
      <c r="Y40" s="315" t="s">
        <v>1149</v>
      </c>
      <c r="Z40" s="315">
        <v>0</v>
      </c>
      <c r="AA40" s="315" t="s">
        <v>1190</v>
      </c>
      <c r="AB40" s="315">
        <v>0</v>
      </c>
      <c r="AC40" s="315">
        <v>1962</v>
      </c>
      <c r="AD40" s="315">
        <v>1954</v>
      </c>
      <c r="AE40" s="315">
        <v>0.37</v>
      </c>
      <c r="AF40" s="315">
        <v>1.0409999999999999</v>
      </c>
      <c r="AG40" s="315">
        <v>0.99</v>
      </c>
      <c r="AH40" s="315">
        <v>331</v>
      </c>
    </row>
    <row r="41" spans="1:34">
      <c r="A41" s="315" t="s">
        <v>1236</v>
      </c>
      <c r="B41" s="315" t="s">
        <v>1066</v>
      </c>
      <c r="C41" s="316" t="s">
        <v>1237</v>
      </c>
      <c r="D41" s="316" t="s">
        <v>1238</v>
      </c>
      <c r="E41" s="317">
        <v>11.69</v>
      </c>
      <c r="F41" s="317">
        <v>1.0798972</v>
      </c>
      <c r="G41" s="317">
        <v>1.513477</v>
      </c>
      <c r="H41" s="317">
        <v>1.8175732</v>
      </c>
      <c r="I41" s="318">
        <v>15.54810265183918</v>
      </c>
      <c r="J41" s="318">
        <v>63.651868376101902</v>
      </c>
      <c r="K41" s="319">
        <v>37.110676509623602</v>
      </c>
      <c r="L41" s="319">
        <v>21.562573857784422</v>
      </c>
      <c r="M41" s="319">
        <f t="shared" si="0"/>
        <v>21.562573857784422</v>
      </c>
      <c r="N41" s="317">
        <v>2.520664883974999</v>
      </c>
      <c r="O41" s="315" t="s">
        <v>1148</v>
      </c>
      <c r="P41" s="318">
        <v>153</v>
      </c>
      <c r="R41" s="320">
        <v>67.222222222222229</v>
      </c>
      <c r="S41" s="318">
        <v>25</v>
      </c>
      <c r="T41" s="318">
        <v>398</v>
      </c>
      <c r="U41" s="318">
        <v>398</v>
      </c>
      <c r="V41" s="315">
        <v>0.24</v>
      </c>
      <c r="W41" s="318">
        <v>1394</v>
      </c>
      <c r="X41" s="315">
        <v>1</v>
      </c>
      <c r="Y41" s="315" t="s">
        <v>1149</v>
      </c>
      <c r="Z41" s="315">
        <v>0</v>
      </c>
      <c r="AA41" s="315" t="s">
        <v>1190</v>
      </c>
      <c r="AB41" s="316">
        <v>0</v>
      </c>
      <c r="AC41" s="316">
        <v>1598</v>
      </c>
      <c r="AD41" s="316">
        <v>1296</v>
      </c>
      <c r="AE41" s="316">
        <v>0.5</v>
      </c>
      <c r="AF41" s="316">
        <v>1.0940000000000001</v>
      </c>
      <c r="AG41" s="316">
        <v>2.5499999999999998</v>
      </c>
      <c r="AH41" s="316">
        <v>182</v>
      </c>
    </row>
    <row r="42" spans="1:34">
      <c r="A42" s="315" t="s">
        <v>1239</v>
      </c>
      <c r="B42" s="315" t="s">
        <v>1066</v>
      </c>
      <c r="C42" s="316" t="s">
        <v>1240</v>
      </c>
      <c r="D42" s="316" t="s">
        <v>1241</v>
      </c>
      <c r="E42" s="317">
        <v>24.08</v>
      </c>
      <c r="F42" s="317">
        <v>2.2483137000000002</v>
      </c>
      <c r="G42" s="317">
        <v>2.8181362999999999</v>
      </c>
      <c r="H42" s="317">
        <v>7.2363697</v>
      </c>
      <c r="I42" s="318">
        <v>30.051369186046511</v>
      </c>
      <c r="J42" s="318">
        <v>70.894548724891195</v>
      </c>
      <c r="K42" s="319">
        <v>33.915572104834304</v>
      </c>
      <c r="L42" s="319">
        <v>3.8642029187877931</v>
      </c>
      <c r="M42" s="319">
        <f t="shared" si="0"/>
        <v>3.8642029187877931</v>
      </c>
      <c r="N42" s="317">
        <v>0.93050006284410047</v>
      </c>
      <c r="O42" s="315" t="s">
        <v>1148</v>
      </c>
      <c r="P42" s="318">
        <v>160.1</v>
      </c>
      <c r="R42" s="320">
        <v>71.166666666666671</v>
      </c>
      <c r="S42" s="318">
        <v>35.799999999999997</v>
      </c>
      <c r="T42" s="318">
        <v>410.6</v>
      </c>
      <c r="U42" s="318">
        <v>337.92379999999997</v>
      </c>
      <c r="V42" s="315">
        <v>0.246</v>
      </c>
      <c r="W42" s="318">
        <v>351</v>
      </c>
      <c r="X42" s="315">
        <v>5</v>
      </c>
      <c r="Y42" s="315" t="s">
        <v>1149</v>
      </c>
      <c r="Z42" s="315">
        <v>0</v>
      </c>
      <c r="AA42" s="315" t="s">
        <v>1190</v>
      </c>
      <c r="AB42" s="315">
        <v>0</v>
      </c>
      <c r="AC42" s="315">
        <v>2016</v>
      </c>
      <c r="AD42" s="315">
        <v>2011</v>
      </c>
      <c r="AE42" s="315">
        <v>0.33</v>
      </c>
      <c r="AF42" s="315">
        <v>1.1919999999999999</v>
      </c>
      <c r="AG42" s="315">
        <v>0.99</v>
      </c>
      <c r="AH42" s="315">
        <v>360</v>
      </c>
    </row>
    <row r="43" spans="1:34">
      <c r="A43" s="315" t="s">
        <v>1222</v>
      </c>
      <c r="B43" s="315" t="s">
        <v>1066</v>
      </c>
      <c r="C43" s="316" t="s">
        <v>1242</v>
      </c>
      <c r="D43" s="316" t="s">
        <v>1243</v>
      </c>
      <c r="E43" s="317">
        <v>2.76</v>
      </c>
      <c r="F43" s="317">
        <v>0</v>
      </c>
      <c r="G43" s="317">
        <v>0</v>
      </c>
      <c r="H43" s="317">
        <v>1.1699788</v>
      </c>
      <c r="I43" s="318">
        <v>42.390536231884063</v>
      </c>
      <c r="J43" s="318">
        <v>67.633480608295301</v>
      </c>
      <c r="K43" s="319">
        <v>36.400858112942402</v>
      </c>
      <c r="L43" s="319">
        <v>-5.9896781189416615</v>
      </c>
      <c r="M43" s="319">
        <f t="shared" si="0"/>
        <v>0</v>
      </c>
      <c r="N43" s="317">
        <v>0</v>
      </c>
      <c r="O43" s="315" t="s">
        <v>1168</v>
      </c>
      <c r="P43" s="318">
        <v>162</v>
      </c>
      <c r="R43" s="320">
        <v>72.222222222222229</v>
      </c>
      <c r="S43" s="318">
        <v>40</v>
      </c>
      <c r="T43" s="318">
        <v>212.9</v>
      </c>
      <c r="U43" s="318">
        <v>204</v>
      </c>
      <c r="V43" s="315">
        <v>0.23400000000000001</v>
      </c>
      <c r="W43" s="318">
        <v>326.89999999999998</v>
      </c>
      <c r="X43" s="315">
        <v>1</v>
      </c>
      <c r="Y43" s="315" t="s">
        <v>1149</v>
      </c>
      <c r="Z43" s="315">
        <v>0</v>
      </c>
      <c r="AA43" s="315" t="s">
        <v>1190</v>
      </c>
      <c r="AB43" s="316">
        <v>0</v>
      </c>
      <c r="AC43" s="316">
        <v>2183</v>
      </c>
      <c r="AD43" s="316">
        <v>2131</v>
      </c>
      <c r="AE43" s="316">
        <v>0.38</v>
      </c>
      <c r="AF43" s="316">
        <v>1.2929999999999999</v>
      </c>
      <c r="AG43" s="316">
        <v>0.43</v>
      </c>
      <c r="AH43" s="316">
        <v>521</v>
      </c>
    </row>
    <row r="44" spans="1:34">
      <c r="A44" s="315" t="s">
        <v>1145</v>
      </c>
      <c r="B44" s="315" t="s">
        <v>1066</v>
      </c>
      <c r="C44" s="316" t="s">
        <v>1244</v>
      </c>
      <c r="D44" s="316" t="s">
        <v>1245</v>
      </c>
      <c r="E44" s="317">
        <v>3.16</v>
      </c>
      <c r="F44" s="317">
        <v>0</v>
      </c>
      <c r="G44" s="317">
        <v>0</v>
      </c>
      <c r="H44" s="317">
        <v>0</v>
      </c>
      <c r="I44" s="318">
        <v>0</v>
      </c>
      <c r="J44" s="318">
        <v>68.023322283189103</v>
      </c>
      <c r="K44" s="319">
        <v>34.234794566564901</v>
      </c>
      <c r="L44" s="319">
        <v>34.234794566564901</v>
      </c>
      <c r="M44" s="319">
        <f t="shared" si="0"/>
        <v>34.234794566564901</v>
      </c>
      <c r="N44" s="317">
        <v>1.081819508303451</v>
      </c>
      <c r="O44" s="315" t="s">
        <v>1168</v>
      </c>
      <c r="P44" s="318">
        <v>162</v>
      </c>
      <c r="R44" s="320">
        <v>72.222222222222229</v>
      </c>
      <c r="S44" s="318">
        <v>40</v>
      </c>
      <c r="T44" s="318">
        <v>97.69</v>
      </c>
      <c r="U44" s="318">
        <v>97.7</v>
      </c>
      <c r="V44" s="315">
        <v>0.22</v>
      </c>
      <c r="W44" s="318">
        <v>613.4</v>
      </c>
      <c r="X44" s="315">
        <v>1</v>
      </c>
      <c r="Y44" s="315" t="s">
        <v>1149</v>
      </c>
      <c r="Z44" s="315">
        <v>0</v>
      </c>
      <c r="AA44" s="315" t="s">
        <v>1190</v>
      </c>
      <c r="AB44" s="316">
        <v>0</v>
      </c>
      <c r="AC44" s="316">
        <v>2183</v>
      </c>
      <c r="AD44" s="316">
        <v>2131</v>
      </c>
      <c r="AE44" s="316">
        <v>0.38</v>
      </c>
      <c r="AF44" s="316">
        <v>1.2929999999999999</v>
      </c>
      <c r="AG44" s="316">
        <v>0.43</v>
      </c>
      <c r="AH44" s="316">
        <v>521</v>
      </c>
    </row>
    <row r="45" spans="1:34">
      <c r="A45" s="315" t="s">
        <v>1145</v>
      </c>
      <c r="B45" s="315" t="s">
        <v>1066</v>
      </c>
      <c r="C45" s="316" t="s">
        <v>1246</v>
      </c>
      <c r="D45" s="316" t="s">
        <v>1247</v>
      </c>
      <c r="E45" s="317">
        <v>17.63</v>
      </c>
      <c r="F45" s="317">
        <v>6.6432199999999995</v>
      </c>
      <c r="G45" s="317">
        <v>7.8297447</v>
      </c>
      <c r="H45" s="317">
        <v>8.5085329000000005</v>
      </c>
      <c r="I45" s="318">
        <v>48.261672716959737</v>
      </c>
      <c r="J45" s="318">
        <v>49.249161789225397</v>
      </c>
      <c r="K45" s="319">
        <v>41.752842898575196</v>
      </c>
      <c r="L45" s="319">
        <v>-6.508829818384541</v>
      </c>
      <c r="M45" s="319">
        <f t="shared" si="0"/>
        <v>0</v>
      </c>
      <c r="N45" s="317">
        <v>0</v>
      </c>
      <c r="O45" s="315" t="s">
        <v>1148</v>
      </c>
      <c r="P45" s="318">
        <v>163</v>
      </c>
      <c r="R45" s="320">
        <v>72.777777777777771</v>
      </c>
      <c r="S45" s="318">
        <v>40</v>
      </c>
      <c r="T45" s="318">
        <v>203.9</v>
      </c>
      <c r="U45" s="318">
        <v>412</v>
      </c>
      <c r="V45" s="315">
        <v>0.21</v>
      </c>
      <c r="W45" s="318">
        <v>138.80000000000001</v>
      </c>
      <c r="X45" s="315">
        <v>5</v>
      </c>
      <c r="Y45" s="315" t="s">
        <v>1149</v>
      </c>
      <c r="Z45" s="315">
        <v>0</v>
      </c>
      <c r="AA45" s="315" t="s">
        <v>1190</v>
      </c>
      <c r="AB45" s="316">
        <v>0</v>
      </c>
      <c r="AC45" s="316">
        <v>2137</v>
      </c>
      <c r="AD45" s="316">
        <v>2068</v>
      </c>
      <c r="AE45" s="316">
        <v>0.72</v>
      </c>
      <c r="AF45" s="316">
        <v>1.284</v>
      </c>
      <c r="AG45" s="316">
        <v>0.438</v>
      </c>
      <c r="AH45" s="316">
        <v>502</v>
      </c>
    </row>
    <row r="46" spans="1:34">
      <c r="A46" s="315" t="s">
        <v>1222</v>
      </c>
      <c r="B46" s="315" t="s">
        <v>1066</v>
      </c>
      <c r="C46" s="316" t="s">
        <v>1248</v>
      </c>
      <c r="D46" s="316" t="s">
        <v>1249</v>
      </c>
      <c r="E46" s="317">
        <v>22.91</v>
      </c>
      <c r="F46" s="317">
        <v>3.5366434999999998</v>
      </c>
      <c r="G46" s="317">
        <v>4.3115068000000001</v>
      </c>
      <c r="H46" s="317">
        <v>5.1642318999999999</v>
      </c>
      <c r="I46" s="318">
        <v>22.541387603666521</v>
      </c>
      <c r="J46" s="318">
        <v>51.759005533619302</v>
      </c>
      <c r="K46" s="319">
        <v>40.861751068046999</v>
      </c>
      <c r="L46" s="319">
        <v>18.320363464380478</v>
      </c>
      <c r="M46" s="319">
        <f t="shared" si="0"/>
        <v>18.320363464380478</v>
      </c>
      <c r="N46" s="317">
        <v>4.1971952696895674</v>
      </c>
      <c r="O46" s="315" t="s">
        <v>1148</v>
      </c>
      <c r="P46" s="318">
        <v>163</v>
      </c>
      <c r="R46" s="320">
        <v>72.777777777777771</v>
      </c>
      <c r="S46" s="318">
        <v>40</v>
      </c>
      <c r="T46" s="318">
        <v>201.8</v>
      </c>
      <c r="U46" s="318">
        <v>412</v>
      </c>
      <c r="V46" s="315">
        <v>0.23</v>
      </c>
      <c r="W46" s="318">
        <v>695.3</v>
      </c>
      <c r="X46" s="315">
        <v>4</v>
      </c>
      <c r="Y46" s="315" t="s">
        <v>1149</v>
      </c>
      <c r="Z46" s="315">
        <v>0</v>
      </c>
      <c r="AA46" s="315" t="s">
        <v>1190</v>
      </c>
      <c r="AB46" s="316">
        <v>0</v>
      </c>
      <c r="AC46" s="316">
        <v>2120</v>
      </c>
      <c r="AD46" s="316">
        <v>2068</v>
      </c>
      <c r="AE46" s="316">
        <v>0.67</v>
      </c>
      <c r="AF46" s="316">
        <v>1.284</v>
      </c>
      <c r="AG46" s="316">
        <v>0.438</v>
      </c>
      <c r="AH46" s="316">
        <v>502</v>
      </c>
    </row>
    <row r="47" spans="1:34">
      <c r="A47" s="315" t="s">
        <v>1145</v>
      </c>
      <c r="B47" s="315" t="s">
        <v>1066</v>
      </c>
      <c r="C47" s="316" t="s">
        <v>1250</v>
      </c>
      <c r="D47" s="316" t="s">
        <v>1251</v>
      </c>
      <c r="E47" s="317">
        <v>5.29</v>
      </c>
      <c r="F47" s="317">
        <v>0</v>
      </c>
      <c r="G47" s="317">
        <v>0</v>
      </c>
      <c r="H47" s="317">
        <v>0.16269749999999999</v>
      </c>
      <c r="I47" s="318">
        <v>3.0755671077504725</v>
      </c>
      <c r="J47" s="318">
        <v>77.206097679111707</v>
      </c>
      <c r="K47" s="319">
        <v>30.613610155374499</v>
      </c>
      <c r="L47" s="319">
        <v>27.538043047624026</v>
      </c>
      <c r="M47" s="319">
        <f t="shared" si="0"/>
        <v>27.538043047624026</v>
      </c>
      <c r="N47" s="317">
        <v>1.4567624772193111</v>
      </c>
      <c r="O47" s="315" t="s">
        <v>1168</v>
      </c>
      <c r="P47" s="318">
        <v>165.1</v>
      </c>
      <c r="R47" s="320">
        <v>73.944444444444443</v>
      </c>
      <c r="S47" s="318">
        <v>32.799999999999997</v>
      </c>
      <c r="T47" s="318">
        <v>78.900000000000006</v>
      </c>
      <c r="U47" s="318">
        <v>78.900000000000006</v>
      </c>
      <c r="V47" s="315">
        <v>0.254</v>
      </c>
      <c r="W47" s="318">
        <v>813</v>
      </c>
      <c r="X47" s="315">
        <v>0</v>
      </c>
      <c r="Y47" s="315" t="s">
        <v>1149</v>
      </c>
      <c r="Z47" s="315">
        <v>0</v>
      </c>
      <c r="AA47" s="315" t="s">
        <v>1190</v>
      </c>
      <c r="AB47" s="316">
        <v>0</v>
      </c>
      <c r="AC47" s="316">
        <v>2180</v>
      </c>
      <c r="AD47" s="316">
        <v>2175</v>
      </c>
      <c r="AE47" s="316">
        <v>0.23</v>
      </c>
      <c r="AF47" s="316">
        <v>1.0489999999999999</v>
      </c>
      <c r="AG47" s="316">
        <v>2.5369999999999999</v>
      </c>
      <c r="AH47" s="316">
        <v>462</v>
      </c>
    </row>
    <row r="48" spans="1:34">
      <c r="A48" s="315" t="s">
        <v>1145</v>
      </c>
      <c r="B48" s="315" t="s">
        <v>1066</v>
      </c>
      <c r="C48" s="316" t="s">
        <v>1252</v>
      </c>
      <c r="D48" s="316" t="s">
        <v>1253</v>
      </c>
      <c r="E48" s="317">
        <v>5.2208300000000003</v>
      </c>
      <c r="F48" s="317">
        <v>0</v>
      </c>
      <c r="G48" s="317">
        <v>0</v>
      </c>
      <c r="H48" s="317">
        <v>0.350713</v>
      </c>
      <c r="I48" s="318">
        <v>6.7175717271008626</v>
      </c>
      <c r="J48" s="318">
        <v>50.853764836962199</v>
      </c>
      <c r="K48" s="319">
        <v>40.407634762526399</v>
      </c>
      <c r="L48" s="319">
        <v>33.690063035425538</v>
      </c>
      <c r="M48" s="319">
        <f t="shared" si="0"/>
        <v>33.690063035425538</v>
      </c>
      <c r="N48" s="317">
        <v>1.7589009179724073</v>
      </c>
      <c r="O48" s="315" t="s">
        <v>1168</v>
      </c>
      <c r="P48" s="318">
        <v>165.1</v>
      </c>
      <c r="R48" s="320">
        <v>73.944444444444443</v>
      </c>
      <c r="S48" s="318">
        <v>32.799999999999997</v>
      </c>
      <c r="T48" s="318">
        <v>19.899999999999999</v>
      </c>
      <c r="U48" s="318">
        <v>11</v>
      </c>
      <c r="V48" s="315">
        <v>0.27</v>
      </c>
      <c r="W48" s="318">
        <v>117.8</v>
      </c>
      <c r="X48" s="315">
        <v>0</v>
      </c>
      <c r="Y48" s="315" t="s">
        <v>1149</v>
      </c>
      <c r="Z48" s="315">
        <v>0</v>
      </c>
      <c r="AA48" s="315" t="s">
        <v>1190</v>
      </c>
      <c r="AB48" s="315">
        <v>0</v>
      </c>
      <c r="AC48" s="315">
        <v>2180</v>
      </c>
      <c r="AD48" s="315">
        <v>2175</v>
      </c>
      <c r="AE48" s="315">
        <v>0.64500000000000002</v>
      </c>
      <c r="AF48" s="315">
        <v>1.0489999999999999</v>
      </c>
      <c r="AG48" s="315">
        <v>0.57999999999999996</v>
      </c>
      <c r="AH48" s="315">
        <v>462</v>
      </c>
    </row>
    <row r="49" spans="1:34">
      <c r="A49" s="315" t="s">
        <v>1145</v>
      </c>
      <c r="B49" s="315" t="s">
        <v>1066</v>
      </c>
      <c r="C49" s="316" t="s">
        <v>1254</v>
      </c>
      <c r="D49" s="316" t="s">
        <v>1255</v>
      </c>
      <c r="E49" s="317">
        <v>5.9480000000000004</v>
      </c>
      <c r="F49" s="317">
        <v>0</v>
      </c>
      <c r="G49" s="317">
        <v>0</v>
      </c>
      <c r="H49" s="317">
        <v>0.72104950000000001</v>
      </c>
      <c r="I49" s="318">
        <v>12.122553799596503</v>
      </c>
      <c r="J49" s="318">
        <v>69.177823065870101</v>
      </c>
      <c r="K49" s="319">
        <v>34.5047435678757</v>
      </c>
      <c r="L49" s="319">
        <v>22.382189768279197</v>
      </c>
      <c r="M49" s="319">
        <f t="shared" si="0"/>
        <v>22.382189768279197</v>
      </c>
      <c r="N49" s="317">
        <v>1.3312926474172468</v>
      </c>
      <c r="O49" s="315" t="s">
        <v>1168</v>
      </c>
      <c r="P49" s="318">
        <v>166</v>
      </c>
      <c r="R49" s="320">
        <v>74.444444444444443</v>
      </c>
      <c r="S49" s="318">
        <v>41</v>
      </c>
      <c r="T49" s="318">
        <v>92.8</v>
      </c>
      <c r="U49" s="318">
        <v>168</v>
      </c>
      <c r="V49" s="315">
        <v>0.22</v>
      </c>
      <c r="W49" s="318">
        <v>232.2</v>
      </c>
      <c r="X49" s="315">
        <v>1</v>
      </c>
      <c r="Y49" s="315" t="s">
        <v>1149</v>
      </c>
      <c r="Z49" s="315">
        <v>0</v>
      </c>
      <c r="AA49" s="315" t="s">
        <v>1190</v>
      </c>
      <c r="AB49" s="316">
        <v>0</v>
      </c>
      <c r="AC49" s="316">
        <v>2120</v>
      </c>
      <c r="AD49" s="316">
        <v>2068</v>
      </c>
      <c r="AE49" s="316">
        <v>0.37</v>
      </c>
      <c r="AF49" s="316">
        <v>1.298</v>
      </c>
      <c r="AG49" s="316">
        <v>0.41199999999999998</v>
      </c>
      <c r="AH49" s="316">
        <v>518</v>
      </c>
    </row>
    <row r="50" spans="1:34">
      <c r="A50" s="315" t="s">
        <v>1229</v>
      </c>
      <c r="B50" s="315" t="s">
        <v>1066</v>
      </c>
      <c r="C50" s="316" t="s">
        <v>1256</v>
      </c>
      <c r="D50" s="316" t="s">
        <v>1257</v>
      </c>
      <c r="E50" s="317">
        <v>30.27</v>
      </c>
      <c r="F50" s="317">
        <v>6.2362419999999998</v>
      </c>
      <c r="G50" s="317">
        <v>6.7988878000000001</v>
      </c>
      <c r="H50" s="317">
        <v>7.6630687999999996</v>
      </c>
      <c r="I50" s="318">
        <v>25.315721176081929</v>
      </c>
      <c r="J50" s="318">
        <v>60.782817809767302</v>
      </c>
      <c r="K50" s="319">
        <v>38.915967188922501</v>
      </c>
      <c r="L50" s="319">
        <v>13.600246012840572</v>
      </c>
      <c r="M50" s="319">
        <f t="shared" si="0"/>
        <v>13.600246012840572</v>
      </c>
      <c r="N50" s="317">
        <v>4.1167944680868409</v>
      </c>
      <c r="O50" s="315" t="s">
        <v>1148</v>
      </c>
      <c r="P50" s="318">
        <v>167</v>
      </c>
      <c r="R50" s="320">
        <v>75</v>
      </c>
      <c r="S50" s="318">
        <v>41</v>
      </c>
      <c r="T50" s="318">
        <v>271.89999999999998</v>
      </c>
      <c r="U50" s="318">
        <v>357</v>
      </c>
      <c r="V50" s="315">
        <v>0.23</v>
      </c>
      <c r="W50" s="318">
        <v>365.2</v>
      </c>
      <c r="X50" s="315">
        <v>7</v>
      </c>
      <c r="Y50" s="315" t="s">
        <v>1149</v>
      </c>
      <c r="Z50" s="315">
        <v>0</v>
      </c>
      <c r="AA50" s="315" t="s">
        <v>1190</v>
      </c>
      <c r="AB50" s="316">
        <v>0</v>
      </c>
      <c r="AC50" s="316">
        <v>2305</v>
      </c>
      <c r="AD50" s="316">
        <v>2253</v>
      </c>
      <c r="AE50" s="316">
        <v>0.46</v>
      </c>
      <c r="AF50" s="316">
        <v>1.3280000000000001</v>
      </c>
      <c r="AG50" s="316">
        <v>0.38900000000000001</v>
      </c>
      <c r="AH50" s="316">
        <v>574</v>
      </c>
    </row>
    <row r="51" spans="1:34">
      <c r="A51" s="315" t="s">
        <v>1229</v>
      </c>
      <c r="B51" s="315" t="s">
        <v>1066</v>
      </c>
      <c r="C51" s="316" t="s">
        <v>1258</v>
      </c>
      <c r="D51" s="316" t="s">
        <v>1259</v>
      </c>
      <c r="E51" s="317">
        <v>2.0299999999999998</v>
      </c>
      <c r="F51" s="317">
        <v>0.26398129999999997</v>
      </c>
      <c r="G51" s="317">
        <v>0.28779819999999995</v>
      </c>
      <c r="H51" s="317">
        <v>0.29882499999999995</v>
      </c>
      <c r="I51" s="318">
        <v>14.720443349753692</v>
      </c>
      <c r="J51" s="318">
        <v>63.025272014232797</v>
      </c>
      <c r="K51" s="319">
        <v>37.9320857290436</v>
      </c>
      <c r="L51" s="319">
        <v>23.211642379289906</v>
      </c>
      <c r="M51" s="319">
        <f t="shared" si="0"/>
        <v>23.211642379289906</v>
      </c>
      <c r="N51" s="317">
        <v>0.47119634029958507</v>
      </c>
      <c r="O51" s="315" t="s">
        <v>1148</v>
      </c>
      <c r="P51" s="318">
        <v>168</v>
      </c>
      <c r="R51" s="320">
        <v>75.555555555555557</v>
      </c>
      <c r="S51" s="318">
        <v>35.5</v>
      </c>
      <c r="T51" s="318">
        <v>128.19999999999999</v>
      </c>
      <c r="U51" s="318">
        <v>109.48279999999998</v>
      </c>
      <c r="V51" s="315">
        <v>0.23499999999999999</v>
      </c>
      <c r="W51" s="318">
        <v>279.89999999999998</v>
      </c>
      <c r="X51" s="315">
        <v>2</v>
      </c>
      <c r="Y51" s="315" t="s">
        <v>1149</v>
      </c>
      <c r="Z51" s="315">
        <v>0</v>
      </c>
      <c r="AA51" s="315" t="s">
        <v>1190</v>
      </c>
      <c r="AB51" s="315">
        <v>0</v>
      </c>
      <c r="AC51" s="315">
        <v>2282</v>
      </c>
      <c r="AD51" s="315">
        <v>2267</v>
      </c>
      <c r="AE51" s="315">
        <v>0.4</v>
      </c>
      <c r="AF51" s="315">
        <v>1.258</v>
      </c>
      <c r="AG51" s="315">
        <v>0.57999999999999996</v>
      </c>
      <c r="AH51" s="315">
        <v>536</v>
      </c>
    </row>
    <row r="52" spans="1:34">
      <c r="A52" s="315" t="s">
        <v>1222</v>
      </c>
      <c r="B52" s="315" t="s">
        <v>1066</v>
      </c>
      <c r="C52" s="316" t="s">
        <v>1260</v>
      </c>
      <c r="D52" s="316" t="s">
        <v>1261</v>
      </c>
      <c r="E52" s="317">
        <v>4.92</v>
      </c>
      <c r="F52" s="317">
        <v>0</v>
      </c>
      <c r="G52" s="317">
        <v>0</v>
      </c>
      <c r="H52" s="317">
        <v>0.66463099999999997</v>
      </c>
      <c r="I52" s="318">
        <v>13.508760162601627</v>
      </c>
      <c r="J52" s="318">
        <v>68.005934765304502</v>
      </c>
      <c r="K52" s="319">
        <v>36.483920236192901</v>
      </c>
      <c r="L52" s="319">
        <v>22.975160073591276</v>
      </c>
      <c r="M52" s="319">
        <f t="shared" si="0"/>
        <v>22.975160073591276</v>
      </c>
      <c r="N52" s="317">
        <v>1.1303778756206908</v>
      </c>
      <c r="O52" s="315" t="s">
        <v>1168</v>
      </c>
      <c r="P52" s="318">
        <v>168.3</v>
      </c>
      <c r="R52" s="320">
        <v>75.722222222222229</v>
      </c>
      <c r="S52" s="318">
        <v>37.200000000000003</v>
      </c>
      <c r="T52" s="318">
        <v>192.6</v>
      </c>
      <c r="U52" s="318">
        <v>202</v>
      </c>
      <c r="V52" s="315">
        <v>0.22</v>
      </c>
      <c r="W52" s="318">
        <v>544.29999999999995</v>
      </c>
      <c r="X52" s="315">
        <v>0</v>
      </c>
      <c r="Y52" s="315" t="s">
        <v>1149</v>
      </c>
      <c r="Z52" s="315">
        <v>0</v>
      </c>
      <c r="AA52" s="315" t="s">
        <v>1190</v>
      </c>
      <c r="AB52" s="315">
        <v>0</v>
      </c>
      <c r="AC52" s="315">
        <v>2289</v>
      </c>
      <c r="AD52" s="315">
        <v>2285</v>
      </c>
      <c r="AE52" s="315">
        <v>0.38</v>
      </c>
      <c r="AF52" s="315">
        <v>1.292</v>
      </c>
      <c r="AG52" s="315">
        <v>0.49</v>
      </c>
      <c r="AH52" s="315">
        <v>547</v>
      </c>
    </row>
    <row r="53" spans="1:34">
      <c r="A53" s="315" t="s">
        <v>1262</v>
      </c>
      <c r="B53" s="315" t="s">
        <v>1066</v>
      </c>
      <c r="C53" s="316" t="s">
        <v>1263</v>
      </c>
      <c r="D53" s="316" t="s">
        <v>1264</v>
      </c>
      <c r="E53" s="317">
        <v>3.9300071000000001</v>
      </c>
      <c r="F53" s="317">
        <v>3.3649562</v>
      </c>
      <c r="G53" s="317">
        <v>3.6685490000000001</v>
      </c>
      <c r="H53" s="317">
        <v>4.8935696000000002</v>
      </c>
      <c r="I53" s="318">
        <v>124.51808547623236</v>
      </c>
      <c r="J53" s="318">
        <v>54.025703073949401</v>
      </c>
      <c r="K53" s="319">
        <v>40.081498507864296</v>
      </c>
      <c r="L53" s="319">
        <v>-84.436586968368061</v>
      </c>
      <c r="M53" s="319">
        <f t="shared" si="0"/>
        <v>0</v>
      </c>
      <c r="N53" s="317">
        <v>0</v>
      </c>
      <c r="O53" s="315" t="s">
        <v>1148</v>
      </c>
      <c r="P53" s="318">
        <v>168.9</v>
      </c>
      <c r="R53" s="320">
        <v>76.055555555555557</v>
      </c>
      <c r="S53" s="318">
        <v>36.299999999999997</v>
      </c>
      <c r="T53" s="318">
        <v>45.9</v>
      </c>
      <c r="U53" s="318">
        <v>93</v>
      </c>
      <c r="V53" s="315">
        <v>0.24</v>
      </c>
      <c r="W53" s="318">
        <v>203.2</v>
      </c>
      <c r="X53" s="315">
        <v>1</v>
      </c>
      <c r="Y53" s="315" t="s">
        <v>1149</v>
      </c>
      <c r="Z53" s="315">
        <v>0</v>
      </c>
      <c r="AA53" s="315" t="s">
        <v>1190</v>
      </c>
      <c r="AB53" s="315">
        <v>0</v>
      </c>
      <c r="AC53" s="315">
        <v>2306</v>
      </c>
      <c r="AD53" s="315">
        <v>2307</v>
      </c>
      <c r="AE53" s="315">
        <v>0.54</v>
      </c>
      <c r="AF53" s="315">
        <v>1.0509999999999999</v>
      </c>
      <c r="AG53" s="315">
        <v>0.38</v>
      </c>
      <c r="AH53" s="315">
        <v>563</v>
      </c>
    </row>
    <row r="54" spans="1:34">
      <c r="A54" s="315" t="s">
        <v>1145</v>
      </c>
      <c r="B54" s="315" t="s">
        <v>1066</v>
      </c>
      <c r="C54" s="316" t="s">
        <v>1265</v>
      </c>
      <c r="D54" s="316" t="s">
        <v>1266</v>
      </c>
      <c r="E54" s="317">
        <v>5.98</v>
      </c>
      <c r="F54" s="317">
        <v>5.0992900000000001E-2</v>
      </c>
      <c r="G54" s="317">
        <v>5.55936E-2</v>
      </c>
      <c r="H54" s="317">
        <v>5.77236E-2</v>
      </c>
      <c r="I54" s="318">
        <v>0.96527759197324403</v>
      </c>
      <c r="J54" s="318">
        <v>69.852405398358101</v>
      </c>
      <c r="K54" s="319">
        <v>34.270409563563597</v>
      </c>
      <c r="L54" s="319">
        <v>33.305131971590356</v>
      </c>
      <c r="M54" s="319">
        <f t="shared" si="0"/>
        <v>33.305131971590356</v>
      </c>
      <c r="N54" s="317">
        <v>1.9916468919011034</v>
      </c>
      <c r="O54" s="315" t="s">
        <v>1148</v>
      </c>
      <c r="P54" s="318">
        <v>169</v>
      </c>
      <c r="R54" s="320">
        <v>76.111111111111114</v>
      </c>
      <c r="S54" s="318">
        <v>36.6</v>
      </c>
      <c r="T54" s="318">
        <v>112</v>
      </c>
      <c r="U54" s="318">
        <v>112</v>
      </c>
      <c r="V54" s="315">
        <v>0.21</v>
      </c>
      <c r="W54" s="318">
        <v>19</v>
      </c>
      <c r="X54" s="315">
        <v>3</v>
      </c>
      <c r="Y54" s="315" t="s">
        <v>1149</v>
      </c>
      <c r="Z54" s="315">
        <v>0</v>
      </c>
      <c r="AA54" s="315" t="s">
        <v>1190</v>
      </c>
      <c r="AB54" s="315">
        <v>0</v>
      </c>
      <c r="AC54" s="315">
        <v>2323</v>
      </c>
      <c r="AD54" s="315">
        <v>2308</v>
      </c>
      <c r="AE54" s="315">
        <v>0.37</v>
      </c>
      <c r="AF54" s="315">
        <v>1.2956799999999999</v>
      </c>
      <c r="AG54" s="315">
        <v>0.64268999999999998</v>
      </c>
      <c r="AH54" s="315">
        <v>569</v>
      </c>
    </row>
    <row r="55" spans="1:34">
      <c r="A55" s="315" t="s">
        <v>1145</v>
      </c>
      <c r="B55" s="315" t="s">
        <v>1066</v>
      </c>
      <c r="C55" s="316" t="s">
        <v>1267</v>
      </c>
      <c r="D55" s="316" t="s">
        <v>1268</v>
      </c>
      <c r="E55" s="317">
        <v>36.97</v>
      </c>
      <c r="F55" s="317">
        <v>12.6276791</v>
      </c>
      <c r="G55" s="317">
        <v>13.766972599999999</v>
      </c>
      <c r="H55" s="317">
        <v>14.294446999999998</v>
      </c>
      <c r="I55" s="318">
        <v>38.664990532864479</v>
      </c>
      <c r="J55" s="318">
        <v>49.4492027911447</v>
      </c>
      <c r="K55" s="319">
        <v>39.694095688753499</v>
      </c>
      <c r="L55" s="319">
        <v>1.0291051558890203</v>
      </c>
      <c r="M55" s="319">
        <f t="shared" si="0"/>
        <v>1.0291051558890203</v>
      </c>
      <c r="N55" s="317">
        <v>0.38046017613217076</v>
      </c>
      <c r="O55" s="315" t="s">
        <v>1148</v>
      </c>
      <c r="P55" s="318">
        <v>169.6</v>
      </c>
      <c r="R55" s="320">
        <v>76.444444444444443</v>
      </c>
      <c r="S55" s="318">
        <v>36.950000000000003</v>
      </c>
      <c r="T55" s="318">
        <v>20</v>
      </c>
      <c r="U55" s="318">
        <v>18.582999999999998</v>
      </c>
      <c r="V55" s="315">
        <v>0.186644</v>
      </c>
      <c r="W55" s="318">
        <v>68.285619999999994</v>
      </c>
      <c r="X55" s="315">
        <v>18</v>
      </c>
      <c r="Y55" s="315" t="s">
        <v>1149</v>
      </c>
      <c r="Z55" s="315">
        <v>0</v>
      </c>
      <c r="AA55" s="315" t="s">
        <v>1190</v>
      </c>
      <c r="AB55" s="315">
        <v>0</v>
      </c>
      <c r="AC55" s="315">
        <v>2335</v>
      </c>
      <c r="AD55" s="315">
        <v>2323.5</v>
      </c>
      <c r="AE55" s="315">
        <v>0.8</v>
      </c>
      <c r="AF55" s="315">
        <v>1.3080000000000001</v>
      </c>
      <c r="AG55" s="315">
        <v>0.45</v>
      </c>
      <c r="AH55" s="315">
        <v>773.33299999999997</v>
      </c>
    </row>
    <row r="56" spans="1:34">
      <c r="A56" s="315" t="s">
        <v>1145</v>
      </c>
      <c r="B56" s="315" t="s">
        <v>1066</v>
      </c>
      <c r="C56" s="316" t="s">
        <v>1269</v>
      </c>
      <c r="D56" s="316" t="s">
        <v>1270</v>
      </c>
      <c r="E56" s="317">
        <v>1.07</v>
      </c>
      <c r="F56" s="317">
        <v>2.9990000000000003E-4</v>
      </c>
      <c r="G56" s="317">
        <v>0.20583319999999999</v>
      </c>
      <c r="H56" s="317">
        <v>0.20583319999999999</v>
      </c>
      <c r="I56" s="318">
        <v>19.236747663551402</v>
      </c>
      <c r="J56" s="318">
        <v>66.438014237956693</v>
      </c>
      <c r="K56" s="319">
        <v>36.434859919355297</v>
      </c>
      <c r="L56" s="319">
        <v>17.198112255803895</v>
      </c>
      <c r="M56" s="319">
        <f t="shared" si="0"/>
        <v>17.198112255803895</v>
      </c>
      <c r="N56" s="317">
        <v>0.1840198011371017</v>
      </c>
      <c r="O56" s="315" t="s">
        <v>1148</v>
      </c>
      <c r="P56" s="318">
        <v>170.9</v>
      </c>
      <c r="R56" s="320">
        <v>77.166666666666671</v>
      </c>
      <c r="S56" s="318">
        <v>38.200000000000003</v>
      </c>
      <c r="T56" s="318">
        <v>209</v>
      </c>
      <c r="U56" s="318">
        <v>209</v>
      </c>
      <c r="V56" s="315">
        <v>0.2</v>
      </c>
      <c r="W56" s="318">
        <v>200</v>
      </c>
      <c r="X56" s="315">
        <v>0</v>
      </c>
      <c r="Y56" s="315" t="s">
        <v>1149</v>
      </c>
      <c r="Z56" s="315">
        <v>0</v>
      </c>
      <c r="AA56" s="315" t="s">
        <v>1190</v>
      </c>
      <c r="AB56" s="315">
        <v>0</v>
      </c>
      <c r="AC56" s="315">
        <v>2359</v>
      </c>
      <c r="AD56" s="315">
        <v>2340</v>
      </c>
      <c r="AE56" s="315">
        <v>0.4</v>
      </c>
      <c r="AF56" s="315">
        <v>1.292</v>
      </c>
      <c r="AG56" s="315">
        <v>0.49</v>
      </c>
      <c r="AH56" s="315">
        <v>611</v>
      </c>
    </row>
    <row r="57" spans="1:34">
      <c r="A57" s="315" t="s">
        <v>1229</v>
      </c>
      <c r="B57" s="315" t="s">
        <v>1066</v>
      </c>
      <c r="C57" s="316" t="s">
        <v>1271</v>
      </c>
      <c r="D57" s="316" t="s">
        <v>1272</v>
      </c>
      <c r="E57" s="317">
        <v>5.53</v>
      </c>
      <c r="F57" s="317">
        <v>2.2992946000000001</v>
      </c>
      <c r="G57" s="317">
        <v>2.5195286000000001</v>
      </c>
      <c r="H57" s="317">
        <v>2.6155723000000002</v>
      </c>
      <c r="I57" s="318">
        <v>47.297871609403259</v>
      </c>
      <c r="J57" s="318">
        <v>57.144092173545403</v>
      </c>
      <c r="K57" s="319">
        <v>38.460634363660901</v>
      </c>
      <c r="L57" s="319">
        <v>-8.837237245742358</v>
      </c>
      <c r="M57" s="319">
        <f t="shared" si="0"/>
        <v>0</v>
      </c>
      <c r="N57" s="317">
        <v>0</v>
      </c>
      <c r="O57" s="315" t="s">
        <v>1148</v>
      </c>
      <c r="P57" s="318">
        <v>171</v>
      </c>
      <c r="R57" s="320">
        <v>77.222222222222229</v>
      </c>
      <c r="S57" s="318">
        <v>41</v>
      </c>
      <c r="T57" s="318">
        <v>15.8</v>
      </c>
      <c r="U57" s="318">
        <v>108</v>
      </c>
      <c r="V57" s="315">
        <v>0.21</v>
      </c>
      <c r="W57" s="318">
        <v>139.1</v>
      </c>
      <c r="X57" s="315">
        <v>2</v>
      </c>
      <c r="Y57" s="315" t="s">
        <v>1149</v>
      </c>
      <c r="Z57" s="315">
        <v>0</v>
      </c>
      <c r="AA57" s="315" t="s">
        <v>1190</v>
      </c>
      <c r="AB57" s="316">
        <v>0</v>
      </c>
      <c r="AC57" s="316">
        <v>2344</v>
      </c>
      <c r="AD57" s="316">
        <v>2292</v>
      </c>
      <c r="AE57" s="316">
        <v>0.54</v>
      </c>
      <c r="AF57" s="316">
        <v>1.3360000000000001</v>
      </c>
      <c r="AG57" s="316">
        <v>0.38300000000000001</v>
      </c>
      <c r="AH57" s="316">
        <v>584</v>
      </c>
    </row>
    <row r="58" spans="1:34">
      <c r="A58" s="315" t="s">
        <v>1229</v>
      </c>
      <c r="B58" s="315" t="s">
        <v>1066</v>
      </c>
      <c r="C58" s="316" t="s">
        <v>1273</v>
      </c>
      <c r="D58" s="316" t="s">
        <v>1274</v>
      </c>
      <c r="E58" s="317">
        <v>8.0399999999999991</v>
      </c>
      <c r="F58" s="317">
        <v>1.0732306</v>
      </c>
      <c r="G58" s="317">
        <v>1.1700595</v>
      </c>
      <c r="H58" s="317">
        <v>1.2148897000000001</v>
      </c>
      <c r="I58" s="318">
        <v>15.110568407960201</v>
      </c>
      <c r="J58" s="318">
        <v>59.247852216566301</v>
      </c>
      <c r="K58" s="319">
        <v>37.533694934410903</v>
      </c>
      <c r="L58" s="319">
        <v>22.423126526450702</v>
      </c>
      <c r="M58" s="319">
        <f t="shared" si="0"/>
        <v>22.423126526450702</v>
      </c>
      <c r="N58" s="317">
        <v>1.8028193727266362</v>
      </c>
      <c r="O58" s="315" t="s">
        <v>1148</v>
      </c>
      <c r="P58" s="318">
        <v>171</v>
      </c>
      <c r="R58" s="320">
        <v>77.222222222222229</v>
      </c>
      <c r="S58" s="318">
        <v>41</v>
      </c>
      <c r="T58" s="318">
        <v>208.5</v>
      </c>
      <c r="U58" s="318">
        <v>108</v>
      </c>
      <c r="V58" s="315">
        <v>0.188</v>
      </c>
      <c r="W58" s="318">
        <v>51.8</v>
      </c>
      <c r="X58" s="315">
        <v>1</v>
      </c>
      <c r="Y58" s="315" t="s">
        <v>1149</v>
      </c>
      <c r="Z58" s="315">
        <v>0</v>
      </c>
      <c r="AA58" s="315" t="s">
        <v>1190</v>
      </c>
      <c r="AB58" s="316">
        <v>0</v>
      </c>
      <c r="AC58" s="316">
        <v>2344</v>
      </c>
      <c r="AD58" s="316">
        <v>2292</v>
      </c>
      <c r="AE58" s="316">
        <v>0.49</v>
      </c>
      <c r="AF58" s="316">
        <v>1.3360000000000001</v>
      </c>
      <c r="AG58" s="316">
        <v>0.38300000000000001</v>
      </c>
      <c r="AH58" s="316">
        <v>584</v>
      </c>
    </row>
    <row r="59" spans="1:34">
      <c r="A59" s="315" t="s">
        <v>1229</v>
      </c>
      <c r="B59" s="315" t="s">
        <v>1066</v>
      </c>
      <c r="C59" s="316" t="s">
        <v>1275</v>
      </c>
      <c r="D59" s="316" t="s">
        <v>1276</v>
      </c>
      <c r="E59" s="317">
        <v>17.600000000000001</v>
      </c>
      <c r="F59" s="317">
        <v>1.2370079</v>
      </c>
      <c r="G59" s="317">
        <v>1.3486131000000001</v>
      </c>
      <c r="H59" s="317">
        <v>1.4002845000000002</v>
      </c>
      <c r="I59" s="318">
        <v>7.9561619318181815</v>
      </c>
      <c r="J59" s="318">
        <v>59.239876242554701</v>
      </c>
      <c r="K59" s="319">
        <v>39.765917224253101</v>
      </c>
      <c r="L59" s="319">
        <v>31.809755292434922</v>
      </c>
      <c r="M59" s="319">
        <f t="shared" si="0"/>
        <v>31.809755292434922</v>
      </c>
      <c r="N59" s="317">
        <v>5.5985169314685468</v>
      </c>
      <c r="O59" s="315" t="s">
        <v>1148</v>
      </c>
      <c r="P59" s="318">
        <v>171</v>
      </c>
      <c r="R59" s="320">
        <v>77.222222222222229</v>
      </c>
      <c r="S59" s="318">
        <v>38.200000000000003</v>
      </c>
      <c r="T59" s="318">
        <v>217.9</v>
      </c>
      <c r="U59" s="318">
        <v>334</v>
      </c>
      <c r="V59" s="315">
        <v>0.22</v>
      </c>
      <c r="W59" s="318">
        <v>129.05000000000001</v>
      </c>
      <c r="X59" s="315">
        <v>3</v>
      </c>
      <c r="Y59" s="315" t="s">
        <v>1149</v>
      </c>
      <c r="Z59" s="315">
        <v>0</v>
      </c>
      <c r="AA59" s="315" t="s">
        <v>1190</v>
      </c>
      <c r="AB59" s="315">
        <v>0</v>
      </c>
      <c r="AC59" s="315">
        <v>2359</v>
      </c>
      <c r="AD59" s="315">
        <v>2340</v>
      </c>
      <c r="AE59" s="315">
        <v>0.49</v>
      </c>
      <c r="AF59" s="315">
        <v>1.33562</v>
      </c>
      <c r="AG59" s="315">
        <v>0.52210999999999996</v>
      </c>
      <c r="AH59" s="315">
        <v>611</v>
      </c>
    </row>
    <row r="60" spans="1:34">
      <c r="A60" s="315" t="s">
        <v>1277</v>
      </c>
      <c r="B60" s="315" t="s">
        <v>1066</v>
      </c>
      <c r="C60" s="316" t="s">
        <v>1278</v>
      </c>
      <c r="D60" s="316" t="s">
        <v>1279</v>
      </c>
      <c r="E60" s="317">
        <v>5.45</v>
      </c>
      <c r="F60" s="317">
        <v>2.1378590000000002</v>
      </c>
      <c r="G60" s="317">
        <v>2.3307408000000001</v>
      </c>
      <c r="H60" s="317">
        <v>2.9013264000000003</v>
      </c>
      <c r="I60" s="318">
        <v>53.235346788990832</v>
      </c>
      <c r="J60" s="318">
        <v>64.316322051132104</v>
      </c>
      <c r="K60" s="319">
        <v>35.733663706523899</v>
      </c>
      <c r="L60" s="319">
        <v>-17.501683082466933</v>
      </c>
      <c r="M60" s="319">
        <f t="shared" si="0"/>
        <v>0</v>
      </c>
      <c r="N60" s="317">
        <v>0</v>
      </c>
      <c r="O60" s="315" t="s">
        <v>1148</v>
      </c>
      <c r="P60" s="318">
        <v>173.1</v>
      </c>
      <c r="R60" s="320">
        <v>78.388888888888886</v>
      </c>
      <c r="S60" s="318">
        <v>40</v>
      </c>
      <c r="T60" s="318">
        <v>157.9</v>
      </c>
      <c r="U60" s="318">
        <v>309</v>
      </c>
      <c r="V60" s="315">
        <v>0.22</v>
      </c>
      <c r="W60" s="318">
        <v>51.7</v>
      </c>
      <c r="X60" s="315">
        <v>0</v>
      </c>
      <c r="Y60" s="315" t="s">
        <v>1149</v>
      </c>
      <c r="Z60" s="315">
        <v>0</v>
      </c>
      <c r="AA60" s="315" t="s">
        <v>1190</v>
      </c>
      <c r="AB60" s="315">
        <v>0</v>
      </c>
      <c r="AC60" s="315">
        <v>2450</v>
      </c>
      <c r="AD60" s="315">
        <v>2444</v>
      </c>
      <c r="AE60" s="315">
        <v>0.42</v>
      </c>
      <c r="AF60" s="315">
        <v>1.371</v>
      </c>
      <c r="AG60" s="315">
        <v>0.36</v>
      </c>
      <c r="AH60" s="315">
        <v>687</v>
      </c>
    </row>
    <row r="61" spans="1:34">
      <c r="A61" s="315" t="s">
        <v>1145</v>
      </c>
      <c r="B61" s="315" t="s">
        <v>1066</v>
      </c>
      <c r="C61" s="316" t="s">
        <v>1280</v>
      </c>
      <c r="D61" s="316" t="s">
        <v>1281</v>
      </c>
      <c r="E61" s="317">
        <v>2.2999999999999998</v>
      </c>
      <c r="F61" s="317">
        <v>0</v>
      </c>
      <c r="G61" s="317">
        <v>0</v>
      </c>
      <c r="H61" s="317">
        <v>0</v>
      </c>
      <c r="I61" s="318">
        <v>0</v>
      </c>
      <c r="J61" s="318">
        <v>63.0699599604729</v>
      </c>
      <c r="K61" s="319">
        <v>35.970703379863899</v>
      </c>
      <c r="L61" s="319">
        <v>35.970703379863899</v>
      </c>
      <c r="M61" s="319">
        <f t="shared" si="0"/>
        <v>35.970703379863899</v>
      </c>
      <c r="N61" s="317">
        <v>0.82732617773686967</v>
      </c>
      <c r="O61" s="315" t="s">
        <v>1168</v>
      </c>
      <c r="P61" s="318">
        <v>173.3</v>
      </c>
      <c r="R61" s="320">
        <v>78.5</v>
      </c>
      <c r="S61" s="318">
        <v>40</v>
      </c>
      <c r="T61" s="318">
        <v>84.27</v>
      </c>
      <c r="U61" s="318">
        <v>84.27</v>
      </c>
      <c r="V61" s="315">
        <v>0.189</v>
      </c>
      <c r="W61" s="318">
        <v>29.9</v>
      </c>
      <c r="X61" s="315">
        <v>0</v>
      </c>
      <c r="Y61" s="315" t="s">
        <v>1149</v>
      </c>
      <c r="Z61" s="315">
        <v>0</v>
      </c>
      <c r="AA61" s="315" t="s">
        <v>1157</v>
      </c>
      <c r="AB61" s="315">
        <v>0</v>
      </c>
      <c r="AC61" s="315">
        <v>2468.6999999999998</v>
      </c>
      <c r="AD61" s="315">
        <v>2465.6999999999998</v>
      </c>
      <c r="AE61" s="315">
        <v>0.44</v>
      </c>
      <c r="AF61" s="315">
        <v>1.3698630136986301</v>
      </c>
      <c r="AG61" s="315">
        <v>0.36</v>
      </c>
      <c r="AH61" s="315">
        <v>687</v>
      </c>
    </row>
    <row r="62" spans="1:34">
      <c r="A62" s="315" t="s">
        <v>1145</v>
      </c>
      <c r="B62" s="315" t="s">
        <v>1066</v>
      </c>
      <c r="C62" s="316" t="s">
        <v>1282</v>
      </c>
      <c r="D62" s="316" t="s">
        <v>1283</v>
      </c>
      <c r="E62" s="317">
        <v>7.21</v>
      </c>
      <c r="F62" s="317">
        <v>0.24759030000000001</v>
      </c>
      <c r="G62" s="317">
        <v>0.72497790000000006</v>
      </c>
      <c r="H62" s="317">
        <v>1.4636879999999999</v>
      </c>
      <c r="I62" s="318">
        <v>20.300804438280164</v>
      </c>
      <c r="J62" s="318">
        <v>69.572816860654399</v>
      </c>
      <c r="K62" s="319">
        <v>34.510048012481398</v>
      </c>
      <c r="L62" s="319">
        <v>14.209243574201235</v>
      </c>
      <c r="M62" s="319">
        <f t="shared" si="0"/>
        <v>14.209243574201235</v>
      </c>
      <c r="N62" s="317">
        <v>1.0244864616999092</v>
      </c>
      <c r="O62" s="315" t="s">
        <v>1148</v>
      </c>
      <c r="P62" s="318">
        <v>173.7</v>
      </c>
      <c r="R62" s="320">
        <v>78.722222222222229</v>
      </c>
      <c r="S62" s="318">
        <v>40</v>
      </c>
      <c r="T62" s="318">
        <v>84.1</v>
      </c>
      <c r="U62" s="318">
        <v>318</v>
      </c>
      <c r="V62" s="315">
        <v>0.19</v>
      </c>
      <c r="W62" s="318">
        <v>23.1</v>
      </c>
      <c r="X62" s="315">
        <v>2</v>
      </c>
      <c r="Y62" s="315" t="s">
        <v>1149</v>
      </c>
      <c r="Z62" s="315">
        <v>0</v>
      </c>
      <c r="AA62" s="315" t="s">
        <v>1190</v>
      </c>
      <c r="AB62" s="315">
        <v>0</v>
      </c>
      <c r="AC62" s="315">
        <v>2470</v>
      </c>
      <c r="AD62" s="315">
        <v>2405</v>
      </c>
      <c r="AE62" s="315">
        <v>0.37</v>
      </c>
      <c r="AF62" s="315">
        <v>1.3717999999999999</v>
      </c>
      <c r="AG62" s="315">
        <v>0.432</v>
      </c>
      <c r="AH62" s="315">
        <v>672</v>
      </c>
    </row>
    <row r="63" spans="1:34">
      <c r="A63" s="315" t="s">
        <v>1229</v>
      </c>
      <c r="B63" s="315" t="s">
        <v>1066</v>
      </c>
      <c r="C63" s="316" t="s">
        <v>1284</v>
      </c>
      <c r="D63" s="316" t="s">
        <v>1285</v>
      </c>
      <c r="E63" s="317">
        <v>23.55</v>
      </c>
      <c r="F63" s="317">
        <v>3.9698549000000001</v>
      </c>
      <c r="G63" s="317">
        <v>5.1206897000000007</v>
      </c>
      <c r="H63" s="317">
        <v>5.2864673000000009</v>
      </c>
      <c r="I63" s="318">
        <v>22.447844161358816</v>
      </c>
      <c r="J63" s="318">
        <v>65.780394725376098</v>
      </c>
      <c r="K63" s="319">
        <v>37.2916767240635</v>
      </c>
      <c r="L63" s="319">
        <v>14.843832562704684</v>
      </c>
      <c r="M63" s="319">
        <f t="shared" si="0"/>
        <v>14.843832562704684</v>
      </c>
      <c r="N63" s="317">
        <v>3.4957225685169533</v>
      </c>
      <c r="O63" s="315" t="s">
        <v>1148</v>
      </c>
      <c r="P63" s="318">
        <v>174</v>
      </c>
      <c r="R63" s="320">
        <v>78.888888888888886</v>
      </c>
      <c r="S63" s="318">
        <v>40</v>
      </c>
      <c r="T63" s="318">
        <v>203.5</v>
      </c>
      <c r="U63" s="318">
        <v>346</v>
      </c>
      <c r="V63" s="315">
        <v>0.21</v>
      </c>
      <c r="W63" s="318">
        <v>182.1</v>
      </c>
      <c r="X63" s="315">
        <v>9</v>
      </c>
      <c r="Y63" s="315" t="s">
        <v>1149</v>
      </c>
      <c r="Z63" s="315">
        <v>0</v>
      </c>
      <c r="AA63" s="315" t="s">
        <v>1190</v>
      </c>
      <c r="AB63" s="315">
        <v>0</v>
      </c>
      <c r="AC63" s="315">
        <v>2477</v>
      </c>
      <c r="AD63" s="315">
        <v>2458</v>
      </c>
      <c r="AE63" s="315">
        <v>0.4</v>
      </c>
      <c r="AF63" s="315">
        <v>1.38303</v>
      </c>
      <c r="AG63" s="315">
        <v>0.42082000000000003</v>
      </c>
      <c r="AH63" s="315">
        <v>690</v>
      </c>
    </row>
    <row r="64" spans="1:34">
      <c r="A64" s="315" t="s">
        <v>1229</v>
      </c>
      <c r="B64" s="315" t="s">
        <v>1066</v>
      </c>
      <c r="C64" s="316" t="s">
        <v>1286</v>
      </c>
      <c r="D64" s="316" t="s">
        <v>1287</v>
      </c>
      <c r="E64" s="317">
        <v>3.81</v>
      </c>
      <c r="F64" s="317">
        <v>0.99607590000000001</v>
      </c>
      <c r="G64" s="317">
        <v>1.5101673</v>
      </c>
      <c r="H64" s="317">
        <v>1.5517487999999999</v>
      </c>
      <c r="I64" s="318">
        <v>40.728314960629916</v>
      </c>
      <c r="J64" s="318">
        <v>71.294614748497395</v>
      </c>
      <c r="K64" s="319">
        <v>33.557594415488204</v>
      </c>
      <c r="L64" s="319">
        <v>-7.1707205451417124</v>
      </c>
      <c r="M64" s="319">
        <f t="shared" si="0"/>
        <v>0</v>
      </c>
      <c r="N64" s="317">
        <v>0</v>
      </c>
      <c r="O64" s="315" t="s">
        <v>1148</v>
      </c>
      <c r="P64" s="318">
        <v>174.3</v>
      </c>
      <c r="R64" s="320">
        <v>79.055555555555557</v>
      </c>
      <c r="S64" s="318">
        <v>40</v>
      </c>
      <c r="T64" s="318">
        <v>188.3</v>
      </c>
      <c r="U64" s="318">
        <v>200</v>
      </c>
      <c r="V64" s="315">
        <v>0.19</v>
      </c>
      <c r="W64" s="318">
        <v>36.9</v>
      </c>
      <c r="X64" s="315">
        <v>2</v>
      </c>
      <c r="Y64" s="315" t="s">
        <v>1149</v>
      </c>
      <c r="Z64" s="315">
        <v>0</v>
      </c>
      <c r="AA64" s="315" t="s">
        <v>1190</v>
      </c>
      <c r="AB64" s="315">
        <v>0</v>
      </c>
      <c r="AC64" s="315">
        <v>2490</v>
      </c>
      <c r="AD64" s="315">
        <v>2486</v>
      </c>
      <c r="AE64" s="315">
        <v>0.35</v>
      </c>
      <c r="AF64" s="315">
        <v>1.3698630000000001</v>
      </c>
      <c r="AG64" s="315">
        <v>0.35</v>
      </c>
      <c r="AH64" s="315">
        <v>692</v>
      </c>
    </row>
    <row r="65" spans="1:34">
      <c r="A65" s="315" t="s">
        <v>1222</v>
      </c>
      <c r="B65" s="315" t="s">
        <v>1066</v>
      </c>
      <c r="C65" s="316" t="s">
        <v>1288</v>
      </c>
      <c r="D65" s="316" t="s">
        <v>1289</v>
      </c>
      <c r="E65" s="317">
        <v>20.65</v>
      </c>
      <c r="F65" s="317">
        <v>0.52637820000000002</v>
      </c>
      <c r="G65" s="317">
        <v>0.57386910000000002</v>
      </c>
      <c r="H65" s="317">
        <v>4.5646313000000003</v>
      </c>
      <c r="I65" s="318">
        <v>22.104752058111384</v>
      </c>
      <c r="J65" s="318">
        <v>63.547597597929403</v>
      </c>
      <c r="K65" s="319">
        <v>38.214945731787296</v>
      </c>
      <c r="L65" s="319">
        <v>16.110193673675912</v>
      </c>
      <c r="M65" s="319">
        <f t="shared" si="0"/>
        <v>16.110193673675912</v>
      </c>
      <c r="N65" s="317">
        <v>3.3267549936140757</v>
      </c>
      <c r="O65" s="315" t="s">
        <v>1148</v>
      </c>
      <c r="P65" s="318">
        <v>175</v>
      </c>
      <c r="R65" s="320">
        <v>79.444444444444443</v>
      </c>
      <c r="S65" s="318">
        <v>40</v>
      </c>
      <c r="T65" s="318">
        <v>352.9</v>
      </c>
      <c r="U65" s="318">
        <v>704</v>
      </c>
      <c r="V65" s="315">
        <v>0.17</v>
      </c>
      <c r="W65" s="318">
        <v>88.1</v>
      </c>
      <c r="X65" s="315">
        <v>4</v>
      </c>
      <c r="Y65" s="315" t="s">
        <v>1149</v>
      </c>
      <c r="Z65" s="315">
        <v>0</v>
      </c>
      <c r="AA65" s="315" t="s">
        <v>1190</v>
      </c>
      <c r="AB65" s="315">
        <v>0</v>
      </c>
      <c r="AC65" s="315">
        <v>2024.8</v>
      </c>
      <c r="AD65" s="315">
        <v>1972.12</v>
      </c>
      <c r="AE65" s="315">
        <v>0.43</v>
      </c>
      <c r="AF65" s="315">
        <v>1.29765</v>
      </c>
      <c r="AG65" s="315">
        <v>0.50370000000000004</v>
      </c>
      <c r="AH65" s="315">
        <v>525</v>
      </c>
    </row>
    <row r="66" spans="1:34">
      <c r="A66" s="315" t="s">
        <v>1145</v>
      </c>
      <c r="B66" s="315" t="s">
        <v>1066</v>
      </c>
      <c r="C66" s="316" t="s">
        <v>1290</v>
      </c>
      <c r="D66" s="316" t="s">
        <v>1291</v>
      </c>
      <c r="E66" s="317">
        <v>9.6999999999999993</v>
      </c>
      <c r="F66" s="317">
        <v>0</v>
      </c>
      <c r="G66" s="317">
        <v>0</v>
      </c>
      <c r="H66" s="317">
        <v>3.3073123</v>
      </c>
      <c r="I66" s="318">
        <v>34.096003092783505</v>
      </c>
      <c r="J66" s="318">
        <v>59.328548526251701</v>
      </c>
      <c r="K66" s="319">
        <v>38.606968631181097</v>
      </c>
      <c r="L66" s="319">
        <v>4.510965538397592</v>
      </c>
      <c r="M66" s="319">
        <f t="shared" ref="M66:M129" si="1">IF(L66&lt;0,0,L66)</f>
        <v>4.510965538397592</v>
      </c>
      <c r="N66" s="317">
        <v>0.43756365722456636</v>
      </c>
      <c r="O66" s="315" t="s">
        <v>1168</v>
      </c>
      <c r="P66" s="318">
        <v>175.13200000000001</v>
      </c>
      <c r="R66" s="320">
        <v>79.517777777777781</v>
      </c>
      <c r="S66" s="318">
        <v>40</v>
      </c>
      <c r="T66" s="318">
        <v>31</v>
      </c>
      <c r="U66" s="318">
        <v>31</v>
      </c>
      <c r="V66" s="315">
        <v>0.18</v>
      </c>
      <c r="W66" s="318">
        <v>136.4</v>
      </c>
      <c r="X66" s="315">
        <v>1</v>
      </c>
      <c r="Y66" s="315" t="s">
        <v>1149</v>
      </c>
      <c r="Z66" s="315">
        <v>0</v>
      </c>
      <c r="AA66" s="315" t="s">
        <v>1157</v>
      </c>
      <c r="AB66" s="315">
        <v>0</v>
      </c>
      <c r="AC66" s="315">
        <v>2471</v>
      </c>
      <c r="AD66" s="315">
        <v>2420.8200000000002</v>
      </c>
      <c r="AE66" s="315">
        <v>0.5</v>
      </c>
      <c r="AF66" s="315">
        <v>1.3721300000000001</v>
      </c>
      <c r="AG66" s="315">
        <v>0.42760900000000002</v>
      </c>
      <c r="AH66" s="315">
        <v>670</v>
      </c>
    </row>
    <row r="67" spans="1:34">
      <c r="A67" s="315" t="s">
        <v>1145</v>
      </c>
      <c r="B67" s="315" t="s">
        <v>1066</v>
      </c>
      <c r="C67" s="316" t="s">
        <v>1292</v>
      </c>
      <c r="D67" s="316" t="s">
        <v>1293</v>
      </c>
      <c r="E67" s="317">
        <v>6.39</v>
      </c>
      <c r="F67" s="317">
        <v>2.2265247000000001</v>
      </c>
      <c r="G67" s="317">
        <v>2.427406</v>
      </c>
      <c r="H67" s="317">
        <v>2.5204108000000001</v>
      </c>
      <c r="I67" s="318">
        <v>39.443048513302038</v>
      </c>
      <c r="J67" s="318">
        <v>71.390644068277197</v>
      </c>
      <c r="K67" s="319">
        <v>32.460567153315402</v>
      </c>
      <c r="L67" s="319">
        <v>-6.982481359986636</v>
      </c>
      <c r="M67" s="319">
        <f t="shared" si="1"/>
        <v>0</v>
      </c>
      <c r="N67" s="317">
        <v>0</v>
      </c>
      <c r="O67" s="315" t="s">
        <v>1148</v>
      </c>
      <c r="P67" s="318">
        <v>177</v>
      </c>
      <c r="R67" s="320">
        <v>80.555555555555557</v>
      </c>
      <c r="S67" s="318">
        <v>40</v>
      </c>
      <c r="T67" s="318">
        <v>122.8</v>
      </c>
      <c r="U67" s="318">
        <v>175</v>
      </c>
      <c r="V67" s="315">
        <v>0.2</v>
      </c>
      <c r="W67" s="318">
        <v>36.9</v>
      </c>
      <c r="X67" s="315">
        <v>5</v>
      </c>
      <c r="Y67" s="315" t="s">
        <v>1149</v>
      </c>
      <c r="Z67" s="315">
        <v>0</v>
      </c>
      <c r="AA67" s="315" t="s">
        <v>1190</v>
      </c>
      <c r="AB67" s="315">
        <v>0</v>
      </c>
      <c r="AC67" s="315">
        <v>2587</v>
      </c>
      <c r="AD67" s="315">
        <v>2576</v>
      </c>
      <c r="AE67" s="315">
        <v>0.35</v>
      </c>
      <c r="AF67" s="315">
        <v>1.4028099999999999</v>
      </c>
      <c r="AG67" s="315">
        <v>0.39798</v>
      </c>
      <c r="AH67" s="315">
        <v>724</v>
      </c>
    </row>
    <row r="68" spans="1:34">
      <c r="A68" s="315" t="s">
        <v>1145</v>
      </c>
      <c r="B68" s="315" t="s">
        <v>1066</v>
      </c>
      <c r="C68" s="316" t="s">
        <v>1294</v>
      </c>
      <c r="D68" s="316" t="s">
        <v>1295</v>
      </c>
      <c r="E68" s="317">
        <v>12.33</v>
      </c>
      <c r="F68" s="317">
        <v>4.7508841999999998</v>
      </c>
      <c r="G68" s="317">
        <v>5.1795181000000001</v>
      </c>
      <c r="H68" s="317">
        <v>6.8998778999999999</v>
      </c>
      <c r="I68" s="318">
        <v>55.960080291970804</v>
      </c>
      <c r="J68" s="318">
        <v>67.844447262212498</v>
      </c>
      <c r="K68" s="319">
        <v>37.005581195248098</v>
      </c>
      <c r="L68" s="319">
        <v>-18.954499096722706</v>
      </c>
      <c r="M68" s="319">
        <f t="shared" si="1"/>
        <v>0</v>
      </c>
      <c r="N68" s="317">
        <v>0</v>
      </c>
      <c r="O68" s="315" t="s">
        <v>1148</v>
      </c>
      <c r="P68" s="318">
        <v>178</v>
      </c>
      <c r="R68" s="320">
        <v>81.111111111111114</v>
      </c>
      <c r="S68" s="318">
        <v>40</v>
      </c>
      <c r="T68" s="318">
        <v>371.5</v>
      </c>
      <c r="U68" s="318">
        <v>548</v>
      </c>
      <c r="V68" s="315">
        <v>0.22</v>
      </c>
      <c r="W68" s="318">
        <v>176.1</v>
      </c>
      <c r="X68" s="315">
        <v>38</v>
      </c>
      <c r="Y68" s="315" t="s">
        <v>1149</v>
      </c>
      <c r="Z68" s="315">
        <v>0</v>
      </c>
      <c r="AA68" s="315" t="s">
        <v>1190</v>
      </c>
      <c r="AB68" s="316">
        <v>0</v>
      </c>
      <c r="AC68" s="316">
        <v>2625</v>
      </c>
      <c r="AD68" s="316">
        <v>2597</v>
      </c>
      <c r="AE68" s="316">
        <v>0.38</v>
      </c>
      <c r="AF68" s="316">
        <v>1.3959999999999999</v>
      </c>
      <c r="AG68" s="316">
        <v>0.34</v>
      </c>
      <c r="AH68" s="316">
        <v>729</v>
      </c>
    </row>
    <row r="69" spans="1:34">
      <c r="A69" s="315" t="s">
        <v>1145</v>
      </c>
      <c r="B69" s="315" t="s">
        <v>1066</v>
      </c>
      <c r="C69" s="316" t="s">
        <v>1296</v>
      </c>
      <c r="D69" s="316" t="s">
        <v>1297</v>
      </c>
      <c r="E69" s="317">
        <v>7.63</v>
      </c>
      <c r="F69" s="317">
        <v>0</v>
      </c>
      <c r="G69" s="317">
        <v>0</v>
      </c>
      <c r="H69" s="317">
        <v>1.2382728000000001</v>
      </c>
      <c r="I69" s="318">
        <v>16.229001310615988</v>
      </c>
      <c r="J69" s="318">
        <v>80.777773116338693</v>
      </c>
      <c r="K69" s="319">
        <v>28.316764352610701</v>
      </c>
      <c r="L69" s="319">
        <v>12.087763041994712</v>
      </c>
      <c r="M69" s="319">
        <f t="shared" si="1"/>
        <v>12.087763041994712</v>
      </c>
      <c r="N69" s="317">
        <v>0.92229632010419649</v>
      </c>
      <c r="O69" s="315" t="s">
        <v>1168</v>
      </c>
      <c r="P69" s="318">
        <v>178</v>
      </c>
      <c r="R69" s="320">
        <v>81.111111111111114</v>
      </c>
      <c r="S69" s="318">
        <v>40</v>
      </c>
      <c r="T69" s="318">
        <v>115.7</v>
      </c>
      <c r="U69" s="318">
        <v>175</v>
      </c>
      <c r="V69" s="315">
        <v>0.22</v>
      </c>
      <c r="W69" s="318">
        <v>332.2</v>
      </c>
      <c r="X69" s="315">
        <v>1</v>
      </c>
      <c r="Y69" s="315" t="s">
        <v>1149</v>
      </c>
      <c r="Z69" s="315">
        <v>0</v>
      </c>
      <c r="AA69" s="315" t="s">
        <v>1190</v>
      </c>
      <c r="AB69" s="315">
        <v>0</v>
      </c>
      <c r="AC69" s="315">
        <v>2600</v>
      </c>
      <c r="AD69" s="315">
        <v>2540</v>
      </c>
      <c r="AE69" s="315">
        <v>0.27</v>
      </c>
      <c r="AF69" s="315">
        <v>1.3939999999999999</v>
      </c>
      <c r="AG69" s="315">
        <v>0.40300000000000002</v>
      </c>
      <c r="AH69" s="315">
        <v>708</v>
      </c>
    </row>
    <row r="70" spans="1:34">
      <c r="A70" s="315" t="s">
        <v>1298</v>
      </c>
      <c r="B70" s="315" t="s">
        <v>1066</v>
      </c>
      <c r="C70" s="316" t="s">
        <v>1299</v>
      </c>
      <c r="D70" s="316" t="s">
        <v>1300</v>
      </c>
      <c r="E70" s="317">
        <v>14.35</v>
      </c>
      <c r="F70" s="317">
        <v>0</v>
      </c>
      <c r="G70" s="317">
        <v>0</v>
      </c>
      <c r="H70" s="317">
        <v>1.6403088000000001</v>
      </c>
      <c r="I70" s="318">
        <v>11.430723344947737</v>
      </c>
      <c r="J70" s="318">
        <v>60.978714422491599</v>
      </c>
      <c r="K70" s="319">
        <v>39.1759988348714</v>
      </c>
      <c r="L70" s="319">
        <v>27.745275489923664</v>
      </c>
      <c r="M70" s="319">
        <f t="shared" si="1"/>
        <v>27.745275489923664</v>
      </c>
      <c r="N70" s="317">
        <v>3.9814470328040459</v>
      </c>
      <c r="O70" s="315" t="s">
        <v>1168</v>
      </c>
      <c r="P70" s="318">
        <v>179</v>
      </c>
      <c r="R70" s="320">
        <v>81.666666666666671</v>
      </c>
      <c r="S70" s="318">
        <v>40</v>
      </c>
      <c r="T70" s="318">
        <v>416.2</v>
      </c>
      <c r="U70" s="318">
        <v>503</v>
      </c>
      <c r="V70" s="315">
        <v>0.22</v>
      </c>
      <c r="W70" s="318">
        <v>224.4</v>
      </c>
      <c r="X70" s="315">
        <v>3</v>
      </c>
      <c r="Y70" s="315" t="s">
        <v>1149</v>
      </c>
      <c r="Z70" s="315">
        <v>0</v>
      </c>
      <c r="AA70" s="315" t="s">
        <v>1190</v>
      </c>
      <c r="AB70" s="315">
        <v>0</v>
      </c>
      <c r="AC70" s="315">
        <v>2670</v>
      </c>
      <c r="AD70" s="315">
        <v>2602</v>
      </c>
      <c r="AE70" s="315">
        <v>0.46</v>
      </c>
      <c r="AF70" s="315">
        <v>1.4048</v>
      </c>
      <c r="AG70" s="315">
        <v>0.39200000000000002</v>
      </c>
      <c r="AH70" s="315">
        <v>728</v>
      </c>
    </row>
    <row r="71" spans="1:34">
      <c r="A71" s="315" t="s">
        <v>1145</v>
      </c>
      <c r="B71" s="315" t="s">
        <v>1066</v>
      </c>
      <c r="C71" s="316" t="s">
        <v>1301</v>
      </c>
      <c r="D71" s="316" t="s">
        <v>1302</v>
      </c>
      <c r="E71" s="317">
        <v>1.26</v>
      </c>
      <c r="F71" s="317">
        <v>0</v>
      </c>
      <c r="G71" s="317">
        <v>0</v>
      </c>
      <c r="H71" s="317">
        <v>0</v>
      </c>
      <c r="I71" s="318">
        <v>0</v>
      </c>
      <c r="J71" s="318">
        <v>66.4725451450592</v>
      </c>
      <c r="K71" s="319">
        <v>34.270756641423297</v>
      </c>
      <c r="L71" s="319">
        <v>34.270756641423297</v>
      </c>
      <c r="M71" s="319">
        <f t="shared" si="1"/>
        <v>34.270756641423297</v>
      </c>
      <c r="N71" s="317">
        <v>0.43181153368193353</v>
      </c>
      <c r="O71" s="315" t="s">
        <v>1168</v>
      </c>
      <c r="P71" s="318">
        <v>179</v>
      </c>
      <c r="R71" s="320">
        <v>81.666666666666671</v>
      </c>
      <c r="S71" s="318">
        <v>38</v>
      </c>
      <c r="T71" s="318">
        <v>62.9</v>
      </c>
      <c r="U71" s="318">
        <v>62.9</v>
      </c>
      <c r="V71" s="315">
        <v>0.21</v>
      </c>
      <c r="W71" s="318">
        <v>37.4</v>
      </c>
      <c r="X71" s="315">
        <v>1</v>
      </c>
      <c r="Y71" s="315" t="s">
        <v>1149</v>
      </c>
      <c r="Z71" s="315">
        <v>0</v>
      </c>
      <c r="AA71" s="315" t="s">
        <v>1190</v>
      </c>
      <c r="AB71" s="315">
        <v>0</v>
      </c>
      <c r="AC71" s="315">
        <v>2634</v>
      </c>
      <c r="AD71" s="315">
        <v>2628</v>
      </c>
      <c r="AE71" s="315">
        <v>0.47</v>
      </c>
      <c r="AF71" s="315">
        <v>1.4039999999999999</v>
      </c>
      <c r="AG71" s="315">
        <v>0.36</v>
      </c>
      <c r="AH71" s="315">
        <v>727</v>
      </c>
    </row>
    <row r="72" spans="1:34">
      <c r="A72" s="315" t="s">
        <v>1236</v>
      </c>
      <c r="B72" s="315" t="s">
        <v>1066</v>
      </c>
      <c r="C72" s="316" t="s">
        <v>1303</v>
      </c>
      <c r="D72" s="316" t="s">
        <v>1304</v>
      </c>
      <c r="E72" s="317">
        <v>6.91</v>
      </c>
      <c r="F72" s="317">
        <v>1.2079647</v>
      </c>
      <c r="G72" s="317">
        <v>1.3169496000000001</v>
      </c>
      <c r="H72" s="317">
        <v>1.3674078000000001</v>
      </c>
      <c r="I72" s="318">
        <v>19.788824891461651</v>
      </c>
      <c r="J72" s="318">
        <v>59.508063691540201</v>
      </c>
      <c r="K72" s="319">
        <v>39.126028952830801</v>
      </c>
      <c r="L72" s="319">
        <v>19.33720406136915</v>
      </c>
      <c r="M72" s="319">
        <f t="shared" si="1"/>
        <v>19.33720406136915</v>
      </c>
      <c r="N72" s="317">
        <v>1.3362008006406083</v>
      </c>
      <c r="O72" s="315" t="s">
        <v>1148</v>
      </c>
      <c r="P72" s="318">
        <v>182</v>
      </c>
      <c r="R72" s="320">
        <v>83.333333333333329</v>
      </c>
      <c r="S72" s="318">
        <v>40</v>
      </c>
      <c r="T72" s="318">
        <v>192.3</v>
      </c>
      <c r="U72" s="318">
        <v>245</v>
      </c>
      <c r="V72" s="315">
        <v>0.2</v>
      </c>
      <c r="W72" s="318">
        <v>298</v>
      </c>
      <c r="X72" s="315">
        <v>2</v>
      </c>
      <c r="Y72" s="315" t="s">
        <v>1149</v>
      </c>
      <c r="Z72" s="315">
        <v>0</v>
      </c>
      <c r="AA72" s="315" t="s">
        <v>1190</v>
      </c>
      <c r="AB72" s="315">
        <v>0</v>
      </c>
      <c r="AC72" s="315">
        <v>2667</v>
      </c>
      <c r="AD72" s="315">
        <v>2654.71</v>
      </c>
      <c r="AE72" s="315">
        <v>0.48</v>
      </c>
      <c r="AF72" s="315">
        <v>1.4120299999999999</v>
      </c>
      <c r="AG72" s="315">
        <v>0.37995000000000001</v>
      </c>
      <c r="AH72" s="315">
        <v>735</v>
      </c>
    </row>
    <row r="73" spans="1:34">
      <c r="A73" s="315" t="s">
        <v>1305</v>
      </c>
      <c r="B73" s="315" t="s">
        <v>1066</v>
      </c>
      <c r="C73" s="316" t="s">
        <v>1306</v>
      </c>
      <c r="D73" s="316" t="s">
        <v>1307</v>
      </c>
      <c r="E73" s="317">
        <v>5.3848010000000004</v>
      </c>
      <c r="F73" s="317">
        <v>2.6827122999999999</v>
      </c>
      <c r="G73" s="317">
        <v>2.9247518000000001</v>
      </c>
      <c r="H73" s="317">
        <v>3.6401195</v>
      </c>
      <c r="I73" s="318">
        <v>67.599889020968462</v>
      </c>
      <c r="J73" s="318">
        <v>54.111056103687197</v>
      </c>
      <c r="K73" s="319">
        <v>40.062392918240803</v>
      </c>
      <c r="L73" s="319">
        <v>-27.537496102727658</v>
      </c>
      <c r="M73" s="319">
        <f t="shared" si="1"/>
        <v>0</v>
      </c>
      <c r="N73" s="317">
        <v>0</v>
      </c>
      <c r="O73" s="315" t="s">
        <v>1148</v>
      </c>
      <c r="P73" s="318">
        <v>182</v>
      </c>
      <c r="R73" s="320">
        <v>83.333333333333329</v>
      </c>
      <c r="S73" s="318">
        <v>38</v>
      </c>
      <c r="T73" s="318">
        <v>37.4</v>
      </c>
      <c r="U73" s="318">
        <v>86</v>
      </c>
      <c r="V73" s="315">
        <v>0.23</v>
      </c>
      <c r="W73" s="318">
        <v>97.2</v>
      </c>
      <c r="X73" s="315">
        <v>2</v>
      </c>
      <c r="Y73" s="315" t="s">
        <v>1149</v>
      </c>
      <c r="Z73" s="315">
        <v>0</v>
      </c>
      <c r="AA73" s="315" t="s">
        <v>1190</v>
      </c>
      <c r="AB73" s="315">
        <v>0</v>
      </c>
      <c r="AC73" s="315">
        <v>2742</v>
      </c>
      <c r="AD73" s="315">
        <v>2734</v>
      </c>
      <c r="AE73" s="315">
        <v>0.53</v>
      </c>
      <c r="AF73" s="315">
        <v>1.421</v>
      </c>
      <c r="AG73" s="315">
        <v>0.34</v>
      </c>
      <c r="AH73" s="315">
        <v>756</v>
      </c>
    </row>
    <row r="74" spans="1:34">
      <c r="A74" s="315" t="s">
        <v>1145</v>
      </c>
      <c r="B74" s="315" t="s">
        <v>1066</v>
      </c>
      <c r="C74" s="316" t="s">
        <v>1308</v>
      </c>
      <c r="D74" s="316" t="s">
        <v>1309</v>
      </c>
      <c r="E74" s="317">
        <v>1.2</v>
      </c>
      <c r="F74" s="317">
        <v>0</v>
      </c>
      <c r="G74" s="317">
        <v>0</v>
      </c>
      <c r="H74" s="317">
        <v>0.88194989999999995</v>
      </c>
      <c r="I74" s="318">
        <v>73.495824999999996</v>
      </c>
      <c r="J74" s="318">
        <v>65.408807636189096</v>
      </c>
      <c r="K74" s="319">
        <v>36.561350356722599</v>
      </c>
      <c r="L74" s="319">
        <v>-36.934474643277397</v>
      </c>
      <c r="M74" s="319">
        <f t="shared" si="1"/>
        <v>0</v>
      </c>
      <c r="N74" s="317">
        <v>0</v>
      </c>
      <c r="O74" s="315" t="s">
        <v>1168</v>
      </c>
      <c r="P74" s="318">
        <v>182.971</v>
      </c>
      <c r="R74" s="320">
        <v>83.872777777777785</v>
      </c>
      <c r="S74" s="318">
        <v>40</v>
      </c>
      <c r="T74" s="318">
        <v>93.8</v>
      </c>
      <c r="U74" s="318">
        <v>93.8</v>
      </c>
      <c r="V74" s="315">
        <v>0.23</v>
      </c>
      <c r="W74" s="318">
        <v>130.1</v>
      </c>
      <c r="X74" s="315">
        <v>0</v>
      </c>
      <c r="Y74" s="315" t="s">
        <v>1149</v>
      </c>
      <c r="Z74" s="315">
        <v>0</v>
      </c>
      <c r="AA74" s="315" t="s">
        <v>1157</v>
      </c>
      <c r="AB74" s="315">
        <v>0</v>
      </c>
      <c r="AC74" s="315">
        <v>2946.1099999999997</v>
      </c>
      <c r="AD74" s="315">
        <v>2880</v>
      </c>
      <c r="AE74" s="315">
        <v>0.41</v>
      </c>
      <c r="AF74" s="315">
        <v>1.45279</v>
      </c>
      <c r="AG74" s="315">
        <v>0.35199999999999998</v>
      </c>
      <c r="AH74" s="315">
        <v>813</v>
      </c>
    </row>
    <row r="75" spans="1:34">
      <c r="A75" s="315" t="s">
        <v>1310</v>
      </c>
      <c r="B75" s="315" t="s">
        <v>1066</v>
      </c>
      <c r="C75" s="316" t="s">
        <v>1311</v>
      </c>
      <c r="D75" s="316" t="s">
        <v>1312</v>
      </c>
      <c r="E75" s="317">
        <v>21.31</v>
      </c>
      <c r="F75" s="317">
        <v>9.7357133000000005</v>
      </c>
      <c r="G75" s="317">
        <v>10.6140881</v>
      </c>
      <c r="H75" s="317">
        <v>11.0207614</v>
      </c>
      <c r="I75" s="318">
        <v>51.71638385734397</v>
      </c>
      <c r="J75" s="318">
        <v>67.607666494640796</v>
      </c>
      <c r="K75" s="319">
        <v>35.807711895117201</v>
      </c>
      <c r="L75" s="319">
        <v>-15.908671962226769</v>
      </c>
      <c r="M75" s="319">
        <f t="shared" si="1"/>
        <v>0</v>
      </c>
      <c r="N75" s="317">
        <v>0</v>
      </c>
      <c r="O75" s="315" t="s">
        <v>1148</v>
      </c>
      <c r="P75" s="318">
        <v>183</v>
      </c>
      <c r="R75" s="320">
        <v>83.888888888888886</v>
      </c>
      <c r="S75" s="318">
        <v>38</v>
      </c>
      <c r="T75" s="318">
        <v>558.79999999999995</v>
      </c>
      <c r="U75" s="318">
        <v>558.79999999999995</v>
      </c>
      <c r="V75" s="315">
        <v>0.19</v>
      </c>
      <c r="W75" s="318">
        <v>76.599999999999994</v>
      </c>
      <c r="X75" s="315">
        <v>1</v>
      </c>
      <c r="Y75" s="315" t="s">
        <v>1149</v>
      </c>
      <c r="Z75" s="315">
        <v>0</v>
      </c>
      <c r="AA75" s="315" t="s">
        <v>1190</v>
      </c>
      <c r="AB75" s="315">
        <v>0</v>
      </c>
      <c r="AC75" s="315">
        <v>4000</v>
      </c>
      <c r="AD75" s="315">
        <v>2781</v>
      </c>
      <c r="AE75" s="315">
        <v>0.38</v>
      </c>
      <c r="AF75" s="315">
        <v>1.4259999999999999</v>
      </c>
      <c r="AG75" s="315">
        <v>0.34</v>
      </c>
      <c r="AH75" s="315">
        <v>765</v>
      </c>
    </row>
    <row r="76" spans="1:34">
      <c r="A76" s="315" t="s">
        <v>1145</v>
      </c>
      <c r="B76" s="315" t="s">
        <v>1066</v>
      </c>
      <c r="C76" s="316" t="s">
        <v>1313</v>
      </c>
      <c r="D76" s="316" t="s">
        <v>1314</v>
      </c>
      <c r="E76" s="317">
        <v>4.72</v>
      </c>
      <c r="F76" s="317">
        <v>0.76000599999999996</v>
      </c>
      <c r="G76" s="317">
        <v>0.98270489999999999</v>
      </c>
      <c r="H76" s="317">
        <v>1.0144419</v>
      </c>
      <c r="I76" s="318">
        <v>21.492413135593221</v>
      </c>
      <c r="J76" s="318">
        <v>67.876745794276104</v>
      </c>
      <c r="K76" s="319">
        <v>35.580310849698499</v>
      </c>
      <c r="L76" s="319">
        <v>14.087897714105278</v>
      </c>
      <c r="M76" s="319">
        <f t="shared" si="1"/>
        <v>14.087897714105278</v>
      </c>
      <c r="N76" s="317">
        <v>0.66494877210576908</v>
      </c>
      <c r="O76" s="315" t="s">
        <v>1148</v>
      </c>
      <c r="P76" s="318">
        <v>183</v>
      </c>
      <c r="R76" s="320">
        <v>83.888888888888886</v>
      </c>
      <c r="S76" s="318">
        <v>38</v>
      </c>
      <c r="T76" s="318">
        <v>558.79999999999995</v>
      </c>
      <c r="U76" s="318">
        <v>558.79999999999995</v>
      </c>
      <c r="V76" s="315">
        <v>0.19</v>
      </c>
      <c r="W76" s="318">
        <v>76.599999999999994</v>
      </c>
      <c r="X76" s="315">
        <v>3</v>
      </c>
      <c r="Y76" s="315" t="s">
        <v>1149</v>
      </c>
      <c r="Z76" s="315">
        <v>0</v>
      </c>
      <c r="AA76" s="315" t="s">
        <v>1190</v>
      </c>
      <c r="AB76" s="315">
        <v>0</v>
      </c>
      <c r="AC76" s="315">
        <v>4000</v>
      </c>
      <c r="AD76" s="315">
        <v>2781</v>
      </c>
      <c r="AE76" s="315">
        <v>0.38</v>
      </c>
      <c r="AF76" s="315">
        <v>1.4259999999999999</v>
      </c>
      <c r="AG76" s="315">
        <v>0.34</v>
      </c>
      <c r="AH76" s="315">
        <v>765</v>
      </c>
    </row>
    <row r="77" spans="1:34">
      <c r="A77" s="315" t="s">
        <v>1229</v>
      </c>
      <c r="B77" s="315" t="s">
        <v>1066</v>
      </c>
      <c r="C77" s="316" t="s">
        <v>1315</v>
      </c>
      <c r="D77" s="316" t="s">
        <v>1316</v>
      </c>
      <c r="E77" s="317">
        <v>11.118131999999999</v>
      </c>
      <c r="F77" s="317">
        <v>0</v>
      </c>
      <c r="G77" s="317">
        <v>0</v>
      </c>
      <c r="H77" s="317">
        <v>0</v>
      </c>
      <c r="I77" s="318">
        <v>0</v>
      </c>
      <c r="J77" s="318">
        <v>73.132331126580596</v>
      </c>
      <c r="K77" s="319">
        <v>31.832938043231401</v>
      </c>
      <c r="L77" s="319">
        <v>31.832938043231401</v>
      </c>
      <c r="M77" s="319">
        <f t="shared" si="1"/>
        <v>31.832938043231401</v>
      </c>
      <c r="N77" s="317">
        <v>3.539228071124684</v>
      </c>
      <c r="O77" s="315" t="s">
        <v>1168</v>
      </c>
      <c r="P77" s="318">
        <v>183</v>
      </c>
      <c r="R77" s="320">
        <v>83.888888888888886</v>
      </c>
      <c r="S77" s="318">
        <v>38</v>
      </c>
      <c r="T77" s="318">
        <v>334.9</v>
      </c>
      <c r="U77" s="318">
        <v>1321</v>
      </c>
      <c r="V77" s="315">
        <v>0.17399999999999999</v>
      </c>
      <c r="W77" s="318">
        <v>29.58</v>
      </c>
      <c r="X77" s="315">
        <v>1</v>
      </c>
      <c r="Y77" s="315" t="s">
        <v>1149</v>
      </c>
      <c r="Z77" s="315">
        <v>0</v>
      </c>
      <c r="AA77" s="315" t="s">
        <v>1157</v>
      </c>
      <c r="AB77" s="315">
        <v>0</v>
      </c>
      <c r="AC77" s="315">
        <v>4000</v>
      </c>
      <c r="AD77" s="315">
        <v>2781</v>
      </c>
      <c r="AE77" s="315">
        <v>0.33</v>
      </c>
      <c r="AF77" s="315">
        <v>1.4259999999999999</v>
      </c>
      <c r="AG77" s="315">
        <v>0.34</v>
      </c>
      <c r="AH77" s="315">
        <v>765</v>
      </c>
    </row>
    <row r="78" spans="1:34">
      <c r="A78" s="315" t="s">
        <v>1145</v>
      </c>
      <c r="B78" s="315" t="s">
        <v>1066</v>
      </c>
      <c r="C78" s="316" t="s">
        <v>1317</v>
      </c>
      <c r="D78" s="316" t="s">
        <v>1318</v>
      </c>
      <c r="E78" s="317">
        <v>4.1100000000000003</v>
      </c>
      <c r="F78" s="317">
        <v>3.5980000000000002E-4</v>
      </c>
      <c r="G78" s="317">
        <v>3.9229999999999999E-4</v>
      </c>
      <c r="H78" s="317">
        <v>4.0729999999999998E-4</v>
      </c>
      <c r="I78" s="318">
        <v>9.9099756690997545E-3</v>
      </c>
      <c r="J78" s="318">
        <v>59.250099168456799</v>
      </c>
      <c r="K78" s="319">
        <v>39.4335082117395</v>
      </c>
      <c r="L78" s="319">
        <v>39.423598236070397</v>
      </c>
      <c r="M78" s="319">
        <f t="shared" si="1"/>
        <v>39.423598236070397</v>
      </c>
      <c r="N78" s="317">
        <v>1.6203098875024933</v>
      </c>
      <c r="O78" s="315" t="s">
        <v>1148</v>
      </c>
      <c r="P78" s="318">
        <v>183.3</v>
      </c>
      <c r="R78" s="320">
        <v>84.055555555555557</v>
      </c>
      <c r="S78" s="318">
        <v>40</v>
      </c>
      <c r="T78" s="318">
        <v>304.89999999999998</v>
      </c>
      <c r="U78" s="318">
        <v>498</v>
      </c>
      <c r="V78" s="315">
        <v>0.18</v>
      </c>
      <c r="W78" s="318">
        <v>136.4</v>
      </c>
      <c r="X78" s="315">
        <v>8</v>
      </c>
      <c r="Y78" s="315" t="s">
        <v>1149</v>
      </c>
      <c r="Z78" s="315">
        <v>0</v>
      </c>
      <c r="AA78" s="315" t="s">
        <v>1190</v>
      </c>
      <c r="AB78" s="315">
        <v>0</v>
      </c>
      <c r="AC78" s="315">
        <v>2757</v>
      </c>
      <c r="AD78" s="315">
        <v>2746</v>
      </c>
      <c r="AE78" s="315">
        <v>0.48</v>
      </c>
      <c r="AF78" s="315">
        <v>1.421</v>
      </c>
      <c r="AG78" s="315">
        <v>0.32</v>
      </c>
      <c r="AH78" s="315">
        <v>836</v>
      </c>
    </row>
    <row r="79" spans="1:34">
      <c r="A79" s="315" t="s">
        <v>1222</v>
      </c>
      <c r="B79" s="315" t="s">
        <v>1066</v>
      </c>
      <c r="C79" s="316" t="s">
        <v>1319</v>
      </c>
      <c r="D79" s="316" t="s">
        <v>1320</v>
      </c>
      <c r="E79" s="317">
        <v>15.91</v>
      </c>
      <c r="F79" s="317">
        <v>2.6935679000000001</v>
      </c>
      <c r="G79" s="317">
        <v>2.9365868000000002</v>
      </c>
      <c r="H79" s="317">
        <v>3.9598179</v>
      </c>
      <c r="I79" s="318">
        <v>24.888861722187304</v>
      </c>
      <c r="J79" s="318">
        <v>59.8809602762894</v>
      </c>
      <c r="K79" s="319">
        <v>39.5032450304723</v>
      </c>
      <c r="L79" s="319">
        <v>14.614383308284996</v>
      </c>
      <c r="M79" s="319">
        <f t="shared" si="1"/>
        <v>14.614383308284996</v>
      </c>
      <c r="N79" s="317">
        <v>2.3251483843481426</v>
      </c>
      <c r="O79" s="315" t="s">
        <v>1148</v>
      </c>
      <c r="P79" s="318">
        <v>183.8</v>
      </c>
      <c r="R79" s="320">
        <v>84.333333333333329</v>
      </c>
      <c r="S79" s="318">
        <v>40</v>
      </c>
      <c r="T79" s="318">
        <v>196.1</v>
      </c>
      <c r="U79" s="318">
        <v>704</v>
      </c>
      <c r="V79" s="315">
        <v>0.21</v>
      </c>
      <c r="W79" s="318">
        <v>246.3</v>
      </c>
      <c r="X79" s="315">
        <v>3</v>
      </c>
      <c r="Y79" s="315" t="s">
        <v>1149</v>
      </c>
      <c r="Z79" s="315">
        <v>0</v>
      </c>
      <c r="AA79" s="315" t="s">
        <v>1190</v>
      </c>
      <c r="AB79" s="315">
        <v>0</v>
      </c>
      <c r="AC79" s="315">
        <v>2814</v>
      </c>
      <c r="AD79" s="315">
        <v>2785</v>
      </c>
      <c r="AE79" s="315">
        <v>0.47</v>
      </c>
      <c r="AF79" s="315">
        <v>1.427</v>
      </c>
      <c r="AG79" s="315">
        <v>0.32</v>
      </c>
      <c r="AH79" s="315">
        <v>780</v>
      </c>
    </row>
    <row r="80" spans="1:34">
      <c r="A80" s="315" t="s">
        <v>1222</v>
      </c>
      <c r="B80" s="315" t="s">
        <v>1066</v>
      </c>
      <c r="C80" s="316" t="s">
        <v>1321</v>
      </c>
      <c r="D80" s="316" t="s">
        <v>1322</v>
      </c>
      <c r="E80" s="317">
        <v>1.0900000000000001</v>
      </c>
      <c r="F80" s="317">
        <v>0</v>
      </c>
      <c r="G80" s="317">
        <v>0</v>
      </c>
      <c r="H80" s="317">
        <v>0.44097500000000001</v>
      </c>
      <c r="I80" s="318">
        <v>40.456422018348619</v>
      </c>
      <c r="J80" s="318">
        <v>67.850851938575801</v>
      </c>
      <c r="K80" s="319">
        <v>35.619392922166895</v>
      </c>
      <c r="L80" s="319">
        <v>-4.8370290961817233</v>
      </c>
      <c r="M80" s="319">
        <f t="shared" si="1"/>
        <v>0</v>
      </c>
      <c r="N80" s="317">
        <v>0</v>
      </c>
      <c r="O80" s="315" t="s">
        <v>1168</v>
      </c>
      <c r="P80" s="318">
        <v>186</v>
      </c>
      <c r="R80" s="320">
        <v>85.555555555555557</v>
      </c>
      <c r="S80" s="318">
        <v>40</v>
      </c>
      <c r="T80" s="318">
        <v>129.04</v>
      </c>
      <c r="U80" s="318">
        <v>147</v>
      </c>
      <c r="V80" s="315">
        <v>0.22</v>
      </c>
      <c r="W80" s="318">
        <v>482.9</v>
      </c>
      <c r="X80" s="315">
        <v>0</v>
      </c>
      <c r="Y80" s="315" t="s">
        <v>1149</v>
      </c>
      <c r="Z80" s="315">
        <v>0</v>
      </c>
      <c r="AA80" s="315" t="s">
        <v>1157</v>
      </c>
      <c r="AB80" s="315">
        <v>0</v>
      </c>
      <c r="AC80" s="315">
        <v>2885</v>
      </c>
      <c r="AD80" s="315">
        <v>2820</v>
      </c>
      <c r="AE80" s="315">
        <v>0.38</v>
      </c>
      <c r="AF80" s="315">
        <v>1.4410000000000001</v>
      </c>
      <c r="AG80" s="315">
        <v>0.35299999999999998</v>
      </c>
      <c r="AH80" s="315">
        <v>787</v>
      </c>
    </row>
    <row r="81" spans="1:34">
      <c r="A81" s="315" t="s">
        <v>1145</v>
      </c>
      <c r="B81" s="315" t="s">
        <v>1066</v>
      </c>
      <c r="C81" s="316" t="s">
        <v>1323</v>
      </c>
      <c r="D81" s="316" t="s">
        <v>1324</v>
      </c>
      <c r="E81" s="317">
        <v>2.25</v>
      </c>
      <c r="F81" s="317">
        <v>0</v>
      </c>
      <c r="G81" s="317">
        <v>0</v>
      </c>
      <c r="H81" s="317">
        <v>0.44097500000000001</v>
      </c>
      <c r="I81" s="318">
        <v>19.598888888888887</v>
      </c>
      <c r="J81" s="318">
        <v>77.898527060090203</v>
      </c>
      <c r="K81" s="319">
        <v>26.5896580160837</v>
      </c>
      <c r="L81" s="319">
        <v>6.9907691271948131</v>
      </c>
      <c r="M81" s="319">
        <f t="shared" si="1"/>
        <v>6.9907691271948131</v>
      </c>
      <c r="N81" s="317">
        <v>0.15729230536188327</v>
      </c>
      <c r="O81" s="315" t="s">
        <v>1168</v>
      </c>
      <c r="P81" s="318">
        <v>186.7</v>
      </c>
      <c r="R81" s="320">
        <v>85.944444444444443</v>
      </c>
      <c r="S81" s="318">
        <v>40</v>
      </c>
      <c r="T81" s="318">
        <v>232.5</v>
      </c>
      <c r="U81" s="318">
        <v>352</v>
      </c>
      <c r="V81" s="315">
        <v>0.18</v>
      </c>
      <c r="W81" s="318">
        <v>24.9</v>
      </c>
      <c r="X81" s="315">
        <v>0</v>
      </c>
      <c r="Y81" s="315" t="s">
        <v>1149</v>
      </c>
      <c r="Z81" s="315">
        <v>0</v>
      </c>
      <c r="AA81" s="315" t="s">
        <v>1157</v>
      </c>
      <c r="AB81" s="315">
        <v>0</v>
      </c>
      <c r="AC81" s="315">
        <v>2922</v>
      </c>
      <c r="AD81" s="315">
        <v>2884</v>
      </c>
      <c r="AE81" s="315">
        <v>0.24</v>
      </c>
      <c r="AF81" s="315">
        <v>1.444</v>
      </c>
      <c r="AG81" s="315">
        <v>0.31</v>
      </c>
      <c r="AH81" s="315">
        <v>808</v>
      </c>
    </row>
    <row r="82" spans="1:34">
      <c r="A82" s="315" t="s">
        <v>1145</v>
      </c>
      <c r="B82" s="315" t="s">
        <v>1066</v>
      </c>
      <c r="C82" s="316" t="s">
        <v>1325</v>
      </c>
      <c r="D82" s="316" t="s">
        <v>1326</v>
      </c>
      <c r="E82" s="317">
        <v>0.18</v>
      </c>
      <c r="F82" s="317">
        <v>0</v>
      </c>
      <c r="G82" s="317">
        <v>0</v>
      </c>
      <c r="H82" s="317">
        <v>0</v>
      </c>
      <c r="I82" s="318">
        <v>0</v>
      </c>
      <c r="J82" s="318">
        <v>78.866467421855404</v>
      </c>
      <c r="K82" s="319">
        <v>25.298761325209103</v>
      </c>
      <c r="L82" s="319">
        <v>25.298761325209103</v>
      </c>
      <c r="M82" s="319">
        <f t="shared" si="1"/>
        <v>25.298761325209103</v>
      </c>
      <c r="N82" s="317">
        <v>4.5537770385376382E-2</v>
      </c>
      <c r="O82" s="315" t="s">
        <v>1168</v>
      </c>
      <c r="P82" s="318">
        <v>187</v>
      </c>
      <c r="R82" s="320">
        <v>86.111111111111114</v>
      </c>
      <c r="S82" s="318">
        <v>38</v>
      </c>
      <c r="T82" s="318">
        <v>25.4</v>
      </c>
      <c r="U82" s="318">
        <v>120</v>
      </c>
      <c r="V82" s="315">
        <v>0.19400000000000001</v>
      </c>
      <c r="W82" s="318">
        <v>29.46</v>
      </c>
      <c r="X82" s="315">
        <v>0</v>
      </c>
      <c r="Y82" s="315" t="s">
        <v>1149</v>
      </c>
      <c r="Z82" s="315">
        <v>0</v>
      </c>
      <c r="AA82" s="315" t="s">
        <v>1157</v>
      </c>
      <c r="AB82" s="315">
        <v>0</v>
      </c>
      <c r="AC82" s="315">
        <v>2923</v>
      </c>
      <c r="AD82" s="315">
        <v>2918</v>
      </c>
      <c r="AE82" s="315">
        <v>0.3</v>
      </c>
      <c r="AF82" s="315">
        <v>1.4530000000000001</v>
      </c>
      <c r="AG82" s="315">
        <v>0.33</v>
      </c>
      <c r="AH82" s="315">
        <v>806</v>
      </c>
    </row>
    <row r="83" spans="1:34">
      <c r="A83" s="315" t="s">
        <v>1327</v>
      </c>
      <c r="B83" s="315" t="s">
        <v>1066</v>
      </c>
      <c r="C83" s="316" t="s">
        <v>1328</v>
      </c>
      <c r="D83" s="316" t="s">
        <v>1329</v>
      </c>
      <c r="E83" s="317">
        <v>3.6</v>
      </c>
      <c r="F83" s="317">
        <v>0.84804619999999997</v>
      </c>
      <c r="G83" s="317">
        <v>0.92455860000000001</v>
      </c>
      <c r="H83" s="317">
        <v>1.6430205999999998</v>
      </c>
      <c r="I83" s="318">
        <v>45.63946111111111</v>
      </c>
      <c r="J83" s="318">
        <v>56.531978449211998</v>
      </c>
      <c r="K83" s="319">
        <v>39.292244025013702</v>
      </c>
      <c r="L83" s="319">
        <v>-6.3472170860974089</v>
      </c>
      <c r="M83" s="319">
        <f t="shared" si="1"/>
        <v>0</v>
      </c>
      <c r="N83" s="317">
        <v>0</v>
      </c>
      <c r="O83" s="315" t="s">
        <v>1148</v>
      </c>
      <c r="P83" s="318">
        <v>189</v>
      </c>
      <c r="R83" s="320">
        <v>87.222222222222229</v>
      </c>
      <c r="S83" s="318">
        <v>40</v>
      </c>
      <c r="T83" s="318">
        <v>182.6</v>
      </c>
      <c r="U83" s="318">
        <v>473</v>
      </c>
      <c r="V83" s="315">
        <v>0.17599999999999999</v>
      </c>
      <c r="W83" s="318">
        <v>70.209999999999994</v>
      </c>
      <c r="X83" s="315">
        <v>3</v>
      </c>
      <c r="Y83" s="315" t="s">
        <v>1149</v>
      </c>
      <c r="Z83" s="315">
        <v>0</v>
      </c>
      <c r="AA83" s="315" t="s">
        <v>1157</v>
      </c>
      <c r="AB83" s="316">
        <v>0</v>
      </c>
      <c r="AC83" s="316">
        <v>2615</v>
      </c>
      <c r="AD83" s="316">
        <v>2563</v>
      </c>
      <c r="AE83" s="316">
        <v>0.54</v>
      </c>
      <c r="AF83" s="316">
        <v>1.3740000000000001</v>
      </c>
      <c r="AG83" s="316">
        <v>0.37</v>
      </c>
      <c r="AH83" s="316">
        <v>642</v>
      </c>
    </row>
    <row r="84" spans="1:34">
      <c r="A84" s="315" t="s">
        <v>1229</v>
      </c>
      <c r="B84" s="315" t="s">
        <v>1066</v>
      </c>
      <c r="C84" s="316" t="s">
        <v>1330</v>
      </c>
      <c r="D84" s="316" t="s">
        <v>1331</v>
      </c>
      <c r="E84" s="317">
        <v>3.91</v>
      </c>
      <c r="F84" s="317">
        <v>0.9325871</v>
      </c>
      <c r="G84" s="317">
        <v>1.0167269000000001</v>
      </c>
      <c r="H84" s="317">
        <v>1.9663996000000001</v>
      </c>
      <c r="I84" s="318">
        <v>50.291549872122765</v>
      </c>
      <c r="J84" s="318">
        <v>66.927916332075398</v>
      </c>
      <c r="K84" s="319">
        <v>35.422064093719101</v>
      </c>
      <c r="L84" s="319">
        <v>-14.869485778403664</v>
      </c>
      <c r="M84" s="319">
        <f t="shared" si="1"/>
        <v>0</v>
      </c>
      <c r="N84" s="317">
        <v>0</v>
      </c>
      <c r="O84" s="315" t="s">
        <v>1148</v>
      </c>
      <c r="P84" s="318">
        <v>189</v>
      </c>
      <c r="R84" s="320">
        <v>87.222222222222229</v>
      </c>
      <c r="S84" s="318">
        <v>40</v>
      </c>
      <c r="T84" s="318">
        <v>167.9</v>
      </c>
      <c r="U84" s="318">
        <v>465</v>
      </c>
      <c r="V84" s="315">
        <v>0.11</v>
      </c>
      <c r="W84" s="318">
        <v>6.7</v>
      </c>
      <c r="X84" s="315">
        <v>1</v>
      </c>
      <c r="Y84" s="315" t="s">
        <v>1149</v>
      </c>
      <c r="Z84" s="315">
        <v>0</v>
      </c>
      <c r="AA84" s="315" t="s">
        <v>1157</v>
      </c>
      <c r="AB84" s="316">
        <v>0</v>
      </c>
      <c r="AC84" s="316">
        <v>2895</v>
      </c>
      <c r="AD84" s="316">
        <v>2843</v>
      </c>
      <c r="AE84" s="316">
        <v>0.39</v>
      </c>
      <c r="AF84" s="316">
        <v>1.419</v>
      </c>
      <c r="AG84" s="316">
        <v>0.34499999999999997</v>
      </c>
      <c r="AH84" s="316">
        <v>726</v>
      </c>
    </row>
    <row r="85" spans="1:34">
      <c r="A85" s="315" t="s">
        <v>1145</v>
      </c>
      <c r="B85" s="315" t="s">
        <v>1066</v>
      </c>
      <c r="C85" s="316" t="s">
        <v>1332</v>
      </c>
      <c r="D85" s="316" t="s">
        <v>1333</v>
      </c>
      <c r="E85" s="317">
        <v>4.16</v>
      </c>
      <c r="F85" s="317">
        <v>0.33958860000000002</v>
      </c>
      <c r="G85" s="317">
        <v>0.37351329999999999</v>
      </c>
      <c r="H85" s="317">
        <v>0.38769819999999999</v>
      </c>
      <c r="I85" s="318">
        <v>9.3196682692307693</v>
      </c>
      <c r="J85" s="318">
        <v>64.943218911081303</v>
      </c>
      <c r="K85" s="319">
        <v>36.488521466883</v>
      </c>
      <c r="L85" s="319">
        <v>27.168853197652233</v>
      </c>
      <c r="M85" s="319">
        <f t="shared" si="1"/>
        <v>27.168853197652233</v>
      </c>
      <c r="N85" s="317">
        <v>1.130224293022333</v>
      </c>
      <c r="O85" s="315" t="s">
        <v>1148</v>
      </c>
      <c r="P85" s="318">
        <v>189</v>
      </c>
      <c r="R85" s="320">
        <v>87.222222222222229</v>
      </c>
      <c r="S85" s="318">
        <v>40</v>
      </c>
      <c r="T85" s="318">
        <v>145.26</v>
      </c>
      <c r="U85" s="318">
        <v>283</v>
      </c>
      <c r="V85" s="315">
        <v>0.186</v>
      </c>
      <c r="W85" s="318">
        <v>29.3</v>
      </c>
      <c r="X85" s="315">
        <v>1</v>
      </c>
      <c r="Y85" s="315" t="s">
        <v>1149</v>
      </c>
      <c r="Z85" s="315">
        <v>0</v>
      </c>
      <c r="AA85" s="315" t="s">
        <v>1157</v>
      </c>
      <c r="AB85" s="316">
        <v>0</v>
      </c>
      <c r="AC85" s="316">
        <v>3179</v>
      </c>
      <c r="AD85" s="316">
        <v>3127</v>
      </c>
      <c r="AE85" s="316">
        <v>0.41</v>
      </c>
      <c r="AF85" s="316">
        <v>1.466</v>
      </c>
      <c r="AG85" s="316">
        <v>0.32300000000000001</v>
      </c>
      <c r="AH85" s="316">
        <v>814</v>
      </c>
    </row>
    <row r="86" spans="1:34">
      <c r="A86" s="315" t="s">
        <v>1334</v>
      </c>
      <c r="B86" s="315" t="s">
        <v>1066</v>
      </c>
      <c r="C86" s="316" t="s">
        <v>1335</v>
      </c>
      <c r="D86" s="316" t="s">
        <v>1336</v>
      </c>
      <c r="E86" s="317">
        <v>1.07</v>
      </c>
      <c r="F86" s="317">
        <v>0</v>
      </c>
      <c r="G86" s="317">
        <v>0</v>
      </c>
      <c r="H86" s="317">
        <v>0.44097500000000001</v>
      </c>
      <c r="I86" s="318">
        <v>41.212616822429901</v>
      </c>
      <c r="J86" s="318">
        <v>63.7205068055233</v>
      </c>
      <c r="K86" s="319">
        <v>37.143646087927202</v>
      </c>
      <c r="L86" s="319">
        <v>-4.0689707345026989</v>
      </c>
      <c r="M86" s="319">
        <f t="shared" si="1"/>
        <v>0</v>
      </c>
      <c r="N86" s="317">
        <v>0</v>
      </c>
      <c r="O86" s="315" t="s">
        <v>1168</v>
      </c>
      <c r="P86" s="318">
        <v>189</v>
      </c>
      <c r="R86" s="320">
        <v>87.222222222222229</v>
      </c>
      <c r="S86" s="318">
        <v>40</v>
      </c>
      <c r="T86" s="318">
        <v>228</v>
      </c>
      <c r="U86" s="318">
        <v>466</v>
      </c>
      <c r="V86" s="315">
        <v>0.19</v>
      </c>
      <c r="W86" s="318">
        <v>170.1</v>
      </c>
      <c r="X86" s="315">
        <v>0</v>
      </c>
      <c r="Y86" s="315" t="s">
        <v>1149</v>
      </c>
      <c r="Z86" s="315">
        <v>0</v>
      </c>
      <c r="AA86" s="315" t="s">
        <v>1157</v>
      </c>
      <c r="AB86" s="315">
        <v>0</v>
      </c>
      <c r="AC86" s="315">
        <v>3000</v>
      </c>
      <c r="AD86" s="315">
        <v>2935</v>
      </c>
      <c r="AE86" s="315">
        <v>0.42</v>
      </c>
      <c r="AF86" s="315">
        <v>1.46</v>
      </c>
      <c r="AG86" s="315">
        <v>0.33600000000000002</v>
      </c>
      <c r="AH86" s="315">
        <v>819</v>
      </c>
    </row>
    <row r="87" spans="1:34">
      <c r="A87" s="315" t="s">
        <v>1334</v>
      </c>
      <c r="B87" s="315" t="s">
        <v>1066</v>
      </c>
      <c r="C87" s="316" t="s">
        <v>1337</v>
      </c>
      <c r="D87" s="316" t="s">
        <v>1338</v>
      </c>
      <c r="E87" s="317">
        <v>2.4700000000000002</v>
      </c>
      <c r="F87" s="317">
        <v>4.8200000000000001E-4</v>
      </c>
      <c r="G87" s="317">
        <v>0.33080329999999997</v>
      </c>
      <c r="H87" s="317">
        <v>0.33080329999999997</v>
      </c>
      <c r="I87" s="318">
        <v>13.392846153846152</v>
      </c>
      <c r="J87" s="318">
        <v>64.436686909731407</v>
      </c>
      <c r="K87" s="319">
        <v>32.295150930508896</v>
      </c>
      <c r="L87" s="319">
        <v>18.902304776662746</v>
      </c>
      <c r="M87" s="319">
        <f t="shared" si="1"/>
        <v>18.902304776662746</v>
      </c>
      <c r="N87" s="317">
        <v>0.46688692798356984</v>
      </c>
      <c r="O87" s="315" t="s">
        <v>1148</v>
      </c>
      <c r="P87" s="318">
        <v>190</v>
      </c>
      <c r="R87" s="320">
        <v>87.777777777777771</v>
      </c>
      <c r="S87" s="318">
        <v>40</v>
      </c>
      <c r="T87" s="318">
        <v>83.2</v>
      </c>
      <c r="U87" s="318">
        <v>83.2</v>
      </c>
      <c r="V87" s="315">
        <v>0.17</v>
      </c>
      <c r="W87" s="318">
        <v>61.5</v>
      </c>
      <c r="X87" s="315">
        <v>1</v>
      </c>
      <c r="Y87" s="315" t="s">
        <v>1149</v>
      </c>
      <c r="Z87" s="315">
        <v>0</v>
      </c>
      <c r="AA87" s="315" t="s">
        <v>1157</v>
      </c>
      <c r="AB87" s="315">
        <v>0</v>
      </c>
      <c r="AC87" s="315">
        <v>3184.2599999999998</v>
      </c>
      <c r="AD87" s="315">
        <v>3119</v>
      </c>
      <c r="AE87" s="315">
        <v>0.42000000000000004</v>
      </c>
      <c r="AF87" s="315">
        <v>1.4927999999999999</v>
      </c>
      <c r="AG87" s="315">
        <v>0.318</v>
      </c>
      <c r="AH87" s="315">
        <v>878</v>
      </c>
    </row>
    <row r="88" spans="1:34">
      <c r="A88" s="315" t="s">
        <v>1145</v>
      </c>
      <c r="B88" s="315" t="s">
        <v>1066</v>
      </c>
      <c r="C88" s="316" t="s">
        <v>1339</v>
      </c>
      <c r="D88" s="316" t="s">
        <v>1340</v>
      </c>
      <c r="E88" s="317">
        <v>10.74</v>
      </c>
      <c r="F88" s="317">
        <v>1.9185517000000001</v>
      </c>
      <c r="G88" s="317">
        <v>2.0916471000000003</v>
      </c>
      <c r="H88" s="317">
        <v>3.4100603</v>
      </c>
      <c r="I88" s="318">
        <v>31.751027001862198</v>
      </c>
      <c r="J88" s="318">
        <v>58.0007297876354</v>
      </c>
      <c r="K88" s="319">
        <v>37.791247744688697</v>
      </c>
      <c r="L88" s="319">
        <v>6.0402207428264987</v>
      </c>
      <c r="M88" s="319">
        <f t="shared" si="1"/>
        <v>6.0402207428264987</v>
      </c>
      <c r="N88" s="317">
        <v>0.648719707779566</v>
      </c>
      <c r="O88" s="315" t="s">
        <v>1148</v>
      </c>
      <c r="P88" s="318">
        <v>190.19900000000001</v>
      </c>
      <c r="R88" s="320">
        <v>87.88833333333335</v>
      </c>
      <c r="S88" s="318">
        <v>40</v>
      </c>
      <c r="T88" s="318">
        <v>280.3</v>
      </c>
      <c r="U88" s="318">
        <v>322</v>
      </c>
      <c r="V88" s="315">
        <v>0.19700000000000001</v>
      </c>
      <c r="W88" s="318">
        <v>60.07</v>
      </c>
      <c r="X88" s="315">
        <v>6</v>
      </c>
      <c r="Y88" s="315" t="s">
        <v>1149</v>
      </c>
      <c r="Z88" s="315">
        <v>0</v>
      </c>
      <c r="AA88" s="315" t="s">
        <v>1190</v>
      </c>
      <c r="AB88" s="315">
        <v>0</v>
      </c>
      <c r="AC88" s="315">
        <v>3243</v>
      </c>
      <c r="AD88" s="315">
        <v>3192.97</v>
      </c>
      <c r="AE88" s="315">
        <v>0.51</v>
      </c>
      <c r="AF88" s="315">
        <v>1.50406</v>
      </c>
      <c r="AG88" s="315">
        <v>0.31291000000000002</v>
      </c>
      <c r="AH88" s="315">
        <v>898</v>
      </c>
    </row>
    <row r="89" spans="1:34">
      <c r="A89" s="315" t="s">
        <v>1145</v>
      </c>
      <c r="B89" s="315" t="s">
        <v>1066</v>
      </c>
      <c r="C89" s="316" t="s">
        <v>1341</v>
      </c>
      <c r="D89" s="316" t="s">
        <v>1342</v>
      </c>
      <c r="E89" s="317">
        <v>0.91</v>
      </c>
      <c r="F89" s="317">
        <v>0</v>
      </c>
      <c r="G89" s="317">
        <v>0</v>
      </c>
      <c r="H89" s="317">
        <v>0</v>
      </c>
      <c r="I89" s="318">
        <v>0</v>
      </c>
      <c r="J89" s="318">
        <v>57.421386173850898</v>
      </c>
      <c r="K89" s="319">
        <v>39.554839032660098</v>
      </c>
      <c r="L89" s="319">
        <v>39.554839032660098</v>
      </c>
      <c r="M89" s="319">
        <f t="shared" si="1"/>
        <v>39.554839032660098</v>
      </c>
      <c r="N89" s="317">
        <v>0.35994903519720695</v>
      </c>
      <c r="O89" s="315" t="s">
        <v>1168</v>
      </c>
      <c r="P89" s="318">
        <v>190.4</v>
      </c>
      <c r="R89" s="320">
        <v>88</v>
      </c>
      <c r="S89" s="318">
        <v>40</v>
      </c>
      <c r="T89" s="318">
        <v>132.9</v>
      </c>
      <c r="U89" s="318">
        <v>212</v>
      </c>
      <c r="V89" s="315">
        <v>0.18</v>
      </c>
      <c r="W89" s="318">
        <v>105.3</v>
      </c>
      <c r="X89" s="315">
        <v>0</v>
      </c>
      <c r="Y89" s="315" t="s">
        <v>1149</v>
      </c>
      <c r="Z89" s="315">
        <v>0</v>
      </c>
      <c r="AA89" s="315" t="s">
        <v>1157</v>
      </c>
      <c r="AB89" s="316">
        <v>0</v>
      </c>
      <c r="AC89" s="316">
        <v>3027</v>
      </c>
      <c r="AD89" s="316">
        <v>3022</v>
      </c>
      <c r="AE89" s="316">
        <v>0.52</v>
      </c>
      <c r="AF89" s="316">
        <v>1.4670000000000001</v>
      </c>
      <c r="AG89" s="316">
        <v>0.28999999999999998</v>
      </c>
      <c r="AH89" s="316">
        <v>846</v>
      </c>
    </row>
    <row r="90" spans="1:34">
      <c r="A90" s="315" t="s">
        <v>1222</v>
      </c>
      <c r="B90" s="315" t="s">
        <v>1066</v>
      </c>
      <c r="C90" s="316" t="s">
        <v>1343</v>
      </c>
      <c r="D90" s="316" t="s">
        <v>1344</v>
      </c>
      <c r="E90" s="317">
        <v>20.86</v>
      </c>
      <c r="F90" s="317">
        <v>2.0180962</v>
      </c>
      <c r="G90" s="317">
        <v>2.211916</v>
      </c>
      <c r="H90" s="317">
        <v>8.6712351999999999</v>
      </c>
      <c r="I90" s="318">
        <v>41.568720997123684</v>
      </c>
      <c r="J90" s="318">
        <v>57.421386173850898</v>
      </c>
      <c r="K90" s="319">
        <v>38.8595680496285</v>
      </c>
      <c r="L90" s="319">
        <v>-2.7091529474951841</v>
      </c>
      <c r="M90" s="319">
        <f t="shared" si="1"/>
        <v>0</v>
      </c>
      <c r="N90" s="317">
        <v>0</v>
      </c>
      <c r="O90" s="315" t="s">
        <v>1148</v>
      </c>
      <c r="P90" s="318">
        <v>190.4</v>
      </c>
      <c r="R90" s="320">
        <v>88</v>
      </c>
      <c r="S90" s="318">
        <v>40</v>
      </c>
      <c r="T90" s="318">
        <v>132.9</v>
      </c>
      <c r="U90" s="318">
        <v>212</v>
      </c>
      <c r="V90" s="315">
        <v>0.18</v>
      </c>
      <c r="W90" s="318">
        <v>105.3</v>
      </c>
      <c r="X90" s="315">
        <v>2</v>
      </c>
      <c r="Y90" s="315" t="s">
        <v>1149</v>
      </c>
      <c r="Z90" s="315">
        <v>0</v>
      </c>
      <c r="AA90" s="315" t="s">
        <v>1157</v>
      </c>
      <c r="AB90" s="316">
        <v>0</v>
      </c>
      <c r="AC90" s="316">
        <v>3027</v>
      </c>
      <c r="AD90" s="316">
        <v>3022</v>
      </c>
      <c r="AE90" s="316">
        <v>0.52</v>
      </c>
      <c r="AF90" s="316">
        <v>1.4670000000000001</v>
      </c>
      <c r="AG90" s="316">
        <v>0.28999999999999998</v>
      </c>
      <c r="AH90" s="316">
        <v>846</v>
      </c>
    </row>
    <row r="91" spans="1:34">
      <c r="A91" s="315" t="s">
        <v>1222</v>
      </c>
      <c r="B91" s="315" t="s">
        <v>1066</v>
      </c>
      <c r="C91" s="316" t="s">
        <v>1345</v>
      </c>
      <c r="D91" s="316" t="s">
        <v>1345</v>
      </c>
      <c r="E91" s="317">
        <v>0.265044</v>
      </c>
      <c r="F91" s="317">
        <v>0</v>
      </c>
      <c r="G91" s="317">
        <v>0</v>
      </c>
      <c r="H91" s="317">
        <v>0</v>
      </c>
      <c r="I91" s="318">
        <v>0</v>
      </c>
      <c r="J91" s="318">
        <v>79.068914658752504</v>
      </c>
      <c r="K91" s="319">
        <v>27.800384208650097</v>
      </c>
      <c r="L91" s="319">
        <v>27.800384208650097</v>
      </c>
      <c r="M91" s="319">
        <f t="shared" si="1"/>
        <v>27.800384208650097</v>
      </c>
      <c r="N91" s="317">
        <v>7.3683250321974564E-2</v>
      </c>
      <c r="O91" s="315" t="s">
        <v>1168</v>
      </c>
      <c r="P91" s="318">
        <v>191</v>
      </c>
      <c r="R91" s="320">
        <v>88.333333333333329</v>
      </c>
      <c r="S91" s="318">
        <v>38</v>
      </c>
      <c r="T91" s="318">
        <v>14.8</v>
      </c>
      <c r="U91" s="318">
        <v>177</v>
      </c>
      <c r="V91" s="315">
        <v>0.15</v>
      </c>
      <c r="W91" s="318">
        <v>6.12</v>
      </c>
      <c r="X91" s="315">
        <v>0</v>
      </c>
      <c r="Y91" s="315" t="s">
        <v>1149</v>
      </c>
      <c r="Z91" s="315">
        <v>0</v>
      </c>
      <c r="AA91" s="315" t="s">
        <v>1190</v>
      </c>
      <c r="AB91" s="315">
        <v>0</v>
      </c>
      <c r="AC91" s="315">
        <v>3042</v>
      </c>
      <c r="AD91" s="315">
        <v>3019</v>
      </c>
      <c r="AE91" s="315">
        <v>0.34</v>
      </c>
      <c r="AF91" s="315">
        <v>1.470588</v>
      </c>
      <c r="AG91" s="315">
        <v>0.32</v>
      </c>
      <c r="AH91" s="315">
        <v>831</v>
      </c>
    </row>
    <row r="92" spans="1:34">
      <c r="A92" s="315" t="s">
        <v>1229</v>
      </c>
      <c r="B92" s="315" t="s">
        <v>1066</v>
      </c>
      <c r="C92" s="316" t="s">
        <v>1346</v>
      </c>
      <c r="D92" s="316" t="s">
        <v>1346</v>
      </c>
      <c r="E92" s="317">
        <v>0.19</v>
      </c>
      <c r="F92" s="317">
        <v>0</v>
      </c>
      <c r="G92" s="317">
        <v>0</v>
      </c>
      <c r="H92" s="317">
        <v>0</v>
      </c>
      <c r="I92" s="318">
        <v>0</v>
      </c>
      <c r="J92" s="318">
        <v>78.966526211537698</v>
      </c>
      <c r="K92" s="319">
        <v>25.554914685832504</v>
      </c>
      <c r="L92" s="319">
        <v>25.554914685832504</v>
      </c>
      <c r="M92" s="319">
        <f t="shared" si="1"/>
        <v>25.554914685832504</v>
      </c>
      <c r="N92" s="317">
        <v>4.8554337903081758E-2</v>
      </c>
      <c r="O92" s="315" t="s">
        <v>1168</v>
      </c>
      <c r="P92" s="318">
        <v>191</v>
      </c>
      <c r="R92" s="320">
        <v>88.333333333333329</v>
      </c>
      <c r="S92" s="318">
        <v>38</v>
      </c>
      <c r="T92" s="318">
        <v>38.700000000000003</v>
      </c>
      <c r="U92" s="318">
        <v>177</v>
      </c>
      <c r="V92" s="315">
        <v>0.15</v>
      </c>
      <c r="W92" s="318">
        <v>6.12</v>
      </c>
      <c r="X92" s="315">
        <v>0</v>
      </c>
      <c r="Y92" s="315" t="s">
        <v>1149</v>
      </c>
      <c r="Z92" s="315">
        <v>0</v>
      </c>
      <c r="AA92" s="315" t="s">
        <v>1190</v>
      </c>
      <c r="AB92" s="315">
        <v>0</v>
      </c>
      <c r="AC92" s="315">
        <v>3042</v>
      </c>
      <c r="AD92" s="315">
        <v>3019</v>
      </c>
      <c r="AE92" s="315">
        <v>0.34</v>
      </c>
      <c r="AF92" s="315">
        <v>1.470588</v>
      </c>
      <c r="AG92" s="315">
        <v>0.32</v>
      </c>
      <c r="AH92" s="315">
        <v>831</v>
      </c>
    </row>
    <row r="93" spans="1:34">
      <c r="A93" s="315" t="s">
        <v>1229</v>
      </c>
      <c r="B93" s="315" t="s">
        <v>1066</v>
      </c>
      <c r="C93" s="316" t="s">
        <v>1347</v>
      </c>
      <c r="D93" s="316" t="s">
        <v>1347</v>
      </c>
      <c r="E93" s="317">
        <v>0.93229799999999996</v>
      </c>
      <c r="F93" s="317">
        <v>0</v>
      </c>
      <c r="G93" s="317">
        <v>0</v>
      </c>
      <c r="H93" s="317">
        <v>0</v>
      </c>
      <c r="I93" s="318">
        <v>0</v>
      </c>
      <c r="J93" s="318">
        <v>59.737448057841398</v>
      </c>
      <c r="K93" s="319">
        <v>38.1762921716645</v>
      </c>
      <c r="L93" s="319">
        <v>38.1762921716645</v>
      </c>
      <c r="M93" s="319">
        <f t="shared" si="1"/>
        <v>38.1762921716645</v>
      </c>
      <c r="N93" s="317">
        <v>0.3559168083905847</v>
      </c>
      <c r="O93" s="315" t="s">
        <v>1168</v>
      </c>
      <c r="P93" s="318">
        <v>191</v>
      </c>
      <c r="R93" s="320">
        <v>88.333333333333329</v>
      </c>
      <c r="S93" s="318">
        <v>38</v>
      </c>
      <c r="T93" s="318">
        <v>95.3</v>
      </c>
      <c r="U93" s="318">
        <v>801</v>
      </c>
      <c r="V93" s="315">
        <v>0.17</v>
      </c>
      <c r="W93" s="318">
        <v>100.58</v>
      </c>
      <c r="X93" s="315">
        <v>0</v>
      </c>
      <c r="Y93" s="315" t="s">
        <v>1149</v>
      </c>
      <c r="Z93" s="315">
        <v>0</v>
      </c>
      <c r="AA93" s="315" t="s">
        <v>1157</v>
      </c>
      <c r="AB93" s="315">
        <v>0</v>
      </c>
      <c r="AC93" s="315">
        <v>3040</v>
      </c>
      <c r="AD93" s="315">
        <v>3031</v>
      </c>
      <c r="AE93" s="315">
        <v>0.48</v>
      </c>
      <c r="AF93" s="315">
        <v>1.4710000000000001</v>
      </c>
      <c r="AG93" s="315">
        <v>0.31</v>
      </c>
      <c r="AH93" s="315">
        <v>835</v>
      </c>
    </row>
    <row r="94" spans="1:34">
      <c r="A94" s="315" t="s">
        <v>1145</v>
      </c>
      <c r="B94" s="315" t="s">
        <v>1066</v>
      </c>
      <c r="C94" s="316" t="s">
        <v>1348</v>
      </c>
      <c r="D94" s="316" t="s">
        <v>1348</v>
      </c>
      <c r="E94" s="317">
        <v>0.128714</v>
      </c>
      <c r="F94" s="317">
        <v>0</v>
      </c>
      <c r="G94" s="317">
        <v>0</v>
      </c>
      <c r="H94" s="317">
        <v>0</v>
      </c>
      <c r="I94" s="318">
        <v>0</v>
      </c>
      <c r="J94" s="318">
        <v>58.902083209520903</v>
      </c>
      <c r="K94" s="319">
        <v>39.221610104021501</v>
      </c>
      <c r="L94" s="319">
        <v>39.221610104021501</v>
      </c>
      <c r="M94" s="319">
        <f t="shared" si="1"/>
        <v>39.221610104021501</v>
      </c>
      <c r="N94" s="317">
        <v>5.048370322929023E-2</v>
      </c>
      <c r="O94" s="315" t="s">
        <v>1168</v>
      </c>
      <c r="P94" s="318">
        <v>191</v>
      </c>
      <c r="R94" s="320">
        <v>88.333333333333329</v>
      </c>
      <c r="S94" s="318">
        <v>38</v>
      </c>
      <c r="T94" s="318">
        <v>215</v>
      </c>
      <c r="U94" s="318">
        <v>215</v>
      </c>
      <c r="V94" s="315">
        <v>0.2</v>
      </c>
      <c r="W94" s="318">
        <v>246.3</v>
      </c>
      <c r="X94" s="315">
        <v>1</v>
      </c>
      <c r="Y94" s="315" t="s">
        <v>1149</v>
      </c>
      <c r="Z94" s="315">
        <v>0</v>
      </c>
      <c r="AA94" s="315" t="s">
        <v>1157</v>
      </c>
      <c r="AB94" s="315">
        <v>0</v>
      </c>
      <c r="AC94" s="315">
        <v>3040</v>
      </c>
      <c r="AD94" s="315">
        <v>3031</v>
      </c>
      <c r="AE94" s="315">
        <v>0.5</v>
      </c>
      <c r="AF94" s="315">
        <v>1.4710000000000001</v>
      </c>
      <c r="AG94" s="315">
        <v>0.36</v>
      </c>
      <c r="AH94" s="315">
        <v>800</v>
      </c>
    </row>
    <row r="95" spans="1:34">
      <c r="A95" s="315" t="s">
        <v>1145</v>
      </c>
      <c r="B95" s="315" t="s">
        <v>1066</v>
      </c>
      <c r="C95" s="316" t="s">
        <v>1349</v>
      </c>
      <c r="D95" s="316" t="s">
        <v>1349</v>
      </c>
      <c r="E95" s="317">
        <v>4.6500000000000004</v>
      </c>
      <c r="F95" s="317">
        <v>0</v>
      </c>
      <c r="G95" s="317">
        <v>0</v>
      </c>
      <c r="H95" s="317">
        <v>0</v>
      </c>
      <c r="I95" s="318">
        <v>0</v>
      </c>
      <c r="J95" s="318">
        <v>53.804957155012801</v>
      </c>
      <c r="K95" s="319">
        <v>40.221400501819602</v>
      </c>
      <c r="L95" s="319">
        <v>40.221400501819602</v>
      </c>
      <c r="M95" s="319">
        <f t="shared" si="1"/>
        <v>40.221400501819602</v>
      </c>
      <c r="N95" s="317">
        <v>1.8702951233346117</v>
      </c>
      <c r="O95" s="315" t="s">
        <v>1168</v>
      </c>
      <c r="P95" s="318">
        <v>191</v>
      </c>
      <c r="R95" s="320">
        <v>88.333333333333329</v>
      </c>
      <c r="S95" s="318">
        <v>38</v>
      </c>
      <c r="T95" s="318">
        <v>1339</v>
      </c>
      <c r="U95" s="318">
        <v>1339</v>
      </c>
      <c r="V95" s="315">
        <v>0.2</v>
      </c>
      <c r="W95" s="318">
        <v>246.3</v>
      </c>
      <c r="X95" s="315">
        <v>0</v>
      </c>
      <c r="Y95" s="315" t="s">
        <v>1149</v>
      </c>
      <c r="Z95" s="315">
        <v>0</v>
      </c>
      <c r="AA95" s="315" t="s">
        <v>1157</v>
      </c>
      <c r="AB95" s="315">
        <v>0</v>
      </c>
      <c r="AC95" s="315">
        <v>3040</v>
      </c>
      <c r="AD95" s="315">
        <v>3031</v>
      </c>
      <c r="AE95" s="315">
        <v>0.5</v>
      </c>
      <c r="AF95" s="315">
        <v>1.4710000000000001</v>
      </c>
      <c r="AG95" s="315">
        <v>0.31</v>
      </c>
      <c r="AH95" s="315">
        <v>835</v>
      </c>
    </row>
    <row r="96" spans="1:34">
      <c r="A96" s="315" t="s">
        <v>1145</v>
      </c>
      <c r="B96" s="315" t="s">
        <v>1066</v>
      </c>
      <c r="C96" s="316" t="s">
        <v>1350</v>
      </c>
      <c r="D96" s="316" t="s">
        <v>1350</v>
      </c>
      <c r="E96" s="317">
        <v>2.4700000000000002</v>
      </c>
      <c r="F96" s="317">
        <v>0</v>
      </c>
      <c r="G96" s="317">
        <v>0</v>
      </c>
      <c r="H96" s="317">
        <v>0.66146249999999995</v>
      </c>
      <c r="I96" s="318">
        <v>26.779858299595137</v>
      </c>
      <c r="J96" s="318">
        <v>61.081380388004099</v>
      </c>
      <c r="K96" s="319">
        <v>33.737633614604604</v>
      </c>
      <c r="L96" s="319">
        <v>6.9577753150094672</v>
      </c>
      <c r="M96" s="319">
        <f t="shared" si="1"/>
        <v>6.9577753150094672</v>
      </c>
      <c r="N96" s="317">
        <v>0.17185705028073386</v>
      </c>
      <c r="O96" s="315" t="s">
        <v>1168</v>
      </c>
      <c r="P96" s="318">
        <v>192.9</v>
      </c>
      <c r="R96" s="320">
        <v>89.388888888888886</v>
      </c>
      <c r="S96" s="318">
        <v>40</v>
      </c>
      <c r="T96" s="318">
        <v>152.5</v>
      </c>
      <c r="U96" s="318">
        <v>279</v>
      </c>
      <c r="V96" s="315">
        <v>0.18</v>
      </c>
      <c r="W96" s="318">
        <v>29.7</v>
      </c>
      <c r="X96" s="315">
        <v>0</v>
      </c>
      <c r="Y96" s="315" t="s">
        <v>1149</v>
      </c>
      <c r="Z96" s="315">
        <v>0</v>
      </c>
      <c r="AA96" s="315" t="s">
        <v>1157</v>
      </c>
      <c r="AB96" s="315">
        <v>0</v>
      </c>
      <c r="AC96" s="315">
        <v>3113</v>
      </c>
      <c r="AD96" s="315">
        <v>3107</v>
      </c>
      <c r="AE96" s="315">
        <v>0.46</v>
      </c>
      <c r="AF96" s="315">
        <v>1.4810000000000001</v>
      </c>
      <c r="AG96" s="315">
        <v>0.28999999999999998</v>
      </c>
      <c r="AH96" s="315">
        <v>869</v>
      </c>
    </row>
    <row r="97" spans="1:34">
      <c r="A97" s="315" t="s">
        <v>1145</v>
      </c>
      <c r="B97" s="315" t="s">
        <v>1066</v>
      </c>
      <c r="C97" s="316" t="s">
        <v>1351</v>
      </c>
      <c r="D97" s="316" t="s">
        <v>1351</v>
      </c>
      <c r="E97" s="317">
        <v>4.3726520000000004</v>
      </c>
      <c r="F97" s="317">
        <v>0.51772739999999995</v>
      </c>
      <c r="G97" s="317">
        <v>0.56443779999999999</v>
      </c>
      <c r="H97" s="317">
        <v>0.58606389999999997</v>
      </c>
      <c r="I97" s="318">
        <v>13.402939451847526</v>
      </c>
      <c r="J97" s="318">
        <v>60.859951671178798</v>
      </c>
      <c r="K97" s="319">
        <v>38.213994020662902</v>
      </c>
      <c r="L97" s="319">
        <v>24.811054568815376</v>
      </c>
      <c r="M97" s="319">
        <f t="shared" si="1"/>
        <v>24.811054568815376</v>
      </c>
      <c r="N97" s="317">
        <v>1.0849010738243969</v>
      </c>
      <c r="O97" s="315" t="s">
        <v>1148</v>
      </c>
      <c r="P97" s="318">
        <v>193</v>
      </c>
      <c r="R97" s="320">
        <v>89.444444444444443</v>
      </c>
      <c r="S97" s="318">
        <v>38</v>
      </c>
      <c r="T97" s="318">
        <v>144.30000000000001</v>
      </c>
      <c r="U97" s="318">
        <v>1109</v>
      </c>
      <c r="V97" s="315">
        <v>0.21</v>
      </c>
      <c r="W97" s="318">
        <v>246.9</v>
      </c>
      <c r="X97" s="315">
        <v>2</v>
      </c>
      <c r="Y97" s="315" t="s">
        <v>1149</v>
      </c>
      <c r="Z97" s="315">
        <v>0</v>
      </c>
      <c r="AA97" s="315" t="s">
        <v>1157</v>
      </c>
      <c r="AB97" s="315">
        <v>0</v>
      </c>
      <c r="AC97" s="315">
        <v>3121</v>
      </c>
      <c r="AD97" s="315">
        <v>3116</v>
      </c>
      <c r="AE97" s="315">
        <v>0.46</v>
      </c>
      <c r="AF97" s="315">
        <v>1.4850000000000001</v>
      </c>
      <c r="AG97" s="315">
        <v>0.31</v>
      </c>
      <c r="AH97" s="315">
        <v>859</v>
      </c>
    </row>
    <row r="98" spans="1:34">
      <c r="A98" s="315" t="s">
        <v>1145</v>
      </c>
      <c r="B98" s="315" t="s">
        <v>1066</v>
      </c>
      <c r="C98" s="316" t="s">
        <v>1352</v>
      </c>
      <c r="D98" s="316" t="s">
        <v>1352</v>
      </c>
      <c r="E98" s="317">
        <v>3.08</v>
      </c>
      <c r="F98" s="317">
        <v>1.33E-5</v>
      </c>
      <c r="G98" s="317">
        <v>1.45E-5</v>
      </c>
      <c r="H98" s="317">
        <v>0.881965</v>
      </c>
      <c r="I98" s="318">
        <v>28.635227272727271</v>
      </c>
      <c r="J98" s="318">
        <v>58.333593763990201</v>
      </c>
      <c r="K98" s="319">
        <v>37.726855620057798</v>
      </c>
      <c r="L98" s="319">
        <v>9.091628347330527</v>
      </c>
      <c r="M98" s="319">
        <f t="shared" si="1"/>
        <v>9.091628347330527</v>
      </c>
      <c r="N98" s="317">
        <v>0.28002215309778022</v>
      </c>
      <c r="O98" s="315" t="s">
        <v>1148</v>
      </c>
      <c r="P98" s="318">
        <v>193.9</v>
      </c>
      <c r="R98" s="320">
        <v>89.944444444444443</v>
      </c>
      <c r="S98" s="318">
        <v>40</v>
      </c>
      <c r="T98" s="318">
        <v>1111</v>
      </c>
      <c r="U98" s="318">
        <v>1111</v>
      </c>
      <c r="V98" s="315">
        <v>0.2</v>
      </c>
      <c r="W98" s="318">
        <v>50</v>
      </c>
      <c r="X98" s="315">
        <v>5</v>
      </c>
      <c r="Y98" s="315" t="s">
        <v>1149</v>
      </c>
      <c r="Z98" s="315">
        <v>0</v>
      </c>
      <c r="AA98" s="315" t="s">
        <v>1157</v>
      </c>
      <c r="AB98" s="315">
        <v>0</v>
      </c>
      <c r="AC98" s="315">
        <v>3149</v>
      </c>
      <c r="AD98" s="315">
        <v>3139</v>
      </c>
      <c r="AE98" s="315">
        <v>0.5</v>
      </c>
      <c r="AF98" s="315">
        <v>1.486</v>
      </c>
      <c r="AG98" s="315">
        <v>0.28000000000000003</v>
      </c>
      <c r="AH98" s="315">
        <v>893</v>
      </c>
    </row>
    <row r="99" spans="1:34">
      <c r="A99" s="315" t="s">
        <v>1222</v>
      </c>
      <c r="B99" s="315" t="s">
        <v>1066</v>
      </c>
      <c r="C99" s="316" t="s">
        <v>1353</v>
      </c>
      <c r="D99" s="316" t="s">
        <v>1353</v>
      </c>
      <c r="E99" s="317">
        <v>2.35</v>
      </c>
      <c r="F99" s="317">
        <v>0</v>
      </c>
      <c r="G99" s="317">
        <v>0</v>
      </c>
      <c r="H99" s="317">
        <v>0.88194989999999995</v>
      </c>
      <c r="I99" s="318">
        <v>37.529782978723404</v>
      </c>
      <c r="J99" s="318">
        <v>52.628031534931701</v>
      </c>
      <c r="K99" s="319">
        <v>40.721514841060504</v>
      </c>
      <c r="L99" s="319">
        <v>3.1917318623371003</v>
      </c>
      <c r="M99" s="319">
        <f t="shared" si="1"/>
        <v>3.1917318623371003</v>
      </c>
      <c r="N99" s="317">
        <v>7.5005698764921858E-2</v>
      </c>
      <c r="O99" s="315" t="s">
        <v>1168</v>
      </c>
      <c r="P99" s="318">
        <v>194</v>
      </c>
      <c r="R99" s="320">
        <v>90</v>
      </c>
      <c r="S99" s="318">
        <v>40</v>
      </c>
      <c r="T99" s="318">
        <v>162.9</v>
      </c>
      <c r="U99" s="318">
        <v>388</v>
      </c>
      <c r="V99" s="315">
        <v>0.2</v>
      </c>
      <c r="W99" s="318">
        <v>705.4</v>
      </c>
      <c r="X99" s="315">
        <v>0</v>
      </c>
      <c r="Y99" s="315" t="s">
        <v>1149</v>
      </c>
      <c r="Z99" s="315">
        <v>0</v>
      </c>
      <c r="AA99" s="315" t="s">
        <v>1157</v>
      </c>
      <c r="AB99" s="315">
        <v>0</v>
      </c>
      <c r="AC99" s="315">
        <v>3145</v>
      </c>
      <c r="AD99" s="315">
        <v>3082</v>
      </c>
      <c r="AE99" s="315">
        <v>0.6</v>
      </c>
      <c r="AF99" s="315">
        <v>1.484</v>
      </c>
      <c r="AG99" s="315">
        <v>0.31509999999999999</v>
      </c>
      <c r="AH99" s="315">
        <v>857</v>
      </c>
    </row>
    <row r="100" spans="1:34">
      <c r="A100" s="315" t="s">
        <v>1145</v>
      </c>
      <c r="B100" s="315" t="s">
        <v>1066</v>
      </c>
      <c r="C100" s="316" t="s">
        <v>1354</v>
      </c>
      <c r="D100" s="316" t="s">
        <v>1354</v>
      </c>
      <c r="E100" s="317">
        <v>0.57999999999999996</v>
      </c>
      <c r="F100" s="317">
        <v>0</v>
      </c>
      <c r="G100" s="317">
        <v>0</v>
      </c>
      <c r="H100" s="317">
        <v>0</v>
      </c>
      <c r="I100" s="318">
        <v>0</v>
      </c>
      <c r="J100" s="318">
        <v>0</v>
      </c>
      <c r="K100" s="319">
        <v>0</v>
      </c>
      <c r="L100" s="319">
        <v>0</v>
      </c>
      <c r="M100" s="319">
        <f t="shared" si="1"/>
        <v>0</v>
      </c>
      <c r="N100" s="317">
        <v>0</v>
      </c>
      <c r="O100" s="315" t="s">
        <v>1168</v>
      </c>
      <c r="P100" s="318">
        <v>194</v>
      </c>
      <c r="R100" s="320">
        <v>90</v>
      </c>
      <c r="S100" s="318">
        <v>38</v>
      </c>
      <c r="T100" s="318">
        <v>26.5</v>
      </c>
      <c r="U100" s="318">
        <v>410</v>
      </c>
      <c r="V100" s="315">
        <v>0.22</v>
      </c>
      <c r="W100" s="318">
        <v>58.667000000000002</v>
      </c>
      <c r="X100" s="315">
        <v>1</v>
      </c>
      <c r="Y100" s="315" t="s">
        <v>1149</v>
      </c>
      <c r="Z100" s="315">
        <v>0</v>
      </c>
      <c r="AA100" s="315" t="s">
        <v>1157</v>
      </c>
      <c r="AB100" s="315">
        <v>0</v>
      </c>
      <c r="AC100" s="315">
        <v>3144</v>
      </c>
      <c r="AD100" s="315">
        <v>3138</v>
      </c>
      <c r="AE100" s="315">
        <v>0.13</v>
      </c>
      <c r="AF100" s="315">
        <v>1.4890000000000001</v>
      </c>
      <c r="AG100" s="315">
        <v>0.3</v>
      </c>
      <c r="AH100" s="315">
        <v>864</v>
      </c>
    </row>
    <row r="101" spans="1:34">
      <c r="A101" s="315" t="s">
        <v>1355</v>
      </c>
      <c r="B101" s="315" t="s">
        <v>1066</v>
      </c>
      <c r="C101" s="316" t="s">
        <v>1356</v>
      </c>
      <c r="D101" s="316" t="s">
        <v>1356</v>
      </c>
      <c r="E101" s="317">
        <v>17.3</v>
      </c>
      <c r="F101" s="317">
        <v>0.95518000000000003</v>
      </c>
      <c r="G101" s="317">
        <v>1.0413582000000001</v>
      </c>
      <c r="H101" s="317">
        <v>5.1794853000000005</v>
      </c>
      <c r="I101" s="318">
        <v>29.939221387283236</v>
      </c>
      <c r="J101" s="318">
        <v>63.159713264794902</v>
      </c>
      <c r="K101" s="319">
        <v>37.390808430630202</v>
      </c>
      <c r="L101" s="319">
        <v>7.4515870433469651</v>
      </c>
      <c r="M101" s="319">
        <f t="shared" si="1"/>
        <v>7.4515870433469651</v>
      </c>
      <c r="N101" s="317">
        <v>1.289124558499025</v>
      </c>
      <c r="O101" s="315" t="s">
        <v>1148</v>
      </c>
      <c r="P101" s="318">
        <v>194.7</v>
      </c>
      <c r="R101" s="320">
        <v>90.388888888888886</v>
      </c>
      <c r="S101" s="318">
        <v>40</v>
      </c>
      <c r="T101" s="318">
        <v>165.6</v>
      </c>
      <c r="U101" s="318">
        <v>111</v>
      </c>
      <c r="V101" s="315">
        <v>0.183</v>
      </c>
      <c r="W101" s="318">
        <v>121.6</v>
      </c>
      <c r="X101" s="315">
        <v>8</v>
      </c>
      <c r="Y101" s="315" t="s">
        <v>1149</v>
      </c>
      <c r="Z101" s="315">
        <v>0</v>
      </c>
      <c r="AA101" s="315" t="s">
        <v>1157</v>
      </c>
      <c r="AB101" s="316">
        <v>0</v>
      </c>
      <c r="AC101" s="316">
        <v>3172</v>
      </c>
      <c r="AD101" s="316">
        <v>3166</v>
      </c>
      <c r="AE101" s="316">
        <v>0.43</v>
      </c>
      <c r="AF101" s="316">
        <v>1.49</v>
      </c>
      <c r="AG101" s="316">
        <v>0.28000000000000003</v>
      </c>
      <c r="AH101" s="316">
        <v>884</v>
      </c>
    </row>
    <row r="102" spans="1:34">
      <c r="A102" s="315" t="s">
        <v>1145</v>
      </c>
      <c r="B102" s="315" t="s">
        <v>1066</v>
      </c>
      <c r="C102" s="316" t="s">
        <v>1357</v>
      </c>
      <c r="D102" s="316" t="s">
        <v>1357</v>
      </c>
      <c r="E102" s="317">
        <v>14.8</v>
      </c>
      <c r="F102" s="317">
        <v>2.0891425999999997</v>
      </c>
      <c r="G102" s="317">
        <v>2.4831352999999998</v>
      </c>
      <c r="H102" s="317">
        <v>2.9040442</v>
      </c>
      <c r="I102" s="318">
        <v>19.62192027027027</v>
      </c>
      <c r="J102" s="318">
        <v>70.775179948499698</v>
      </c>
      <c r="K102" s="319">
        <v>32.978365664442897</v>
      </c>
      <c r="L102" s="319">
        <v>13.356445394172628</v>
      </c>
      <c r="M102" s="319">
        <f t="shared" si="1"/>
        <v>13.356445394172628</v>
      </c>
      <c r="N102" s="317">
        <v>1.9767539183375491</v>
      </c>
      <c r="O102" s="315" t="s">
        <v>1148</v>
      </c>
      <c r="P102" s="318">
        <v>195.5</v>
      </c>
      <c r="R102" s="320">
        <v>90.833333333333329</v>
      </c>
      <c r="S102" s="318">
        <v>40</v>
      </c>
      <c r="T102" s="318">
        <v>288.39999999999998</v>
      </c>
      <c r="U102" s="318">
        <v>465</v>
      </c>
      <c r="V102" s="315">
        <v>0.11</v>
      </c>
      <c r="W102" s="318">
        <v>63.97</v>
      </c>
      <c r="X102" s="315">
        <v>7</v>
      </c>
      <c r="Y102" s="315" t="s">
        <v>1149</v>
      </c>
      <c r="Z102" s="315">
        <v>0</v>
      </c>
      <c r="AA102" s="315" t="s">
        <v>1157</v>
      </c>
      <c r="AB102" s="315">
        <v>0</v>
      </c>
      <c r="AC102" s="315">
        <v>3207</v>
      </c>
      <c r="AD102" s="315">
        <v>3184</v>
      </c>
      <c r="AE102" s="315">
        <v>0.35</v>
      </c>
      <c r="AF102" s="315">
        <v>1.5772870662460567</v>
      </c>
      <c r="AG102" s="315">
        <v>0.28000000000000003</v>
      </c>
      <c r="AH102" s="315">
        <v>1022</v>
      </c>
    </row>
    <row r="103" spans="1:34">
      <c r="A103" s="315" t="s">
        <v>1310</v>
      </c>
      <c r="B103" s="315" t="s">
        <v>1066</v>
      </c>
      <c r="C103" s="316" t="s">
        <v>1358</v>
      </c>
      <c r="D103" s="316" t="s">
        <v>1358</v>
      </c>
      <c r="E103" s="317">
        <v>15.37</v>
      </c>
      <c r="F103" s="317">
        <v>0.45863660000000001</v>
      </c>
      <c r="G103" s="317">
        <v>0.50001570000000006</v>
      </c>
      <c r="H103" s="317">
        <v>0.57445750000000007</v>
      </c>
      <c r="I103" s="318">
        <v>3.73752439817827</v>
      </c>
      <c r="J103" s="318">
        <v>72.337493404008399</v>
      </c>
      <c r="K103" s="319">
        <v>32.018785658652895</v>
      </c>
      <c r="L103" s="319">
        <v>28.281261260474626</v>
      </c>
      <c r="M103" s="319">
        <f t="shared" si="1"/>
        <v>28.281261260474626</v>
      </c>
      <c r="N103" s="317">
        <v>4.3468298557349501</v>
      </c>
      <c r="O103" s="315" t="s">
        <v>1148</v>
      </c>
      <c r="P103" s="318">
        <v>195.5</v>
      </c>
      <c r="R103" s="320">
        <v>90.833333333333329</v>
      </c>
      <c r="S103" s="318">
        <v>40</v>
      </c>
      <c r="T103" s="318">
        <v>220.4</v>
      </c>
      <c r="U103" s="318">
        <v>844.72649999999999</v>
      </c>
      <c r="V103" s="315">
        <v>0.12</v>
      </c>
      <c r="W103" s="318">
        <v>14.3</v>
      </c>
      <c r="X103" s="315">
        <v>9</v>
      </c>
      <c r="Y103" s="315" t="s">
        <v>1149</v>
      </c>
      <c r="Z103" s="315">
        <v>0</v>
      </c>
      <c r="AA103" s="315" t="s">
        <v>1157</v>
      </c>
      <c r="AB103" s="315">
        <v>0</v>
      </c>
      <c r="AC103" s="315">
        <v>3207</v>
      </c>
      <c r="AD103" s="315">
        <v>3184</v>
      </c>
      <c r="AE103" s="315">
        <v>0.32</v>
      </c>
      <c r="AF103" s="315">
        <v>1.577</v>
      </c>
      <c r="AG103" s="315">
        <v>0.28000000000000003</v>
      </c>
      <c r="AH103" s="315">
        <v>964</v>
      </c>
    </row>
    <row r="104" spans="1:34">
      <c r="A104" s="315" t="s">
        <v>1145</v>
      </c>
      <c r="B104" s="315" t="s">
        <v>1066</v>
      </c>
      <c r="C104" s="316" t="s">
        <v>1359</v>
      </c>
      <c r="D104" s="316" t="s">
        <v>1359</v>
      </c>
      <c r="E104" s="317">
        <v>2.08</v>
      </c>
      <c r="F104" s="317">
        <v>0.63125770000000003</v>
      </c>
      <c r="G104" s="317">
        <v>0.68821100000000002</v>
      </c>
      <c r="H104" s="317">
        <v>1.4634388</v>
      </c>
      <c r="I104" s="318">
        <v>70.357634615384612</v>
      </c>
      <c r="J104" s="318">
        <v>58.450315317633702</v>
      </c>
      <c r="K104" s="319">
        <v>37.805266121029199</v>
      </c>
      <c r="L104" s="319">
        <v>-32.552368494355413</v>
      </c>
      <c r="M104" s="319">
        <f t="shared" si="1"/>
        <v>0</v>
      </c>
      <c r="N104" s="317">
        <v>0</v>
      </c>
      <c r="O104" s="315" t="s">
        <v>1148</v>
      </c>
      <c r="P104" s="318">
        <v>195.5</v>
      </c>
      <c r="R104" s="320">
        <v>90.833333333333329</v>
      </c>
      <c r="S104" s="318">
        <v>40</v>
      </c>
      <c r="T104" s="318">
        <v>198</v>
      </c>
      <c r="U104" s="318">
        <v>198</v>
      </c>
      <c r="V104" s="315">
        <v>0.13700000000000001</v>
      </c>
      <c r="W104" s="318">
        <v>83.7</v>
      </c>
      <c r="X104" s="315">
        <v>3</v>
      </c>
      <c r="Y104" s="315" t="s">
        <v>1149</v>
      </c>
      <c r="Z104" s="315">
        <v>0</v>
      </c>
      <c r="AA104" s="315" t="s">
        <v>1157</v>
      </c>
      <c r="AB104" s="315">
        <v>0</v>
      </c>
      <c r="AC104" s="315">
        <v>3207</v>
      </c>
      <c r="AD104" s="315">
        <v>3184</v>
      </c>
      <c r="AE104" s="315">
        <v>0.47</v>
      </c>
      <c r="AF104" s="315">
        <v>1.577</v>
      </c>
      <c r="AG104" s="315">
        <v>0.28000000000000003</v>
      </c>
      <c r="AH104" s="315">
        <v>1022</v>
      </c>
    </row>
    <row r="105" spans="1:34">
      <c r="A105" s="315" t="s">
        <v>1145</v>
      </c>
      <c r="B105" s="315" t="s">
        <v>1066</v>
      </c>
      <c r="C105" s="316" t="s">
        <v>1360</v>
      </c>
      <c r="D105" s="316" t="s">
        <v>1360</v>
      </c>
      <c r="E105" s="317">
        <v>34.380000000000003</v>
      </c>
      <c r="F105" s="317">
        <v>3.4003714999999999</v>
      </c>
      <c r="G105" s="317">
        <v>3.7071595999999998</v>
      </c>
      <c r="H105" s="317">
        <v>8.402784200000001</v>
      </c>
      <c r="I105" s="318">
        <v>24.44090808609657</v>
      </c>
      <c r="J105" s="318">
        <v>64.0132941013525</v>
      </c>
      <c r="K105" s="319">
        <v>35.847974838572696</v>
      </c>
      <c r="L105" s="319">
        <v>11.407066752476126</v>
      </c>
      <c r="M105" s="319">
        <f t="shared" si="1"/>
        <v>11.407066752476126</v>
      </c>
      <c r="N105" s="317">
        <v>3.9217495495012926</v>
      </c>
      <c r="O105" s="315" t="s">
        <v>1148</v>
      </c>
      <c r="P105" s="318">
        <v>195.7</v>
      </c>
      <c r="R105" s="320">
        <v>90.944444444444443</v>
      </c>
      <c r="S105" s="318">
        <v>40</v>
      </c>
      <c r="T105" s="318">
        <v>145</v>
      </c>
      <c r="U105" s="318">
        <v>170</v>
      </c>
      <c r="V105" s="315">
        <v>0.186</v>
      </c>
      <c r="W105" s="318">
        <v>29</v>
      </c>
      <c r="X105" s="315">
        <v>22</v>
      </c>
      <c r="Y105" s="315" t="s">
        <v>1149</v>
      </c>
      <c r="Z105" s="315">
        <v>0</v>
      </c>
      <c r="AA105" s="315" t="s">
        <v>1157</v>
      </c>
      <c r="AB105" s="316">
        <v>0</v>
      </c>
      <c r="AC105" s="316">
        <v>3208</v>
      </c>
      <c r="AD105" s="316">
        <v>3197</v>
      </c>
      <c r="AE105" s="316">
        <v>0.4</v>
      </c>
      <c r="AF105" s="316">
        <v>1.4950000000000001</v>
      </c>
      <c r="AG105" s="316">
        <v>0.28000000000000003</v>
      </c>
      <c r="AH105" s="316">
        <v>892</v>
      </c>
    </row>
    <row r="106" spans="1:34">
      <c r="A106" s="315" t="s">
        <v>1361</v>
      </c>
      <c r="B106" s="315" t="s">
        <v>1066</v>
      </c>
      <c r="C106" s="316" t="s">
        <v>1362</v>
      </c>
      <c r="D106" s="316" t="s">
        <v>1362</v>
      </c>
      <c r="E106" s="317">
        <v>1.44</v>
      </c>
      <c r="F106" s="317">
        <v>0</v>
      </c>
      <c r="G106" s="317">
        <v>0</v>
      </c>
      <c r="H106" s="317">
        <v>0.44097500000000001</v>
      </c>
      <c r="I106" s="318">
        <v>30.623263888888889</v>
      </c>
      <c r="J106" s="318">
        <v>54.616688762483498</v>
      </c>
      <c r="K106" s="319">
        <v>40.088461612424901</v>
      </c>
      <c r="L106" s="319">
        <v>9.4651977235360114</v>
      </c>
      <c r="M106" s="319">
        <f t="shared" si="1"/>
        <v>9.4651977235360114</v>
      </c>
      <c r="N106" s="317">
        <v>0.13629884721891858</v>
      </c>
      <c r="O106" s="315" t="s">
        <v>1168</v>
      </c>
      <c r="P106" s="318">
        <v>195.7</v>
      </c>
      <c r="R106" s="320">
        <v>90.944444444444443</v>
      </c>
      <c r="S106" s="318">
        <v>40</v>
      </c>
      <c r="T106" s="318">
        <v>132.4</v>
      </c>
      <c r="U106" s="318">
        <v>473</v>
      </c>
      <c r="V106" s="315">
        <v>0.19</v>
      </c>
      <c r="W106" s="318">
        <v>192.2</v>
      </c>
      <c r="X106" s="315">
        <v>0</v>
      </c>
      <c r="Y106" s="315" t="s">
        <v>1149</v>
      </c>
      <c r="Z106" s="315">
        <v>0</v>
      </c>
      <c r="AA106" s="315" t="s">
        <v>1157</v>
      </c>
      <c r="AB106" s="315">
        <v>0</v>
      </c>
      <c r="AC106" s="315">
        <v>3205</v>
      </c>
      <c r="AD106" s="315">
        <v>3142</v>
      </c>
      <c r="AE106" s="315">
        <v>0.56000000000000005</v>
      </c>
      <c r="AF106" s="315">
        <v>1.494</v>
      </c>
      <c r="AG106" s="315">
        <v>0.308</v>
      </c>
      <c r="AH106" s="315">
        <v>873</v>
      </c>
    </row>
    <row r="107" spans="1:34">
      <c r="A107" s="315" t="s">
        <v>1145</v>
      </c>
      <c r="B107" s="315" t="s">
        <v>1066</v>
      </c>
      <c r="C107" s="316" t="s">
        <v>1363</v>
      </c>
      <c r="D107" s="316" t="s">
        <v>1363</v>
      </c>
      <c r="E107" s="317">
        <v>3.14</v>
      </c>
      <c r="F107" s="317">
        <v>0</v>
      </c>
      <c r="G107" s="317">
        <v>0</v>
      </c>
      <c r="H107" s="317">
        <v>0.88194989999999995</v>
      </c>
      <c r="I107" s="318">
        <v>28.087576433121015</v>
      </c>
      <c r="J107" s="318">
        <v>58.350724872460802</v>
      </c>
      <c r="K107" s="319">
        <v>37.721932573629303</v>
      </c>
      <c r="L107" s="319">
        <v>9.634356140508288</v>
      </c>
      <c r="M107" s="319">
        <f t="shared" si="1"/>
        <v>9.634356140508288</v>
      </c>
      <c r="N107" s="317">
        <v>0.30251878281196026</v>
      </c>
      <c r="O107" s="315" t="s">
        <v>1168</v>
      </c>
      <c r="P107" s="318">
        <v>195.7</v>
      </c>
      <c r="R107" s="320">
        <v>90.944444444444443</v>
      </c>
      <c r="S107" s="318">
        <v>40</v>
      </c>
      <c r="T107" s="318">
        <v>462.7</v>
      </c>
      <c r="U107" s="318">
        <v>462.7</v>
      </c>
      <c r="V107" s="315">
        <v>0.2</v>
      </c>
      <c r="W107" s="318">
        <v>50</v>
      </c>
      <c r="X107" s="315">
        <v>2</v>
      </c>
      <c r="Y107" s="315" t="s">
        <v>1149</v>
      </c>
      <c r="Z107" s="315">
        <v>0</v>
      </c>
      <c r="AA107" s="315" t="s">
        <v>1157</v>
      </c>
      <c r="AB107" s="315">
        <v>0</v>
      </c>
      <c r="AC107" s="315">
        <v>3207</v>
      </c>
      <c r="AD107" s="315">
        <v>3199</v>
      </c>
      <c r="AE107" s="315">
        <v>0.5</v>
      </c>
      <c r="AF107" s="315">
        <v>1.496</v>
      </c>
      <c r="AG107" s="315">
        <v>0.28000000000000003</v>
      </c>
      <c r="AH107" s="315">
        <v>1022</v>
      </c>
    </row>
    <row r="108" spans="1:34">
      <c r="A108" s="315" t="s">
        <v>1145</v>
      </c>
      <c r="B108" s="315" t="s">
        <v>1066</v>
      </c>
      <c r="C108" s="316" t="s">
        <v>1364</v>
      </c>
      <c r="D108" s="316" t="s">
        <v>1364</v>
      </c>
      <c r="E108" s="317">
        <v>8.538316</v>
      </c>
      <c r="F108" s="317">
        <v>0</v>
      </c>
      <c r="G108" s="317">
        <v>0</v>
      </c>
      <c r="H108" s="317">
        <v>0</v>
      </c>
      <c r="I108" s="318">
        <v>0</v>
      </c>
      <c r="J108" s="318">
        <v>58.469245248139501</v>
      </c>
      <c r="K108" s="319">
        <v>39.107517896140095</v>
      </c>
      <c r="L108" s="319">
        <v>39.107517896140095</v>
      </c>
      <c r="M108" s="319">
        <f t="shared" si="1"/>
        <v>39.107517896140095</v>
      </c>
      <c r="N108" s="317">
        <v>3.3391234577289928</v>
      </c>
      <c r="O108" s="315" t="s">
        <v>1168</v>
      </c>
      <c r="P108" s="318">
        <v>196</v>
      </c>
      <c r="R108" s="320">
        <v>91.111111111111114</v>
      </c>
      <c r="S108" s="318">
        <v>38</v>
      </c>
      <c r="T108" s="318">
        <v>191.7</v>
      </c>
      <c r="U108" s="318">
        <v>1114</v>
      </c>
      <c r="V108" s="315">
        <v>0.18</v>
      </c>
      <c r="W108" s="318">
        <v>180.5</v>
      </c>
      <c r="X108" s="315">
        <v>5</v>
      </c>
      <c r="Y108" s="315" t="s">
        <v>1149</v>
      </c>
      <c r="Z108" s="315">
        <v>0</v>
      </c>
      <c r="AA108" s="315" t="s">
        <v>1157</v>
      </c>
      <c r="AB108" s="315">
        <v>0</v>
      </c>
      <c r="AC108" s="315">
        <v>4000</v>
      </c>
      <c r="AD108" s="315">
        <v>3193</v>
      </c>
      <c r="AE108" s="315">
        <v>0.49</v>
      </c>
      <c r="AF108" s="315">
        <v>1.494</v>
      </c>
      <c r="AG108" s="315">
        <v>0.3</v>
      </c>
      <c r="AH108" s="315">
        <v>872</v>
      </c>
    </row>
    <row r="109" spans="1:34">
      <c r="A109" s="315" t="s">
        <v>1145</v>
      </c>
      <c r="B109" s="315" t="s">
        <v>1066</v>
      </c>
      <c r="C109" s="316" t="s">
        <v>1365</v>
      </c>
      <c r="D109" s="316" t="s">
        <v>1365</v>
      </c>
      <c r="E109" s="317">
        <v>2.91</v>
      </c>
      <c r="F109" s="317">
        <v>2.4640000000000003E-4</v>
      </c>
      <c r="G109" s="317">
        <v>0.16907730000000001</v>
      </c>
      <c r="H109" s="317">
        <v>0.22436130000000001</v>
      </c>
      <c r="I109" s="318">
        <v>7.710010309278351</v>
      </c>
      <c r="J109" s="318">
        <v>78.482826653353897</v>
      </c>
      <c r="K109" s="319">
        <v>25.876899318572701</v>
      </c>
      <c r="L109" s="319">
        <v>18.166889009294351</v>
      </c>
      <c r="M109" s="319">
        <f t="shared" si="1"/>
        <v>18.166889009294351</v>
      </c>
      <c r="N109" s="317">
        <v>0.52865647017046569</v>
      </c>
      <c r="O109" s="315" t="s">
        <v>1148</v>
      </c>
      <c r="P109" s="318">
        <v>197</v>
      </c>
      <c r="R109" s="320">
        <v>91.666666666666671</v>
      </c>
      <c r="S109" s="318">
        <v>40</v>
      </c>
      <c r="T109" s="318">
        <v>27.9</v>
      </c>
      <c r="U109" s="318">
        <v>263</v>
      </c>
      <c r="V109" s="315">
        <v>0.21</v>
      </c>
      <c r="W109" s="318">
        <v>20.5</v>
      </c>
      <c r="X109" s="315">
        <v>0</v>
      </c>
      <c r="Y109" s="315" t="s">
        <v>1149</v>
      </c>
      <c r="Z109" s="315">
        <v>0</v>
      </c>
      <c r="AA109" s="315" t="s">
        <v>1157</v>
      </c>
      <c r="AB109" s="315">
        <v>0</v>
      </c>
      <c r="AC109" s="315">
        <v>3415</v>
      </c>
      <c r="AD109" s="315">
        <v>3377</v>
      </c>
      <c r="AE109" s="315">
        <v>0.28999999999999998</v>
      </c>
      <c r="AF109" s="315">
        <v>1.5249999999999999</v>
      </c>
      <c r="AG109" s="315">
        <v>0.28699999999999998</v>
      </c>
      <c r="AH109" s="315">
        <v>945</v>
      </c>
    </row>
    <row r="110" spans="1:34">
      <c r="A110" s="315" t="s">
        <v>1158</v>
      </c>
      <c r="B110" s="315" t="s">
        <v>1066</v>
      </c>
      <c r="C110" s="316" t="s">
        <v>1366</v>
      </c>
      <c r="D110" s="316" t="s">
        <v>1366</v>
      </c>
      <c r="E110" s="317">
        <v>12.08</v>
      </c>
      <c r="F110" s="317">
        <v>3.8675842</v>
      </c>
      <c r="G110" s="317">
        <v>4.2165251000000001</v>
      </c>
      <c r="H110" s="317">
        <v>6.8825517999999999</v>
      </c>
      <c r="I110" s="318">
        <v>56.974766556291392</v>
      </c>
      <c r="J110" s="318">
        <v>68.544561550064699</v>
      </c>
      <c r="K110" s="319">
        <v>35.128809720516401</v>
      </c>
      <c r="L110" s="319">
        <v>-21.845956835774992</v>
      </c>
      <c r="M110" s="319">
        <f t="shared" si="1"/>
        <v>0</v>
      </c>
      <c r="N110" s="317">
        <v>0</v>
      </c>
      <c r="O110" s="315" t="s">
        <v>1148</v>
      </c>
      <c r="P110" s="318">
        <v>197.9</v>
      </c>
      <c r="R110" s="320">
        <v>92.166666666666671</v>
      </c>
      <c r="S110" s="318">
        <v>40</v>
      </c>
      <c r="T110" s="318">
        <v>306.2</v>
      </c>
      <c r="U110" s="318">
        <v>209</v>
      </c>
      <c r="V110" s="315">
        <v>0.17</v>
      </c>
      <c r="W110" s="318">
        <v>98.3</v>
      </c>
      <c r="X110" s="315">
        <v>6</v>
      </c>
      <c r="Y110" s="315" t="s">
        <v>1149</v>
      </c>
      <c r="Z110" s="315">
        <v>0</v>
      </c>
      <c r="AA110" s="315" t="s">
        <v>1157</v>
      </c>
      <c r="AB110" s="316">
        <v>0</v>
      </c>
      <c r="AC110" s="316">
        <v>3279</v>
      </c>
      <c r="AD110" s="316">
        <v>3277</v>
      </c>
      <c r="AE110" s="316">
        <v>0.35</v>
      </c>
      <c r="AF110" s="316">
        <v>1.5089999999999999</v>
      </c>
      <c r="AG110" s="316">
        <v>0.27</v>
      </c>
      <c r="AH110" s="316">
        <v>914</v>
      </c>
    </row>
    <row r="111" spans="1:34">
      <c r="A111" s="315" t="s">
        <v>1158</v>
      </c>
      <c r="B111" s="315" t="s">
        <v>1066</v>
      </c>
      <c r="C111" s="316" t="s">
        <v>1367</v>
      </c>
      <c r="D111" s="316" t="s">
        <v>1367</v>
      </c>
      <c r="E111" s="317">
        <v>6.15</v>
      </c>
      <c r="F111" s="317">
        <v>8.16746E-2</v>
      </c>
      <c r="G111" s="317">
        <v>8.9043399999999995E-2</v>
      </c>
      <c r="H111" s="317">
        <v>9.2455099999999998E-2</v>
      </c>
      <c r="I111" s="318">
        <v>1.5033349593495935</v>
      </c>
      <c r="J111" s="318">
        <v>66.346795604877201</v>
      </c>
      <c r="K111" s="319">
        <v>35.910445119857897</v>
      </c>
      <c r="L111" s="319">
        <v>34.407110160508303</v>
      </c>
      <c r="M111" s="319">
        <f t="shared" si="1"/>
        <v>34.407110160508303</v>
      </c>
      <c r="N111" s="317">
        <v>2.1160372748712608</v>
      </c>
      <c r="O111" s="315" t="s">
        <v>1148</v>
      </c>
      <c r="P111" s="318">
        <v>198</v>
      </c>
      <c r="R111" s="320">
        <v>92.222222222222229</v>
      </c>
      <c r="S111" s="318">
        <v>40</v>
      </c>
      <c r="T111" s="318">
        <v>308.8</v>
      </c>
      <c r="U111" s="318">
        <v>700</v>
      </c>
      <c r="V111" s="315">
        <v>0.13300000000000001</v>
      </c>
      <c r="W111" s="318">
        <v>30.34</v>
      </c>
      <c r="X111" s="315">
        <v>1</v>
      </c>
      <c r="Y111" s="315" t="s">
        <v>1149</v>
      </c>
      <c r="Z111" s="315">
        <v>0</v>
      </c>
      <c r="AA111" s="315" t="s">
        <v>1157</v>
      </c>
      <c r="AB111" s="316">
        <v>0</v>
      </c>
      <c r="AC111" s="316">
        <v>2773</v>
      </c>
      <c r="AD111" s="316">
        <v>2721</v>
      </c>
      <c r="AE111" s="316">
        <v>0.4</v>
      </c>
      <c r="AF111" s="316">
        <v>1.407</v>
      </c>
      <c r="AG111" s="316">
        <v>0.35299999999999998</v>
      </c>
      <c r="AH111" s="316">
        <v>692</v>
      </c>
    </row>
    <row r="112" spans="1:34">
      <c r="A112" s="315" t="s">
        <v>1145</v>
      </c>
      <c r="B112" s="315" t="s">
        <v>1066</v>
      </c>
      <c r="C112" s="316" t="s">
        <v>1368</v>
      </c>
      <c r="D112" s="316" t="s">
        <v>1368</v>
      </c>
      <c r="E112" s="317">
        <v>0.43795899999999999</v>
      </c>
      <c r="F112" s="317">
        <v>0</v>
      </c>
      <c r="G112" s="317">
        <v>0</v>
      </c>
      <c r="H112" s="317">
        <v>0</v>
      </c>
      <c r="I112" s="318">
        <v>0</v>
      </c>
      <c r="J112" s="318">
        <v>80.422807111535604</v>
      </c>
      <c r="K112" s="319">
        <v>27.032886877700602</v>
      </c>
      <c r="L112" s="319">
        <v>27.032886877700602</v>
      </c>
      <c r="M112" s="319">
        <f t="shared" si="1"/>
        <v>27.032886877700602</v>
      </c>
      <c r="N112" s="317">
        <v>0.11839296104070877</v>
      </c>
      <c r="O112" s="315" t="s">
        <v>1168</v>
      </c>
      <c r="P112" s="318">
        <v>198</v>
      </c>
      <c r="R112" s="320">
        <v>92.222222222222229</v>
      </c>
      <c r="S112" s="318">
        <v>38</v>
      </c>
      <c r="T112" s="318">
        <v>27.768999999999998</v>
      </c>
      <c r="U112" s="318">
        <v>312</v>
      </c>
      <c r="V112" s="315">
        <v>0.17499999999999999</v>
      </c>
      <c r="W112" s="318">
        <v>70.900000000000006</v>
      </c>
      <c r="X112" s="315">
        <v>0</v>
      </c>
      <c r="Y112" s="315" t="s">
        <v>1149</v>
      </c>
      <c r="Z112" s="315">
        <v>0</v>
      </c>
      <c r="AA112" s="315" t="s">
        <v>1157</v>
      </c>
      <c r="AB112" s="315">
        <v>0</v>
      </c>
      <c r="AC112" s="315">
        <v>3299</v>
      </c>
      <c r="AD112" s="315">
        <v>3293</v>
      </c>
      <c r="AE112" s="315">
        <v>0.26500000000000001</v>
      </c>
      <c r="AF112" s="315">
        <v>1.5149999999999999</v>
      </c>
      <c r="AG112" s="315">
        <v>0.28999999999999998</v>
      </c>
      <c r="AH112" s="315">
        <v>906</v>
      </c>
    </row>
    <row r="113" spans="1:34">
      <c r="A113" s="315" t="s">
        <v>1369</v>
      </c>
      <c r="B113" s="315" t="s">
        <v>1066</v>
      </c>
      <c r="C113" s="316" t="s">
        <v>1370</v>
      </c>
      <c r="D113" s="316" t="s">
        <v>1370</v>
      </c>
      <c r="E113" s="317">
        <v>0.32</v>
      </c>
      <c r="F113" s="317">
        <v>0</v>
      </c>
      <c r="G113" s="317">
        <v>0</v>
      </c>
      <c r="H113" s="317">
        <v>0</v>
      </c>
      <c r="I113" s="318">
        <v>0</v>
      </c>
      <c r="J113" s="318">
        <v>80.422807111535604</v>
      </c>
      <c r="K113" s="319">
        <v>24.747441988520599</v>
      </c>
      <c r="L113" s="319">
        <v>24.747441988520599</v>
      </c>
      <c r="M113" s="319">
        <f t="shared" si="1"/>
        <v>24.747441988520599</v>
      </c>
      <c r="N113" s="317">
        <v>7.9191814363265917E-2</v>
      </c>
      <c r="O113" s="315" t="s">
        <v>1168</v>
      </c>
      <c r="P113" s="318">
        <v>198</v>
      </c>
      <c r="R113" s="320">
        <v>92.222222222222229</v>
      </c>
      <c r="S113" s="318">
        <v>38</v>
      </c>
      <c r="T113" s="318">
        <v>27.8</v>
      </c>
      <c r="U113" s="318">
        <v>312</v>
      </c>
      <c r="V113" s="315">
        <v>0.17499999999999999</v>
      </c>
      <c r="W113" s="318">
        <v>70.87</v>
      </c>
      <c r="X113" s="315">
        <v>0</v>
      </c>
      <c r="Y113" s="315" t="s">
        <v>1149</v>
      </c>
      <c r="Z113" s="315">
        <v>0</v>
      </c>
      <c r="AA113" s="315" t="s">
        <v>1157</v>
      </c>
      <c r="AB113" s="315">
        <v>0</v>
      </c>
      <c r="AC113" s="315">
        <v>3299</v>
      </c>
      <c r="AD113" s="315">
        <v>3293</v>
      </c>
      <c r="AE113" s="315">
        <v>0.26500000000000001</v>
      </c>
      <c r="AF113" s="315">
        <v>1.5149999999999999</v>
      </c>
      <c r="AG113" s="315">
        <v>0.28999999999999998</v>
      </c>
      <c r="AH113" s="315">
        <v>906</v>
      </c>
    </row>
    <row r="114" spans="1:34">
      <c r="A114" s="315" t="s">
        <v>1145</v>
      </c>
      <c r="B114" s="315" t="s">
        <v>1066</v>
      </c>
      <c r="C114" s="316" t="s">
        <v>1371</v>
      </c>
      <c r="D114" s="316" t="s">
        <v>1371</v>
      </c>
      <c r="E114" s="317">
        <v>0.19</v>
      </c>
      <c r="F114" s="317">
        <v>0</v>
      </c>
      <c r="G114" s="317">
        <v>0</v>
      </c>
      <c r="H114" s="317">
        <v>0</v>
      </c>
      <c r="I114" s="318">
        <v>0</v>
      </c>
      <c r="J114" s="318">
        <v>0</v>
      </c>
      <c r="K114" s="319">
        <v>0</v>
      </c>
      <c r="L114" s="319">
        <v>0</v>
      </c>
      <c r="M114" s="319">
        <f t="shared" si="1"/>
        <v>0</v>
      </c>
      <c r="N114" s="317">
        <v>0</v>
      </c>
      <c r="O114" s="315" t="s">
        <v>1168</v>
      </c>
      <c r="P114" s="318">
        <v>198</v>
      </c>
      <c r="R114" s="320">
        <v>92.222222222222229</v>
      </c>
      <c r="S114" s="318">
        <v>38</v>
      </c>
      <c r="T114" s="318">
        <v>80.400000000000006</v>
      </c>
      <c r="U114" s="318">
        <v>312</v>
      </c>
      <c r="V114" s="315">
        <v>0.16</v>
      </c>
      <c r="W114" s="318">
        <v>52.8</v>
      </c>
      <c r="X114" s="315">
        <v>0</v>
      </c>
      <c r="Y114" s="315" t="s">
        <v>1149</v>
      </c>
      <c r="Z114" s="315">
        <v>0</v>
      </c>
      <c r="AA114" s="315" t="s">
        <v>1157</v>
      </c>
      <c r="AB114" s="315">
        <v>0</v>
      </c>
      <c r="AC114" s="315">
        <v>3299</v>
      </c>
      <c r="AD114" s="315">
        <v>3293</v>
      </c>
      <c r="AE114" s="315">
        <v>0.2</v>
      </c>
      <c r="AF114" s="315">
        <v>1.5149999999999999</v>
      </c>
      <c r="AG114" s="315">
        <v>0.28999999999999998</v>
      </c>
      <c r="AH114" s="315">
        <v>906</v>
      </c>
    </row>
    <row r="115" spans="1:34">
      <c r="A115" s="315" t="s">
        <v>1145</v>
      </c>
      <c r="B115" s="315" t="s">
        <v>1066</v>
      </c>
      <c r="C115" s="316" t="s">
        <v>1372</v>
      </c>
      <c r="D115" s="316" t="s">
        <v>1372</v>
      </c>
      <c r="E115" s="317">
        <v>0.681647</v>
      </c>
      <c r="F115" s="317">
        <v>0.55233869999999996</v>
      </c>
      <c r="G115" s="317">
        <v>0.60217179999999992</v>
      </c>
      <c r="H115" s="317">
        <v>0.62524369999999996</v>
      </c>
      <c r="I115" s="318">
        <v>91.725438533434456</v>
      </c>
      <c r="J115" s="318">
        <v>59.795793824917197</v>
      </c>
      <c r="K115" s="319">
        <v>38.981576523927203</v>
      </c>
      <c r="L115" s="319">
        <v>-52.743862009507254</v>
      </c>
      <c r="M115" s="319">
        <f t="shared" si="1"/>
        <v>0</v>
      </c>
      <c r="N115" s="317">
        <v>0</v>
      </c>
      <c r="O115" s="315" t="s">
        <v>1148</v>
      </c>
      <c r="P115" s="318">
        <v>198</v>
      </c>
      <c r="R115" s="320">
        <v>92.222222222222229</v>
      </c>
      <c r="S115" s="318">
        <v>38</v>
      </c>
      <c r="T115" s="318">
        <v>536</v>
      </c>
      <c r="U115" s="318">
        <v>536</v>
      </c>
      <c r="V115" s="315">
        <v>0.2</v>
      </c>
      <c r="W115" s="318">
        <v>246.3</v>
      </c>
      <c r="X115" s="315">
        <v>2</v>
      </c>
      <c r="Y115" s="315" t="s">
        <v>1149</v>
      </c>
      <c r="Z115" s="315">
        <v>0</v>
      </c>
      <c r="AA115" s="315" t="s">
        <v>1157</v>
      </c>
      <c r="AB115" s="315">
        <v>0</v>
      </c>
      <c r="AC115" s="315">
        <v>3299</v>
      </c>
      <c r="AD115" s="315">
        <v>3293</v>
      </c>
      <c r="AE115" s="315">
        <v>0.5</v>
      </c>
      <c r="AF115" s="315">
        <v>1.5149999999999999</v>
      </c>
      <c r="AG115" s="315">
        <v>0.28999999999999998</v>
      </c>
      <c r="AH115" s="315">
        <v>906</v>
      </c>
    </row>
    <row r="116" spans="1:34">
      <c r="A116" s="315" t="s">
        <v>1145</v>
      </c>
      <c r="B116" s="315" t="s">
        <v>1066</v>
      </c>
      <c r="C116" s="316" t="s">
        <v>1373</v>
      </c>
      <c r="D116" s="316" t="s">
        <v>1373</v>
      </c>
      <c r="E116" s="317">
        <v>4.66</v>
      </c>
      <c r="F116" s="317">
        <v>0</v>
      </c>
      <c r="G116" s="317">
        <v>0</v>
      </c>
      <c r="H116" s="317">
        <v>0</v>
      </c>
      <c r="I116" s="318">
        <v>0</v>
      </c>
      <c r="J116" s="318">
        <v>77.0490979729922</v>
      </c>
      <c r="K116" s="319">
        <v>29.582118246085798</v>
      </c>
      <c r="L116" s="319">
        <v>29.582118246085798</v>
      </c>
      <c r="M116" s="319">
        <f t="shared" si="1"/>
        <v>29.582118246085798</v>
      </c>
      <c r="N116" s="317">
        <v>1.3785267102675982</v>
      </c>
      <c r="O116" s="315" t="s">
        <v>1168</v>
      </c>
      <c r="P116" s="318">
        <v>198</v>
      </c>
      <c r="R116" s="320">
        <v>92.222222222222229</v>
      </c>
      <c r="S116" s="318">
        <v>38</v>
      </c>
      <c r="T116" s="318">
        <v>3080</v>
      </c>
      <c r="U116" s="318">
        <v>3080</v>
      </c>
      <c r="V116" s="315">
        <v>0.2</v>
      </c>
      <c r="W116" s="318">
        <v>246.3</v>
      </c>
      <c r="X116" s="315">
        <v>3</v>
      </c>
      <c r="Y116" s="315" t="s">
        <v>1149</v>
      </c>
      <c r="Z116" s="315">
        <v>0</v>
      </c>
      <c r="AA116" s="315" t="s">
        <v>1157</v>
      </c>
      <c r="AB116" s="315">
        <v>0</v>
      </c>
      <c r="AC116" s="315">
        <v>3299</v>
      </c>
      <c r="AD116" s="315">
        <v>3293</v>
      </c>
      <c r="AE116" s="315">
        <v>0.5</v>
      </c>
      <c r="AF116" s="315">
        <v>1.5149999999999999</v>
      </c>
      <c r="AG116" s="315">
        <v>0.28000000000000003</v>
      </c>
      <c r="AH116" s="315">
        <v>900</v>
      </c>
    </row>
    <row r="117" spans="1:34">
      <c r="A117" s="315" t="s">
        <v>1145</v>
      </c>
      <c r="B117" s="315" t="s">
        <v>1066</v>
      </c>
      <c r="C117" s="316" t="s">
        <v>1372</v>
      </c>
      <c r="D117" s="316" t="s">
        <v>1372</v>
      </c>
      <c r="E117" s="317">
        <v>0.681647</v>
      </c>
      <c r="F117" s="317">
        <v>0.55233869999999996</v>
      </c>
      <c r="G117" s="317">
        <v>0.60217179999999992</v>
      </c>
      <c r="H117" s="317">
        <v>0.62524369999999996</v>
      </c>
      <c r="I117" s="318">
        <v>91.725438533434456</v>
      </c>
      <c r="J117" s="318">
        <v>56.633509950538503</v>
      </c>
      <c r="K117" s="319">
        <v>39.419582860620999</v>
      </c>
      <c r="L117" s="319">
        <v>-52.305855672813458</v>
      </c>
      <c r="M117" s="319">
        <f t="shared" si="1"/>
        <v>0</v>
      </c>
      <c r="N117" s="317">
        <v>0</v>
      </c>
      <c r="O117" s="315" t="s">
        <v>1148</v>
      </c>
      <c r="P117" s="318">
        <v>198</v>
      </c>
      <c r="R117" s="320">
        <v>92.222222222222229</v>
      </c>
      <c r="S117" s="318">
        <v>38</v>
      </c>
      <c r="T117" s="318">
        <v>536</v>
      </c>
      <c r="U117" s="318">
        <v>536</v>
      </c>
      <c r="V117" s="315">
        <v>0.2</v>
      </c>
      <c r="W117" s="318">
        <v>246.3</v>
      </c>
      <c r="X117" s="315">
        <v>2</v>
      </c>
      <c r="Y117" s="315" t="s">
        <v>1149</v>
      </c>
      <c r="Z117" s="315">
        <v>0</v>
      </c>
      <c r="AA117" s="315" t="s">
        <v>1157</v>
      </c>
      <c r="AB117" s="315">
        <v>0</v>
      </c>
      <c r="AC117" s="315">
        <v>3299</v>
      </c>
      <c r="AD117" s="315">
        <v>3293</v>
      </c>
      <c r="AE117" s="315">
        <v>0.5</v>
      </c>
      <c r="AF117" s="315">
        <v>1.5149999999999999</v>
      </c>
      <c r="AG117" s="315">
        <v>0.28999999999999998</v>
      </c>
      <c r="AH117" s="315">
        <v>906</v>
      </c>
    </row>
    <row r="118" spans="1:34">
      <c r="A118" s="315" t="s">
        <v>1145</v>
      </c>
      <c r="B118" s="315" t="s">
        <v>1066</v>
      </c>
      <c r="C118" s="316" t="s">
        <v>1374</v>
      </c>
      <c r="D118" s="316" t="s">
        <v>1374</v>
      </c>
      <c r="E118" s="317">
        <v>0.73098200000000002</v>
      </c>
      <c r="F118" s="317">
        <v>0</v>
      </c>
      <c r="G118" s="317">
        <v>0</v>
      </c>
      <c r="H118" s="317">
        <v>0</v>
      </c>
      <c r="I118" s="318">
        <v>0</v>
      </c>
      <c r="J118" s="318">
        <v>59.795793824917197</v>
      </c>
      <c r="K118" s="319">
        <v>38.981576523927203</v>
      </c>
      <c r="L118" s="319">
        <v>38.981576523927203</v>
      </c>
      <c r="M118" s="319">
        <f t="shared" si="1"/>
        <v>38.981576523927203</v>
      </c>
      <c r="N118" s="317">
        <v>0.28494830770613355</v>
      </c>
      <c r="O118" s="315" t="s">
        <v>1168</v>
      </c>
      <c r="P118" s="318">
        <v>198</v>
      </c>
      <c r="R118" s="320">
        <v>92.222222222222229</v>
      </c>
      <c r="S118" s="318">
        <v>38</v>
      </c>
      <c r="T118" s="318">
        <v>202.2</v>
      </c>
      <c r="U118" s="318">
        <v>536</v>
      </c>
      <c r="V118" s="315">
        <v>0.20100000000000001</v>
      </c>
      <c r="W118" s="318">
        <v>204.6</v>
      </c>
      <c r="X118" s="315">
        <v>2</v>
      </c>
      <c r="Y118" s="315" t="s">
        <v>1149</v>
      </c>
      <c r="Z118" s="315">
        <v>0</v>
      </c>
      <c r="AA118" s="315" t="s">
        <v>1157</v>
      </c>
      <c r="AB118" s="315">
        <v>0</v>
      </c>
      <c r="AC118" s="315">
        <v>3299</v>
      </c>
      <c r="AD118" s="315">
        <v>3293</v>
      </c>
      <c r="AE118" s="315">
        <v>0.45</v>
      </c>
      <c r="AF118" s="315">
        <v>1.5149999999999999</v>
      </c>
      <c r="AG118" s="315">
        <v>0.28999999999999998</v>
      </c>
      <c r="AH118" s="315">
        <v>906</v>
      </c>
    </row>
    <row r="119" spans="1:34">
      <c r="A119" s="315" t="s">
        <v>1145</v>
      </c>
      <c r="B119" s="315" t="s">
        <v>1066</v>
      </c>
      <c r="C119" s="316" t="s">
        <v>1375</v>
      </c>
      <c r="D119" s="316" t="s">
        <v>1375</v>
      </c>
      <c r="E119" s="317">
        <v>2.69</v>
      </c>
      <c r="F119" s="317">
        <v>0</v>
      </c>
      <c r="G119" s="317">
        <v>0</v>
      </c>
      <c r="H119" s="317">
        <v>0</v>
      </c>
      <c r="I119" s="318">
        <v>0</v>
      </c>
      <c r="J119" s="318">
        <v>77.638466961971105</v>
      </c>
      <c r="K119" s="319">
        <v>26.599897541285699</v>
      </c>
      <c r="L119" s="319">
        <v>26.599897541285699</v>
      </c>
      <c r="M119" s="319">
        <f t="shared" si="1"/>
        <v>26.599897541285699</v>
      </c>
      <c r="N119" s="317">
        <v>0.71553724386058526</v>
      </c>
      <c r="O119" s="315" t="s">
        <v>1168</v>
      </c>
      <c r="P119" s="318">
        <v>200</v>
      </c>
      <c r="R119" s="320">
        <v>93.333333333333329</v>
      </c>
      <c r="S119" s="318">
        <v>40</v>
      </c>
      <c r="T119" s="318">
        <v>142.30000000000001</v>
      </c>
      <c r="U119" s="318">
        <v>363.5</v>
      </c>
      <c r="V119" s="315">
        <v>0.10299999999999999</v>
      </c>
      <c r="W119" s="318">
        <v>3.27</v>
      </c>
      <c r="X119" s="315">
        <v>1</v>
      </c>
      <c r="Y119" s="315" t="s">
        <v>1149</v>
      </c>
      <c r="Z119" s="315">
        <v>0</v>
      </c>
      <c r="AA119" s="315" t="s">
        <v>1157</v>
      </c>
      <c r="AB119" s="316">
        <v>0</v>
      </c>
      <c r="AC119" s="316">
        <v>2692</v>
      </c>
      <c r="AD119" s="316">
        <v>2640</v>
      </c>
      <c r="AE119" s="316">
        <v>0.3</v>
      </c>
      <c r="AF119" s="316">
        <v>1.3959999999999999</v>
      </c>
      <c r="AG119" s="316">
        <v>0.36</v>
      </c>
      <c r="AH119" s="316">
        <v>668</v>
      </c>
    </row>
    <row r="120" spans="1:34">
      <c r="A120" s="315" t="s">
        <v>1145</v>
      </c>
      <c r="B120" s="315" t="s">
        <v>1066</v>
      </c>
      <c r="C120" s="316" t="s">
        <v>1376</v>
      </c>
      <c r="D120" s="316" t="s">
        <v>1376</v>
      </c>
      <c r="E120" s="317">
        <v>11.17</v>
      </c>
      <c r="F120" s="317">
        <v>0</v>
      </c>
      <c r="G120" s="317">
        <v>0</v>
      </c>
      <c r="H120" s="317">
        <v>2.5044727</v>
      </c>
      <c r="I120" s="318">
        <v>22.421420769919429</v>
      </c>
      <c r="J120" s="318">
        <v>79.971432578925402</v>
      </c>
      <c r="K120" s="319">
        <v>27.766121543505502</v>
      </c>
      <c r="L120" s="319">
        <v>5.344700773586073</v>
      </c>
      <c r="M120" s="319">
        <f t="shared" si="1"/>
        <v>5.344700773586073</v>
      </c>
      <c r="N120" s="317">
        <v>0.5970030764095644</v>
      </c>
      <c r="O120" s="315" t="s">
        <v>1168</v>
      </c>
      <c r="P120" s="318">
        <v>200.6</v>
      </c>
      <c r="R120" s="320">
        <v>93.666666666666671</v>
      </c>
      <c r="S120" s="318">
        <v>40</v>
      </c>
      <c r="T120" s="318">
        <v>250.3</v>
      </c>
      <c r="U120" s="318">
        <v>25.5</v>
      </c>
      <c r="V120" s="315">
        <v>0.16</v>
      </c>
      <c r="W120" s="318">
        <v>44.8</v>
      </c>
      <c r="X120" s="315">
        <v>6</v>
      </c>
      <c r="Y120" s="315" t="s">
        <v>1149</v>
      </c>
      <c r="Z120" s="315">
        <v>0</v>
      </c>
      <c r="AA120" s="315" t="s">
        <v>1157</v>
      </c>
      <c r="AB120" s="316">
        <v>0</v>
      </c>
      <c r="AC120" s="316">
        <v>3377</v>
      </c>
      <c r="AD120" s="316">
        <v>3356</v>
      </c>
      <c r="AE120" s="316">
        <v>0.26</v>
      </c>
      <c r="AF120" s="316">
        <v>1.5209999999999999</v>
      </c>
      <c r="AG120" s="316">
        <v>0.27</v>
      </c>
      <c r="AH120" s="316">
        <v>934</v>
      </c>
    </row>
    <row r="121" spans="1:34">
      <c r="A121" s="315" t="s">
        <v>1145</v>
      </c>
      <c r="B121" s="315" t="s">
        <v>1066</v>
      </c>
      <c r="C121" s="316" t="s">
        <v>1377</v>
      </c>
      <c r="D121" s="316" t="s">
        <v>1377</v>
      </c>
      <c r="E121" s="317">
        <v>7.6</v>
      </c>
      <c r="F121" s="317">
        <v>8.1129715999999998</v>
      </c>
      <c r="G121" s="317">
        <v>8.8449395000000006</v>
      </c>
      <c r="H121" s="317">
        <v>11.934891500000001</v>
      </c>
      <c r="I121" s="318">
        <v>157.03804605263161</v>
      </c>
      <c r="J121" s="318">
        <v>68.707906698467994</v>
      </c>
      <c r="K121" s="319">
        <v>33.946488412768602</v>
      </c>
      <c r="L121" s="319">
        <v>-123.09155763986301</v>
      </c>
      <c r="M121" s="319">
        <f t="shared" si="1"/>
        <v>0</v>
      </c>
      <c r="N121" s="317">
        <v>0</v>
      </c>
      <c r="O121" s="315" t="s">
        <v>1148</v>
      </c>
      <c r="P121" s="318">
        <v>201</v>
      </c>
      <c r="R121" s="320">
        <v>93.888888888888886</v>
      </c>
      <c r="S121" s="318">
        <v>40</v>
      </c>
      <c r="T121" s="318">
        <v>415.4</v>
      </c>
      <c r="U121" s="318">
        <v>363</v>
      </c>
      <c r="V121" s="315">
        <v>0.18</v>
      </c>
      <c r="W121" s="318">
        <v>37.32</v>
      </c>
      <c r="X121" s="315">
        <v>4</v>
      </c>
      <c r="Y121" s="315" t="s">
        <v>1149</v>
      </c>
      <c r="Z121" s="315">
        <v>0</v>
      </c>
      <c r="AA121" s="315" t="s">
        <v>1157</v>
      </c>
      <c r="AB121" s="316">
        <v>0</v>
      </c>
      <c r="AC121" s="316">
        <v>3386</v>
      </c>
      <c r="AD121" s="316">
        <v>3373</v>
      </c>
      <c r="AE121" s="316">
        <v>0.37</v>
      </c>
      <c r="AF121" s="316">
        <v>1.5772870662460567</v>
      </c>
      <c r="AG121" s="316">
        <v>0.28000000000000003</v>
      </c>
      <c r="AH121" s="316">
        <v>1022</v>
      </c>
    </row>
    <row r="122" spans="1:34">
      <c r="A122" s="315" t="s">
        <v>1145</v>
      </c>
      <c r="B122" s="315" t="s">
        <v>1066</v>
      </c>
      <c r="C122" s="316" t="s">
        <v>1378</v>
      </c>
      <c r="D122" s="316" t="s">
        <v>1378</v>
      </c>
      <c r="E122" s="317">
        <v>21.84</v>
      </c>
      <c r="F122" s="317">
        <v>2.5484084</v>
      </c>
      <c r="G122" s="317">
        <v>2.7783307000000002</v>
      </c>
      <c r="H122" s="317">
        <v>2.8847810000000003</v>
      </c>
      <c r="I122" s="318">
        <v>13.208704212454215</v>
      </c>
      <c r="J122" s="318">
        <v>76.076721451928407</v>
      </c>
      <c r="K122" s="319">
        <v>30.144130001281301</v>
      </c>
      <c r="L122" s="319">
        <v>16.935425788827086</v>
      </c>
      <c r="M122" s="319">
        <f t="shared" si="1"/>
        <v>16.935425788827086</v>
      </c>
      <c r="N122" s="317">
        <v>3.6986969922798356</v>
      </c>
      <c r="O122" s="315" t="s">
        <v>1148</v>
      </c>
      <c r="P122" s="318">
        <v>201</v>
      </c>
      <c r="R122" s="320">
        <v>93.888888888888886</v>
      </c>
      <c r="S122" s="318">
        <v>40</v>
      </c>
      <c r="T122" s="318">
        <v>410.8</v>
      </c>
      <c r="U122" s="318">
        <v>2364.873</v>
      </c>
      <c r="V122" s="315">
        <v>0.16</v>
      </c>
      <c r="W122" s="318">
        <v>46.2</v>
      </c>
      <c r="X122" s="315">
        <v>26</v>
      </c>
      <c r="Y122" s="315" t="s">
        <v>1149</v>
      </c>
      <c r="Z122" s="315">
        <v>0</v>
      </c>
      <c r="AA122" s="315" t="s">
        <v>1157</v>
      </c>
      <c r="AB122" s="316">
        <v>0</v>
      </c>
      <c r="AC122" s="316">
        <v>3386</v>
      </c>
      <c r="AD122" s="316">
        <v>3373</v>
      </c>
      <c r="AE122" s="316">
        <v>0.29199999999999998</v>
      </c>
      <c r="AF122" s="316">
        <v>1.577</v>
      </c>
      <c r="AG122" s="316">
        <v>0.28000000000000003</v>
      </c>
      <c r="AH122" s="316">
        <v>1022</v>
      </c>
    </row>
    <row r="123" spans="1:34">
      <c r="A123" s="315" t="s">
        <v>1145</v>
      </c>
      <c r="B123" s="315" t="s">
        <v>1066</v>
      </c>
      <c r="C123" s="316" t="s">
        <v>1379</v>
      </c>
      <c r="D123" s="316" t="s">
        <v>1379</v>
      </c>
      <c r="E123" s="317">
        <v>12.4</v>
      </c>
      <c r="F123" s="317">
        <v>0.71348860000000003</v>
      </c>
      <c r="G123" s="317">
        <v>0.77786090000000008</v>
      </c>
      <c r="H123" s="317">
        <v>2.0234341000000002</v>
      </c>
      <c r="I123" s="318">
        <v>16.318016935483872</v>
      </c>
      <c r="J123" s="318">
        <v>69.619714361622798</v>
      </c>
      <c r="K123" s="319">
        <v>34.652504723851699</v>
      </c>
      <c r="L123" s="319">
        <v>18.334487788367827</v>
      </c>
      <c r="M123" s="319">
        <f t="shared" si="1"/>
        <v>18.334487788367827</v>
      </c>
      <c r="N123" s="317">
        <v>2.2734764857576106</v>
      </c>
      <c r="O123" s="315" t="s">
        <v>1148</v>
      </c>
      <c r="P123" s="318">
        <v>201</v>
      </c>
      <c r="R123" s="320">
        <v>93.888888888888886</v>
      </c>
      <c r="S123" s="318">
        <v>40</v>
      </c>
      <c r="T123" s="318">
        <v>201.4</v>
      </c>
      <c r="U123" s="318">
        <v>441</v>
      </c>
      <c r="V123" s="315">
        <v>0.157</v>
      </c>
      <c r="W123" s="318">
        <v>97.7</v>
      </c>
      <c r="X123" s="315">
        <v>20</v>
      </c>
      <c r="Y123" s="315" t="s">
        <v>1149</v>
      </c>
      <c r="Z123" s="315">
        <v>0</v>
      </c>
      <c r="AA123" s="315" t="s">
        <v>1190</v>
      </c>
      <c r="AB123" s="316">
        <v>0</v>
      </c>
      <c r="AC123" s="316">
        <v>3386</v>
      </c>
      <c r="AD123" s="316">
        <v>3373</v>
      </c>
      <c r="AE123" s="316">
        <v>0.34</v>
      </c>
      <c r="AF123" s="316">
        <v>1.577</v>
      </c>
      <c r="AG123" s="316">
        <v>0.28000000000000003</v>
      </c>
      <c r="AH123" s="316">
        <v>1022</v>
      </c>
    </row>
    <row r="124" spans="1:34">
      <c r="A124" s="315" t="s">
        <v>1145</v>
      </c>
      <c r="B124" s="315" t="s">
        <v>1066</v>
      </c>
      <c r="C124" s="316" t="s">
        <v>1380</v>
      </c>
      <c r="D124" s="316" t="s">
        <v>1380</v>
      </c>
      <c r="E124" s="317">
        <v>10.65</v>
      </c>
      <c r="F124" s="317">
        <v>0.43635019999999997</v>
      </c>
      <c r="G124" s="317">
        <v>0.49004750000000002</v>
      </c>
      <c r="H124" s="317">
        <v>1.4304175000000001</v>
      </c>
      <c r="I124" s="318">
        <v>13.431150234741784</v>
      </c>
      <c r="J124" s="318">
        <v>71.742443941282303</v>
      </c>
      <c r="K124" s="319">
        <v>33.935433915519297</v>
      </c>
      <c r="L124" s="319">
        <v>20.504283680777512</v>
      </c>
      <c r="M124" s="319">
        <f t="shared" si="1"/>
        <v>20.504283680777512</v>
      </c>
      <c r="N124" s="317">
        <v>2.183706212002805</v>
      </c>
      <c r="O124" s="315" t="s">
        <v>1148</v>
      </c>
      <c r="P124" s="318">
        <v>204</v>
      </c>
      <c r="R124" s="320">
        <v>95.555555555555557</v>
      </c>
      <c r="S124" s="318">
        <v>33</v>
      </c>
      <c r="T124" s="318">
        <v>493.7</v>
      </c>
      <c r="U124" s="318">
        <v>711</v>
      </c>
      <c r="V124" s="315">
        <v>0.16</v>
      </c>
      <c r="W124" s="318">
        <v>108.2</v>
      </c>
      <c r="X124" s="315">
        <v>2</v>
      </c>
      <c r="Y124" s="315" t="s">
        <v>1149</v>
      </c>
      <c r="Z124" s="315">
        <v>0</v>
      </c>
      <c r="AA124" s="315" t="s">
        <v>1157</v>
      </c>
      <c r="AB124" s="315">
        <v>0</v>
      </c>
      <c r="AC124" s="315">
        <v>3485</v>
      </c>
      <c r="AD124" s="315">
        <v>3477</v>
      </c>
      <c r="AE124" s="315">
        <v>0.34</v>
      </c>
      <c r="AF124" s="315">
        <v>1.5772870662460567</v>
      </c>
      <c r="AG124" s="315">
        <v>0.28000000000000003</v>
      </c>
      <c r="AH124" s="315">
        <v>1022</v>
      </c>
    </row>
    <row r="125" spans="1:34">
      <c r="A125" s="315" t="s">
        <v>1145</v>
      </c>
      <c r="B125" s="315" t="s">
        <v>1066</v>
      </c>
      <c r="C125" s="316" t="s">
        <v>1381</v>
      </c>
      <c r="D125" s="316" t="s">
        <v>1381</v>
      </c>
      <c r="E125" s="317">
        <v>4.96</v>
      </c>
      <c r="F125" s="317">
        <v>1.5992371000000001</v>
      </c>
      <c r="G125" s="317">
        <v>1.7435234000000002</v>
      </c>
      <c r="H125" s="317">
        <v>2.0308131</v>
      </c>
      <c r="I125" s="318">
        <v>40.9438125</v>
      </c>
      <c r="J125" s="318">
        <v>77.679257568836206</v>
      </c>
      <c r="K125" s="319">
        <v>30.1850943520652</v>
      </c>
      <c r="L125" s="319">
        <v>-10.7587181479348</v>
      </c>
      <c r="M125" s="319">
        <f t="shared" si="1"/>
        <v>0</v>
      </c>
      <c r="N125" s="317">
        <v>0</v>
      </c>
      <c r="O125" s="315" t="s">
        <v>1148</v>
      </c>
      <c r="P125" s="318">
        <v>204</v>
      </c>
      <c r="R125" s="320">
        <v>95.555555555555557</v>
      </c>
      <c r="S125" s="318">
        <v>40</v>
      </c>
      <c r="T125" s="318">
        <v>389.9</v>
      </c>
      <c r="U125" s="318">
        <v>700</v>
      </c>
      <c r="V125" s="315">
        <v>0.18</v>
      </c>
      <c r="W125" s="318">
        <v>85.6</v>
      </c>
      <c r="X125" s="315">
        <v>3</v>
      </c>
      <c r="Y125" s="315" t="s">
        <v>1149</v>
      </c>
      <c r="Z125" s="315">
        <v>0</v>
      </c>
      <c r="AA125" s="315" t="s">
        <v>1157</v>
      </c>
      <c r="AB125" s="315">
        <v>0</v>
      </c>
      <c r="AC125" s="315">
        <v>3486</v>
      </c>
      <c r="AD125" s="315">
        <v>3471</v>
      </c>
      <c r="AE125" s="315">
        <v>0.24</v>
      </c>
      <c r="AF125" s="315">
        <v>1.5772870662460567</v>
      </c>
      <c r="AG125" s="315">
        <v>0.28000000000000003</v>
      </c>
      <c r="AH125" s="315">
        <v>1022</v>
      </c>
    </row>
    <row r="126" spans="1:34">
      <c r="A126" s="315" t="s">
        <v>1145</v>
      </c>
      <c r="B126" s="315" t="s">
        <v>1066</v>
      </c>
      <c r="C126" s="316" t="s">
        <v>1382</v>
      </c>
      <c r="D126" s="316" t="s">
        <v>1382</v>
      </c>
      <c r="E126" s="317">
        <v>0.1</v>
      </c>
      <c r="F126" s="317">
        <v>0</v>
      </c>
      <c r="G126" s="317">
        <v>0</v>
      </c>
      <c r="H126" s="317">
        <v>0</v>
      </c>
      <c r="I126" s="318">
        <v>0</v>
      </c>
      <c r="J126" s="318">
        <v>79.573218498516894</v>
      </c>
      <c r="K126" s="319">
        <v>25.0058871630646</v>
      </c>
      <c r="L126" s="319">
        <v>25.0058871630646</v>
      </c>
      <c r="M126" s="319">
        <f t="shared" si="1"/>
        <v>25.0058871630646</v>
      </c>
      <c r="N126" s="317">
        <v>2.5005887163064601E-2</v>
      </c>
      <c r="O126" s="315" t="s">
        <v>1168</v>
      </c>
      <c r="P126" s="318">
        <v>204</v>
      </c>
      <c r="R126" s="320">
        <v>95.555555555555557</v>
      </c>
      <c r="S126" s="318">
        <v>38</v>
      </c>
      <c r="T126" s="318">
        <v>26.08</v>
      </c>
      <c r="U126" s="318">
        <v>384</v>
      </c>
      <c r="V126" s="315">
        <v>0.13300000000000001</v>
      </c>
      <c r="W126" s="318">
        <v>1.92</v>
      </c>
      <c r="X126" s="315">
        <v>0</v>
      </c>
      <c r="Y126" s="315" t="s">
        <v>1149</v>
      </c>
      <c r="Z126" s="315">
        <v>0</v>
      </c>
      <c r="AA126" s="315" t="s">
        <v>1157</v>
      </c>
      <c r="AB126" s="315">
        <v>0</v>
      </c>
      <c r="AC126" s="315">
        <v>3488</v>
      </c>
      <c r="AD126" s="315">
        <v>3476</v>
      </c>
      <c r="AE126" s="315">
        <v>0.24299999999999999</v>
      </c>
      <c r="AF126" s="315">
        <v>1.5449999999999999</v>
      </c>
      <c r="AG126" s="315">
        <v>0.27</v>
      </c>
      <c r="AH126" s="315">
        <v>951</v>
      </c>
    </row>
    <row r="127" spans="1:34">
      <c r="A127" s="315" t="s">
        <v>1145</v>
      </c>
      <c r="B127" s="315" t="s">
        <v>1066</v>
      </c>
      <c r="C127" s="316" t="s">
        <v>1383</v>
      </c>
      <c r="D127" s="316" t="s">
        <v>1383</v>
      </c>
      <c r="E127" s="317">
        <v>1.48265</v>
      </c>
      <c r="F127" s="317">
        <v>1.0071147</v>
      </c>
      <c r="G127" s="317">
        <v>1.0979785</v>
      </c>
      <c r="H127" s="317">
        <v>1.140047</v>
      </c>
      <c r="I127" s="318">
        <v>76.892523522071969</v>
      </c>
      <c r="J127" s="318">
        <v>77.330139522116397</v>
      </c>
      <c r="K127" s="319">
        <v>29.004698586343402</v>
      </c>
      <c r="L127" s="319">
        <v>-47.887824935728567</v>
      </c>
      <c r="M127" s="319">
        <f t="shared" si="1"/>
        <v>0</v>
      </c>
      <c r="N127" s="317">
        <v>0</v>
      </c>
      <c r="O127" s="315" t="s">
        <v>1148</v>
      </c>
      <c r="P127" s="318">
        <v>204</v>
      </c>
      <c r="R127" s="320">
        <v>95.555555555555557</v>
      </c>
      <c r="S127" s="318">
        <v>38</v>
      </c>
      <c r="T127" s="318">
        <v>48.2</v>
      </c>
      <c r="U127" s="318">
        <v>48.2</v>
      </c>
      <c r="V127" s="315">
        <v>0.14099999999999999</v>
      </c>
      <c r="W127" s="318">
        <v>9.89</v>
      </c>
      <c r="X127" s="315">
        <v>3</v>
      </c>
      <c r="Y127" s="315" t="s">
        <v>1149</v>
      </c>
      <c r="Z127" s="315">
        <v>0</v>
      </c>
      <c r="AA127" s="315" t="s">
        <v>1157</v>
      </c>
      <c r="AB127" s="315">
        <v>0</v>
      </c>
      <c r="AC127" s="315">
        <v>3400</v>
      </c>
      <c r="AD127" s="315">
        <v>3332</v>
      </c>
      <c r="AE127" s="315">
        <v>0.23</v>
      </c>
      <c r="AF127" s="315">
        <v>1.5269999999999999</v>
      </c>
      <c r="AG127" s="315">
        <v>0.31</v>
      </c>
      <c r="AH127" s="315">
        <v>904</v>
      </c>
    </row>
    <row r="128" spans="1:34">
      <c r="A128" s="315" t="s">
        <v>1145</v>
      </c>
      <c r="B128" s="315" t="s">
        <v>1066</v>
      </c>
      <c r="C128" s="316" t="s">
        <v>1384</v>
      </c>
      <c r="D128" s="316" t="s">
        <v>1384</v>
      </c>
      <c r="E128" s="317">
        <v>33.85</v>
      </c>
      <c r="F128" s="317">
        <v>1.1275660999999999</v>
      </c>
      <c r="G128" s="317">
        <v>1.2292972999999998</v>
      </c>
      <c r="H128" s="317">
        <v>1.7739528999999998</v>
      </c>
      <c r="I128" s="318">
        <v>5.2406289512555384</v>
      </c>
      <c r="J128" s="318">
        <v>47.025901353726397</v>
      </c>
      <c r="K128" s="319">
        <v>38.523777411922502</v>
      </c>
      <c r="L128" s="319">
        <v>33.283148460666965</v>
      </c>
      <c r="M128" s="319">
        <f t="shared" si="1"/>
        <v>33.283148460666965</v>
      </c>
      <c r="N128" s="317">
        <v>11.266345753935768</v>
      </c>
      <c r="O128" s="315" t="s">
        <v>1148</v>
      </c>
      <c r="P128" s="318">
        <v>204</v>
      </c>
      <c r="R128" s="320">
        <v>95.555555555555557</v>
      </c>
      <c r="S128" s="318">
        <v>40</v>
      </c>
      <c r="T128" s="318">
        <v>35.421590000000002</v>
      </c>
      <c r="U128" s="318">
        <v>26.454999999999998</v>
      </c>
      <c r="V128" s="315">
        <v>0.153532</v>
      </c>
      <c r="W128" s="318">
        <v>26.60528</v>
      </c>
      <c r="X128" s="315">
        <v>24</v>
      </c>
      <c r="Y128" s="315" t="s">
        <v>1149</v>
      </c>
      <c r="Z128" s="315">
        <v>0</v>
      </c>
      <c r="AA128" s="315" t="s">
        <v>1157</v>
      </c>
      <c r="AB128" s="315">
        <v>0</v>
      </c>
      <c r="AC128" s="315">
        <v>3486</v>
      </c>
      <c r="AD128" s="315">
        <v>3471</v>
      </c>
      <c r="AE128" s="315">
        <v>0.8</v>
      </c>
      <c r="AF128" s="315">
        <v>1.618123</v>
      </c>
      <c r="AG128" s="315">
        <v>0.27400000000000002</v>
      </c>
      <c r="AH128" s="315">
        <v>715.57142999999996</v>
      </c>
    </row>
    <row r="129" spans="1:34">
      <c r="A129" s="315" t="s">
        <v>1145</v>
      </c>
      <c r="B129" s="315" t="s">
        <v>1066</v>
      </c>
      <c r="C129" s="316" t="s">
        <v>1385</v>
      </c>
      <c r="D129" s="316" t="s">
        <v>1385</v>
      </c>
      <c r="E129" s="317">
        <v>18.670000000000002</v>
      </c>
      <c r="F129" s="317">
        <v>1.0593292000000001</v>
      </c>
      <c r="G129" s="317">
        <v>1.1827940000000001</v>
      </c>
      <c r="H129" s="317">
        <v>2.3327211000000001</v>
      </c>
      <c r="I129" s="318">
        <v>12.494489019817889</v>
      </c>
      <c r="J129" s="318">
        <v>47.0744090624884</v>
      </c>
      <c r="K129" s="319">
        <v>39.5963487188343</v>
      </c>
      <c r="L129" s="319">
        <v>27.101859699016408</v>
      </c>
      <c r="M129" s="319">
        <f t="shared" si="1"/>
        <v>27.101859699016408</v>
      </c>
      <c r="N129" s="317">
        <v>5.0599172058063635</v>
      </c>
      <c r="O129" s="315" t="s">
        <v>1148</v>
      </c>
      <c r="P129" s="318">
        <v>204</v>
      </c>
      <c r="R129" s="320">
        <v>95.555555555555557</v>
      </c>
      <c r="S129" s="318">
        <v>40</v>
      </c>
      <c r="T129" s="318">
        <v>34.716009999999997</v>
      </c>
      <c r="U129" s="318">
        <v>27.498999999999999</v>
      </c>
      <c r="V129" s="315">
        <v>0.153532</v>
      </c>
      <c r="W129" s="318">
        <v>28.231390000000001</v>
      </c>
      <c r="X129" s="315">
        <v>16</v>
      </c>
      <c r="Y129" s="315" t="s">
        <v>1149</v>
      </c>
      <c r="Z129" s="315">
        <v>0</v>
      </c>
      <c r="AA129" s="315" t="s">
        <v>1157</v>
      </c>
      <c r="AB129" s="315">
        <v>0</v>
      </c>
      <c r="AC129" s="315">
        <v>3486</v>
      </c>
      <c r="AD129" s="315">
        <v>3471</v>
      </c>
      <c r="AE129" s="315">
        <v>0.8</v>
      </c>
      <c r="AF129" s="315">
        <v>1.618123</v>
      </c>
      <c r="AG129" s="315">
        <v>0.27400000000000002</v>
      </c>
      <c r="AH129" s="315">
        <v>715.57142999999996</v>
      </c>
    </row>
    <row r="130" spans="1:34">
      <c r="A130" s="315" t="s">
        <v>1145</v>
      </c>
      <c r="B130" s="315" t="s">
        <v>1066</v>
      </c>
      <c r="C130" s="316" t="s">
        <v>1386</v>
      </c>
      <c r="D130" s="316" t="s">
        <v>1386</v>
      </c>
      <c r="E130" s="317">
        <v>7.09</v>
      </c>
      <c r="F130" s="317">
        <v>0</v>
      </c>
      <c r="G130" s="317">
        <v>0</v>
      </c>
      <c r="H130" s="317">
        <v>5.5284E-2</v>
      </c>
      <c r="I130" s="318">
        <v>0.77974612129760223</v>
      </c>
      <c r="J130" s="318">
        <v>53.218969456399201</v>
      </c>
      <c r="K130" s="319">
        <v>38.587021039945398</v>
      </c>
      <c r="L130" s="319">
        <v>37.807274918647799</v>
      </c>
      <c r="M130" s="319">
        <f t="shared" ref="M130:M193" si="2">IF(L130&lt;0,0,L130)</f>
        <v>37.807274918647799</v>
      </c>
      <c r="N130" s="317">
        <v>2.6805357917321291</v>
      </c>
      <c r="O130" s="315" t="s">
        <v>1168</v>
      </c>
      <c r="P130" s="318">
        <v>204</v>
      </c>
      <c r="R130" s="320">
        <v>95.555555555555557</v>
      </c>
      <c r="S130" s="318">
        <v>40</v>
      </c>
      <c r="T130" s="318">
        <v>91.6</v>
      </c>
      <c r="U130" s="318">
        <v>203.19</v>
      </c>
      <c r="V130" s="315">
        <v>0.187</v>
      </c>
      <c r="W130" s="318">
        <v>34.799999999999997</v>
      </c>
      <c r="X130" s="315">
        <v>1</v>
      </c>
      <c r="Y130" s="315" t="s">
        <v>1149</v>
      </c>
      <c r="Z130" s="315">
        <v>0</v>
      </c>
      <c r="AA130" s="315" t="s">
        <v>1157</v>
      </c>
      <c r="AB130" s="315">
        <v>0</v>
      </c>
      <c r="AC130" s="315">
        <v>3486</v>
      </c>
      <c r="AD130" s="315">
        <v>3471</v>
      </c>
      <c r="AE130" s="315">
        <v>0.57999999999999996</v>
      </c>
      <c r="AF130" s="315">
        <v>1.54</v>
      </c>
      <c r="AG130" s="315">
        <v>0.26</v>
      </c>
      <c r="AH130" s="315">
        <v>1022</v>
      </c>
    </row>
    <row r="131" spans="1:34">
      <c r="A131" s="315" t="s">
        <v>1145</v>
      </c>
      <c r="B131" s="315" t="s">
        <v>1066</v>
      </c>
      <c r="C131" s="316" t="s">
        <v>1387</v>
      </c>
      <c r="D131" s="316" t="s">
        <v>1387</v>
      </c>
      <c r="E131" s="317">
        <v>5.19</v>
      </c>
      <c r="F131" s="317">
        <v>0.112848</v>
      </c>
      <c r="G131" s="317">
        <v>0.12302940000000001</v>
      </c>
      <c r="H131" s="317">
        <v>0.1830272</v>
      </c>
      <c r="I131" s="318">
        <v>3.5265356454720611</v>
      </c>
      <c r="J131" s="318">
        <v>80.768479166742594</v>
      </c>
      <c r="K131" s="319">
        <v>27.930782475423698</v>
      </c>
      <c r="L131" s="319">
        <v>24.404246829951635</v>
      </c>
      <c r="M131" s="319">
        <f t="shared" si="2"/>
        <v>24.404246829951635</v>
      </c>
      <c r="N131" s="317">
        <v>1.26658041047449</v>
      </c>
      <c r="O131" s="315" t="s">
        <v>1148</v>
      </c>
      <c r="P131" s="318">
        <v>204</v>
      </c>
      <c r="R131" s="320">
        <v>95.555555555555557</v>
      </c>
      <c r="S131" s="318">
        <v>40</v>
      </c>
      <c r="T131" s="318">
        <v>56.4</v>
      </c>
      <c r="U131" s="318">
        <v>700</v>
      </c>
      <c r="V131" s="315">
        <v>0.19500000000000001</v>
      </c>
      <c r="W131" s="318">
        <v>214.9</v>
      </c>
      <c r="X131" s="315">
        <v>1</v>
      </c>
      <c r="Y131" s="315" t="s">
        <v>1149</v>
      </c>
      <c r="Z131" s="315">
        <v>0</v>
      </c>
      <c r="AA131" s="315" t="s">
        <v>1157</v>
      </c>
      <c r="AB131" s="315">
        <v>0</v>
      </c>
      <c r="AC131" s="315">
        <v>3643</v>
      </c>
      <c r="AD131" s="315">
        <v>3568</v>
      </c>
      <c r="AE131" s="315">
        <v>0.28000000000000003</v>
      </c>
      <c r="AF131" s="315">
        <v>1.556</v>
      </c>
      <c r="AG131" s="315">
        <v>0.26600000000000001</v>
      </c>
      <c r="AH131" s="315">
        <v>992</v>
      </c>
    </row>
    <row r="132" spans="1:34">
      <c r="A132" s="315" t="s">
        <v>1145</v>
      </c>
      <c r="B132" s="315" t="s">
        <v>1066</v>
      </c>
      <c r="C132" s="316" t="s">
        <v>1388</v>
      </c>
      <c r="D132" s="316" t="s">
        <v>1388</v>
      </c>
      <c r="E132" s="317">
        <v>12.73</v>
      </c>
      <c r="F132" s="317">
        <v>2.3894685</v>
      </c>
      <c r="G132" s="317">
        <v>2.605051</v>
      </c>
      <c r="H132" s="317">
        <v>5.0435971000000004</v>
      </c>
      <c r="I132" s="318">
        <v>39.619772977219171</v>
      </c>
      <c r="J132" s="318">
        <v>67.912356315028305</v>
      </c>
      <c r="K132" s="319">
        <v>34.127972714820295</v>
      </c>
      <c r="L132" s="319">
        <v>-5.4918002623988755</v>
      </c>
      <c r="M132" s="319">
        <f t="shared" si="2"/>
        <v>0</v>
      </c>
      <c r="N132" s="317">
        <v>0</v>
      </c>
      <c r="O132" s="315" t="s">
        <v>1148</v>
      </c>
      <c r="P132" s="318">
        <v>204</v>
      </c>
      <c r="R132" s="320">
        <v>95.555555555555557</v>
      </c>
      <c r="S132" s="318">
        <v>40</v>
      </c>
      <c r="T132" s="318">
        <v>445.4</v>
      </c>
      <c r="U132" s="318">
        <v>595</v>
      </c>
      <c r="V132" s="315">
        <v>0.159</v>
      </c>
      <c r="W132" s="318">
        <v>9.6999999999999993</v>
      </c>
      <c r="X132" s="315">
        <v>18</v>
      </c>
      <c r="Y132" s="315" t="s">
        <v>1149</v>
      </c>
      <c r="Z132" s="315">
        <v>0</v>
      </c>
      <c r="AA132" s="315" t="s">
        <v>1157</v>
      </c>
      <c r="AB132" s="315">
        <v>0</v>
      </c>
      <c r="AC132" s="315">
        <v>3485</v>
      </c>
      <c r="AD132" s="315">
        <v>3477</v>
      </c>
      <c r="AE132" s="315">
        <v>0.36</v>
      </c>
      <c r="AF132" s="315">
        <v>1.577</v>
      </c>
      <c r="AG132" s="315">
        <v>0.28000000000000003</v>
      </c>
      <c r="AH132" s="315">
        <v>1022</v>
      </c>
    </row>
    <row r="133" spans="1:34">
      <c r="A133" s="315" t="s">
        <v>1145</v>
      </c>
      <c r="B133" s="315" t="s">
        <v>1066</v>
      </c>
      <c r="C133" s="316" t="s">
        <v>1389</v>
      </c>
      <c r="D133" s="316" t="s">
        <v>1389</v>
      </c>
      <c r="E133" s="317">
        <v>2.67</v>
      </c>
      <c r="F133" s="317">
        <v>0.13080320000000001</v>
      </c>
      <c r="G133" s="317">
        <v>0.14260450000000002</v>
      </c>
      <c r="H133" s="317">
        <v>0.58969170000000004</v>
      </c>
      <c r="I133" s="318">
        <v>22.085831460674161</v>
      </c>
      <c r="J133" s="318">
        <v>68.005656273063906</v>
      </c>
      <c r="K133" s="319">
        <v>35.012208122323798</v>
      </c>
      <c r="L133" s="319">
        <v>12.926376661649638</v>
      </c>
      <c r="M133" s="319">
        <f t="shared" si="2"/>
        <v>12.926376661649638</v>
      </c>
      <c r="N133" s="317">
        <v>0.34513425686604532</v>
      </c>
      <c r="O133" s="315" t="s">
        <v>1148</v>
      </c>
      <c r="P133" s="318">
        <v>204</v>
      </c>
      <c r="R133" s="320">
        <v>95.555555555555557</v>
      </c>
      <c r="S133" s="318">
        <v>40</v>
      </c>
      <c r="T133" s="318">
        <v>90.6</v>
      </c>
      <c r="U133" s="318">
        <v>357</v>
      </c>
      <c r="V133" s="315">
        <v>0.21</v>
      </c>
      <c r="W133" s="318">
        <v>191.1</v>
      </c>
      <c r="X133" s="315">
        <v>8</v>
      </c>
      <c r="Y133" s="315" t="s">
        <v>1149</v>
      </c>
      <c r="Z133" s="315">
        <v>0</v>
      </c>
      <c r="AA133" s="315" t="s">
        <v>1157</v>
      </c>
      <c r="AB133" s="315">
        <v>0</v>
      </c>
      <c r="AC133" s="315">
        <v>3486</v>
      </c>
      <c r="AD133" s="315">
        <v>3471</v>
      </c>
      <c r="AE133" s="315">
        <v>0.36</v>
      </c>
      <c r="AF133" s="315">
        <v>1.54</v>
      </c>
      <c r="AG133" s="315">
        <v>0.26</v>
      </c>
      <c r="AH133" s="315">
        <v>964</v>
      </c>
    </row>
    <row r="134" spans="1:34">
      <c r="A134" s="315" t="s">
        <v>1145</v>
      </c>
      <c r="B134" s="315" t="s">
        <v>1066</v>
      </c>
      <c r="C134" s="316" t="s">
        <v>1390</v>
      </c>
      <c r="D134" s="316" t="s">
        <v>1390</v>
      </c>
      <c r="E134" s="317">
        <v>12.11</v>
      </c>
      <c r="F134" s="317">
        <v>0</v>
      </c>
      <c r="G134" s="317">
        <v>0</v>
      </c>
      <c r="H134" s="317">
        <v>0</v>
      </c>
      <c r="I134" s="318">
        <v>0</v>
      </c>
      <c r="J134" s="318">
        <v>58.674229321321199</v>
      </c>
      <c r="K134" s="319">
        <v>39.339182527695399</v>
      </c>
      <c r="L134" s="319">
        <v>39.339182527695399</v>
      </c>
      <c r="M134" s="319">
        <f t="shared" si="2"/>
        <v>39.339182527695399</v>
      </c>
      <c r="N134" s="317">
        <v>4.7639750041039122</v>
      </c>
      <c r="O134" s="315" t="s">
        <v>1168</v>
      </c>
      <c r="P134" s="318">
        <v>204.7</v>
      </c>
      <c r="R134" s="320">
        <v>95.944444444444443</v>
      </c>
      <c r="S134" s="318">
        <v>33</v>
      </c>
      <c r="T134" s="318">
        <v>728</v>
      </c>
      <c r="U134" s="318">
        <v>728</v>
      </c>
      <c r="V134" s="315">
        <v>0.2</v>
      </c>
      <c r="W134" s="318">
        <v>246.3</v>
      </c>
      <c r="X134" s="315">
        <v>2</v>
      </c>
      <c r="Y134" s="315" t="s">
        <v>1149</v>
      </c>
      <c r="Z134" s="315">
        <v>0</v>
      </c>
      <c r="AA134" s="315" t="s">
        <v>1157</v>
      </c>
      <c r="AB134" s="315">
        <v>0</v>
      </c>
      <c r="AC134" s="315">
        <v>3507</v>
      </c>
      <c r="AD134" s="315">
        <v>3503</v>
      </c>
      <c r="AE134" s="315">
        <v>0.5</v>
      </c>
      <c r="AF134" s="315">
        <v>1.458</v>
      </c>
      <c r="AG134" s="315">
        <v>0.36</v>
      </c>
      <c r="AH134" s="315">
        <v>806</v>
      </c>
    </row>
    <row r="135" spans="1:34">
      <c r="A135" s="315" t="s">
        <v>1391</v>
      </c>
      <c r="B135" s="315" t="s">
        <v>1066</v>
      </c>
      <c r="C135" s="316" t="s">
        <v>1392</v>
      </c>
      <c r="D135" s="316" t="s">
        <v>1392</v>
      </c>
      <c r="E135" s="317">
        <v>0.40412700000000001</v>
      </c>
      <c r="F135" s="317">
        <v>0</v>
      </c>
      <c r="G135" s="317">
        <v>0</v>
      </c>
      <c r="H135" s="317">
        <v>0</v>
      </c>
      <c r="I135" s="318">
        <v>0</v>
      </c>
      <c r="J135" s="318">
        <v>74.772955810356606</v>
      </c>
      <c r="K135" s="319">
        <v>27.567901754410101</v>
      </c>
      <c r="L135" s="319">
        <v>27.567901754410101</v>
      </c>
      <c r="M135" s="319">
        <f t="shared" si="2"/>
        <v>27.567901754410101</v>
      </c>
      <c r="N135" s="317">
        <v>0.11140933432304491</v>
      </c>
      <c r="O135" s="315" t="s">
        <v>1168</v>
      </c>
      <c r="P135" s="318">
        <v>206</v>
      </c>
      <c r="R135" s="320">
        <v>96.666666666666671</v>
      </c>
      <c r="S135" s="318">
        <v>38</v>
      </c>
      <c r="T135" s="318">
        <v>62.7</v>
      </c>
      <c r="U135" s="318">
        <v>384</v>
      </c>
      <c r="V135" s="315">
        <v>0.14000000000000001</v>
      </c>
      <c r="W135" s="318">
        <v>3.39</v>
      </c>
      <c r="X135" s="315">
        <v>0</v>
      </c>
      <c r="Y135" s="315" t="s">
        <v>1149</v>
      </c>
      <c r="Z135" s="315">
        <v>0</v>
      </c>
      <c r="AA135" s="315" t="s">
        <v>1157</v>
      </c>
      <c r="AB135" s="315">
        <v>0</v>
      </c>
      <c r="AC135" s="315">
        <v>3535</v>
      </c>
      <c r="AD135" s="315">
        <v>3533</v>
      </c>
      <c r="AE135" s="315">
        <v>0.31</v>
      </c>
      <c r="AF135" s="315">
        <v>1.554</v>
      </c>
      <c r="AG135" s="315">
        <v>0.27</v>
      </c>
      <c r="AH135" s="315">
        <v>965</v>
      </c>
    </row>
    <row r="136" spans="1:34">
      <c r="A136" s="315" t="s">
        <v>1393</v>
      </c>
      <c r="B136" s="315" t="s">
        <v>1066</v>
      </c>
      <c r="C136" s="316" t="s">
        <v>1394</v>
      </c>
      <c r="D136" s="316" t="s">
        <v>1394</v>
      </c>
      <c r="E136" s="317">
        <v>2.56</v>
      </c>
      <c r="F136" s="317">
        <v>0</v>
      </c>
      <c r="G136" s="317">
        <v>0</v>
      </c>
      <c r="H136" s="317">
        <v>0</v>
      </c>
      <c r="I136" s="318">
        <v>0</v>
      </c>
      <c r="J136" s="318">
        <v>64.392313063041996</v>
      </c>
      <c r="K136" s="319">
        <v>32.481951391419301</v>
      </c>
      <c r="L136" s="319">
        <v>32.481951391419301</v>
      </c>
      <c r="M136" s="319">
        <f t="shared" si="2"/>
        <v>32.481951391419301</v>
      </c>
      <c r="N136" s="317">
        <v>0.83153795562033406</v>
      </c>
      <c r="O136" s="315" t="s">
        <v>1168</v>
      </c>
      <c r="P136" s="318">
        <v>206</v>
      </c>
      <c r="R136" s="320">
        <v>96.666666666666671</v>
      </c>
      <c r="S136" s="318">
        <v>38</v>
      </c>
      <c r="T136" s="318">
        <v>698</v>
      </c>
      <c r="U136" s="318">
        <v>698</v>
      </c>
      <c r="V136" s="315">
        <v>0.2</v>
      </c>
      <c r="W136" s="318">
        <v>246.3</v>
      </c>
      <c r="X136" s="315">
        <v>0</v>
      </c>
      <c r="Y136" s="315" t="s">
        <v>1149</v>
      </c>
      <c r="Z136" s="315">
        <v>0</v>
      </c>
      <c r="AA136" s="315" t="s">
        <v>1157</v>
      </c>
      <c r="AB136" s="315">
        <v>0</v>
      </c>
      <c r="AC136" s="315">
        <v>3535</v>
      </c>
      <c r="AD136" s="315">
        <v>3533</v>
      </c>
      <c r="AE136" s="315">
        <v>0.5</v>
      </c>
      <c r="AF136" s="315">
        <v>1.554</v>
      </c>
      <c r="AG136" s="315">
        <v>0.27</v>
      </c>
      <c r="AH136" s="315">
        <v>965</v>
      </c>
    </row>
    <row r="137" spans="1:34">
      <c r="A137" s="315" t="s">
        <v>1395</v>
      </c>
      <c r="B137" s="315" t="s">
        <v>1066</v>
      </c>
      <c r="C137" s="316" t="s">
        <v>1396</v>
      </c>
      <c r="D137" s="316" t="s">
        <v>1396</v>
      </c>
      <c r="E137" s="317">
        <v>13.36</v>
      </c>
      <c r="F137" s="317">
        <v>3.6227299999999997E-2</v>
      </c>
      <c r="G137" s="317">
        <v>3.9495799999999998E-2</v>
      </c>
      <c r="H137" s="317">
        <v>1.0015352000000002</v>
      </c>
      <c r="I137" s="318">
        <v>7.4965209580838339</v>
      </c>
      <c r="J137" s="318">
        <v>70.832791908754999</v>
      </c>
      <c r="K137" s="319">
        <v>32.9503757871407</v>
      </c>
      <c r="L137" s="319">
        <v>25.453854829056866</v>
      </c>
      <c r="M137" s="319">
        <f t="shared" si="2"/>
        <v>25.453854829056866</v>
      </c>
      <c r="N137" s="317">
        <v>3.4006350051619969</v>
      </c>
      <c r="O137" s="315" t="s">
        <v>1148</v>
      </c>
      <c r="P137" s="318">
        <v>207</v>
      </c>
      <c r="R137" s="320">
        <v>97.222222222222229</v>
      </c>
      <c r="S137" s="318">
        <v>40</v>
      </c>
      <c r="T137" s="318">
        <v>334</v>
      </c>
      <c r="U137" s="318">
        <v>363</v>
      </c>
      <c r="V137" s="315">
        <v>0.18</v>
      </c>
      <c r="W137" s="318">
        <v>21.6</v>
      </c>
      <c r="X137" s="315">
        <v>5</v>
      </c>
      <c r="Y137" s="315" t="s">
        <v>1149</v>
      </c>
      <c r="Z137" s="315">
        <v>0</v>
      </c>
      <c r="AA137" s="315" t="s">
        <v>1157</v>
      </c>
      <c r="AB137" s="316">
        <v>0</v>
      </c>
      <c r="AC137" s="316">
        <v>3751</v>
      </c>
      <c r="AD137" s="316">
        <v>3707</v>
      </c>
      <c r="AE137" s="316">
        <v>0.35</v>
      </c>
      <c r="AF137" s="316">
        <v>1.579</v>
      </c>
      <c r="AG137" s="316">
        <v>0.255</v>
      </c>
      <c r="AH137" s="316">
        <v>1030</v>
      </c>
    </row>
    <row r="138" spans="1:34">
      <c r="A138" s="315" t="s">
        <v>1145</v>
      </c>
      <c r="B138" s="315" t="s">
        <v>1066</v>
      </c>
      <c r="C138" s="316" t="s">
        <v>1397</v>
      </c>
      <c r="D138" s="316" t="s">
        <v>1397</v>
      </c>
      <c r="E138" s="317">
        <v>5.14</v>
      </c>
      <c r="F138" s="317">
        <v>0.53930509999999998</v>
      </c>
      <c r="G138" s="317">
        <v>0.58796219999999999</v>
      </c>
      <c r="H138" s="317">
        <v>1.1654404</v>
      </c>
      <c r="I138" s="318">
        <v>22.673937743190663</v>
      </c>
      <c r="J138" s="318">
        <v>81.126480042377395</v>
      </c>
      <c r="K138" s="319">
        <v>26.871479859300202</v>
      </c>
      <c r="L138" s="319">
        <v>4.1975421161095383</v>
      </c>
      <c r="M138" s="319">
        <f t="shared" si="2"/>
        <v>4.1975421161095383</v>
      </c>
      <c r="N138" s="317">
        <v>0.21575366476803026</v>
      </c>
      <c r="O138" s="315" t="s">
        <v>1148</v>
      </c>
      <c r="P138" s="318">
        <v>208</v>
      </c>
      <c r="R138" s="320">
        <v>97.777777777777771</v>
      </c>
      <c r="S138" s="318">
        <v>33</v>
      </c>
      <c r="T138" s="318">
        <v>110.6</v>
      </c>
      <c r="U138" s="318">
        <v>331</v>
      </c>
      <c r="V138" s="315">
        <v>0.19</v>
      </c>
      <c r="W138" s="318">
        <v>75.8</v>
      </c>
      <c r="X138" s="315">
        <v>3</v>
      </c>
      <c r="Y138" s="315" t="s">
        <v>1149</v>
      </c>
      <c r="Z138" s="315">
        <v>0</v>
      </c>
      <c r="AA138" s="315" t="s">
        <v>1157</v>
      </c>
      <c r="AB138" s="315">
        <v>0</v>
      </c>
      <c r="AC138" s="315">
        <v>3605</v>
      </c>
      <c r="AD138" s="315">
        <v>3602</v>
      </c>
      <c r="AE138" s="315">
        <v>0.28000000000000003</v>
      </c>
      <c r="AF138" s="315">
        <v>1.5772870662460567</v>
      </c>
      <c r="AG138" s="315">
        <v>0.28000000000000003</v>
      </c>
      <c r="AH138" s="315">
        <v>1022</v>
      </c>
    </row>
    <row r="139" spans="1:34">
      <c r="A139" s="315" t="s">
        <v>1145</v>
      </c>
      <c r="B139" s="315" t="s">
        <v>1066</v>
      </c>
      <c r="C139" s="316" t="s">
        <v>1398</v>
      </c>
      <c r="D139" s="316" t="s">
        <v>1398</v>
      </c>
      <c r="E139" s="317">
        <v>5.3671000000000003E-2</v>
      </c>
      <c r="F139" s="317">
        <v>0</v>
      </c>
      <c r="G139" s="317">
        <v>0</v>
      </c>
      <c r="H139" s="317">
        <v>0</v>
      </c>
      <c r="I139" s="318">
        <v>0</v>
      </c>
      <c r="J139" s="318">
        <v>0</v>
      </c>
      <c r="K139" s="319">
        <v>0</v>
      </c>
      <c r="L139" s="319">
        <v>0</v>
      </c>
      <c r="M139" s="319">
        <f t="shared" si="2"/>
        <v>0</v>
      </c>
      <c r="N139" s="317">
        <v>0</v>
      </c>
      <c r="O139" s="315" t="s">
        <v>1168</v>
      </c>
      <c r="P139" s="318">
        <v>208</v>
      </c>
      <c r="R139" s="320">
        <v>97.777777777777771</v>
      </c>
      <c r="S139" s="318">
        <v>38</v>
      </c>
      <c r="T139" s="318">
        <v>14.8</v>
      </c>
      <c r="U139" s="318">
        <v>60</v>
      </c>
      <c r="V139" s="315">
        <v>0.126</v>
      </c>
      <c r="W139" s="318">
        <v>2.76</v>
      </c>
      <c r="X139" s="315">
        <v>1</v>
      </c>
      <c r="Y139" s="315" t="s">
        <v>1149</v>
      </c>
      <c r="Z139" s="315">
        <v>0</v>
      </c>
      <c r="AA139" s="315" t="s">
        <v>1190</v>
      </c>
      <c r="AB139" s="315">
        <v>0</v>
      </c>
      <c r="AC139" s="315">
        <v>3633</v>
      </c>
      <c r="AD139" s="315">
        <v>3603</v>
      </c>
      <c r="AE139" s="315">
        <v>0.2</v>
      </c>
      <c r="AF139" s="315">
        <v>1.5660000000000001</v>
      </c>
      <c r="AG139" s="315">
        <v>0.26</v>
      </c>
      <c r="AH139" s="315">
        <v>983</v>
      </c>
    </row>
    <row r="140" spans="1:34">
      <c r="A140" s="315" t="s">
        <v>1399</v>
      </c>
      <c r="B140" s="315" t="s">
        <v>1066</v>
      </c>
      <c r="C140" s="316" t="s">
        <v>1400</v>
      </c>
      <c r="D140" s="316" t="s">
        <v>1400</v>
      </c>
      <c r="E140" s="317">
        <v>11.640722999999999</v>
      </c>
      <c r="F140" s="317">
        <v>3.3425045</v>
      </c>
      <c r="G140" s="317">
        <v>3.6440717</v>
      </c>
      <c r="H140" s="317">
        <v>3.7836924000000001</v>
      </c>
      <c r="I140" s="318">
        <v>32.503929523965134</v>
      </c>
      <c r="J140" s="318">
        <v>71.510921823671694</v>
      </c>
      <c r="K140" s="319">
        <v>29.587163827572997</v>
      </c>
      <c r="L140" s="319">
        <v>-2.9167656963921367</v>
      </c>
      <c r="M140" s="319">
        <f t="shared" si="2"/>
        <v>0</v>
      </c>
      <c r="N140" s="317">
        <v>0</v>
      </c>
      <c r="O140" s="315" t="s">
        <v>1148</v>
      </c>
      <c r="P140" s="318">
        <v>208</v>
      </c>
      <c r="R140" s="320">
        <v>97.777777777777771</v>
      </c>
      <c r="S140" s="318">
        <v>38</v>
      </c>
      <c r="T140" s="318">
        <v>140.07</v>
      </c>
      <c r="U140" s="318">
        <v>750</v>
      </c>
      <c r="V140" s="315">
        <v>0.158</v>
      </c>
      <c r="W140" s="318">
        <v>26.8</v>
      </c>
      <c r="X140" s="315">
        <v>9</v>
      </c>
      <c r="Y140" s="315" t="s">
        <v>1149</v>
      </c>
      <c r="Z140" s="315">
        <v>0</v>
      </c>
      <c r="AA140" s="315" t="s">
        <v>1157</v>
      </c>
      <c r="AB140" s="315">
        <v>0</v>
      </c>
      <c r="AC140" s="315">
        <v>5000</v>
      </c>
      <c r="AD140" s="315">
        <v>4037</v>
      </c>
      <c r="AE140" s="315">
        <v>0.22</v>
      </c>
      <c r="AF140" s="315">
        <v>1.631</v>
      </c>
      <c r="AG140" s="315">
        <v>0.23</v>
      </c>
      <c r="AH140" s="315">
        <v>1083</v>
      </c>
    </row>
    <row r="141" spans="1:34">
      <c r="A141" s="315" t="s">
        <v>1401</v>
      </c>
      <c r="B141" s="315" t="s">
        <v>1066</v>
      </c>
      <c r="C141" s="316" t="s">
        <v>1402</v>
      </c>
      <c r="D141" s="316" t="s">
        <v>1402</v>
      </c>
      <c r="E141" s="317">
        <v>5.65</v>
      </c>
      <c r="F141" s="317">
        <v>0.41391529999999999</v>
      </c>
      <c r="G141" s="317">
        <v>0.45125949999999998</v>
      </c>
      <c r="H141" s="317">
        <v>6.7120752000000001</v>
      </c>
      <c r="I141" s="318">
        <v>118.79779115044246</v>
      </c>
      <c r="J141" s="318">
        <v>76.461742849782894</v>
      </c>
      <c r="K141" s="319">
        <v>29.603870671572501</v>
      </c>
      <c r="L141" s="319">
        <v>-89.193920478869956</v>
      </c>
      <c r="M141" s="319">
        <f t="shared" si="2"/>
        <v>0</v>
      </c>
      <c r="N141" s="317">
        <v>0</v>
      </c>
      <c r="O141" s="315" t="s">
        <v>1148</v>
      </c>
      <c r="P141" s="318">
        <v>208</v>
      </c>
      <c r="R141" s="320">
        <v>97.777777777777771</v>
      </c>
      <c r="S141" s="318">
        <v>40</v>
      </c>
      <c r="T141" s="318">
        <v>121.8</v>
      </c>
      <c r="U141" s="318">
        <v>547</v>
      </c>
      <c r="V141" s="315">
        <v>0.161</v>
      </c>
      <c r="W141" s="318">
        <v>17.100000000000001</v>
      </c>
      <c r="X141" s="315">
        <v>4</v>
      </c>
      <c r="Y141" s="315" t="s">
        <v>1149</v>
      </c>
      <c r="Z141" s="315">
        <v>0</v>
      </c>
      <c r="AA141" s="315" t="s">
        <v>1190</v>
      </c>
      <c r="AB141" s="315">
        <v>0</v>
      </c>
      <c r="AC141" s="315">
        <v>3605</v>
      </c>
      <c r="AD141" s="315">
        <v>3602</v>
      </c>
      <c r="AE141" s="315">
        <v>0.28999999999999998</v>
      </c>
      <c r="AF141" s="315">
        <v>1.577</v>
      </c>
      <c r="AG141" s="315">
        <v>0.28000000000000003</v>
      </c>
      <c r="AH141" s="315">
        <v>1022</v>
      </c>
    </row>
    <row r="142" spans="1:34">
      <c r="A142" s="315" t="s">
        <v>1403</v>
      </c>
      <c r="B142" s="315" t="s">
        <v>1066</v>
      </c>
      <c r="C142" s="316" t="s">
        <v>1404</v>
      </c>
      <c r="D142" s="316" t="s">
        <v>1404</v>
      </c>
      <c r="E142" s="317">
        <v>4.8036989999999999</v>
      </c>
      <c r="F142" s="317">
        <v>0</v>
      </c>
      <c r="G142" s="317">
        <v>0</v>
      </c>
      <c r="H142" s="317">
        <v>0</v>
      </c>
      <c r="I142" s="318">
        <v>0</v>
      </c>
      <c r="J142" s="318">
        <v>61.625867724440397</v>
      </c>
      <c r="K142" s="319">
        <v>37.728172201374001</v>
      </c>
      <c r="L142" s="319">
        <v>37.728172201374001</v>
      </c>
      <c r="M142" s="319">
        <f t="shared" si="2"/>
        <v>37.728172201374001</v>
      </c>
      <c r="N142" s="317">
        <v>1.8123478307556808</v>
      </c>
      <c r="O142" s="315" t="s">
        <v>1168</v>
      </c>
      <c r="P142" s="318">
        <v>210</v>
      </c>
      <c r="R142" s="320">
        <v>98.888888888888886</v>
      </c>
      <c r="S142" s="318">
        <v>38</v>
      </c>
      <c r="T142" s="318">
        <v>174.3</v>
      </c>
      <c r="U142" s="318">
        <v>4486</v>
      </c>
      <c r="V142" s="315">
        <v>0.17</v>
      </c>
      <c r="W142" s="318">
        <v>21.4</v>
      </c>
      <c r="X142" s="315">
        <v>0</v>
      </c>
      <c r="Y142" s="315" t="s">
        <v>1149</v>
      </c>
      <c r="Z142" s="315">
        <v>0</v>
      </c>
      <c r="AA142" s="315" t="s">
        <v>1157</v>
      </c>
      <c r="AB142" s="316">
        <v>0</v>
      </c>
      <c r="AC142" s="316">
        <v>3821</v>
      </c>
      <c r="AD142" s="316">
        <v>3754</v>
      </c>
      <c r="AE142" s="316">
        <v>0.43</v>
      </c>
      <c r="AF142" s="316">
        <v>1.6010800000000001</v>
      </c>
      <c r="AG142" s="316">
        <v>0.27</v>
      </c>
      <c r="AH142" s="316">
        <v>1026</v>
      </c>
    </row>
    <row r="143" spans="1:34">
      <c r="A143" s="315" t="s">
        <v>1405</v>
      </c>
      <c r="B143" s="315" t="s">
        <v>1066</v>
      </c>
      <c r="C143" s="316" t="s">
        <v>1406</v>
      </c>
      <c r="D143" s="316" t="s">
        <v>1406</v>
      </c>
      <c r="E143" s="317">
        <v>9.7358460000000004</v>
      </c>
      <c r="F143" s="317">
        <v>0.8741776</v>
      </c>
      <c r="G143" s="317">
        <v>0.97370409999999996</v>
      </c>
      <c r="H143" s="317">
        <v>1.0102183999999998</v>
      </c>
      <c r="I143" s="318">
        <v>10.376277521234414</v>
      </c>
      <c r="J143" s="318">
        <v>69.052177847389004</v>
      </c>
      <c r="K143" s="319">
        <v>30.520346686297099</v>
      </c>
      <c r="L143" s="319">
        <v>20.144069165062685</v>
      </c>
      <c r="M143" s="319">
        <f t="shared" si="2"/>
        <v>20.144069165062685</v>
      </c>
      <c r="N143" s="317">
        <v>1.961195552043989</v>
      </c>
      <c r="O143" s="315" t="s">
        <v>1148</v>
      </c>
      <c r="P143" s="318">
        <v>211</v>
      </c>
      <c r="R143" s="320">
        <v>99.444444444444443</v>
      </c>
      <c r="S143" s="318">
        <v>38</v>
      </c>
      <c r="T143" s="318">
        <v>1093</v>
      </c>
      <c r="U143" s="318">
        <v>157</v>
      </c>
      <c r="V143" s="315">
        <v>0.16</v>
      </c>
      <c r="W143" s="318">
        <v>17.399999999999999</v>
      </c>
      <c r="X143" s="315">
        <v>2</v>
      </c>
      <c r="Y143" s="315" t="s">
        <v>1149</v>
      </c>
      <c r="Z143" s="315">
        <v>0</v>
      </c>
      <c r="AA143" s="315" t="s">
        <v>1190</v>
      </c>
      <c r="AB143" s="316">
        <v>0</v>
      </c>
      <c r="AC143" s="316">
        <v>3740</v>
      </c>
      <c r="AD143" s="316">
        <v>3717</v>
      </c>
      <c r="AE143" s="316">
        <v>0.43</v>
      </c>
      <c r="AF143" s="316">
        <v>1.587302</v>
      </c>
      <c r="AG143" s="316">
        <v>0.26</v>
      </c>
      <c r="AH143" s="316">
        <v>1012</v>
      </c>
    </row>
    <row r="144" spans="1:34">
      <c r="A144" s="315" t="s">
        <v>1407</v>
      </c>
      <c r="B144" s="315" t="s">
        <v>1066</v>
      </c>
      <c r="C144" s="316" t="s">
        <v>1408</v>
      </c>
      <c r="D144" s="316" t="s">
        <v>1408</v>
      </c>
      <c r="E144" s="317">
        <v>0.73195399999999999</v>
      </c>
      <c r="F144" s="317">
        <v>0</v>
      </c>
      <c r="G144" s="317">
        <v>0</v>
      </c>
      <c r="H144" s="317">
        <v>0</v>
      </c>
      <c r="I144" s="318">
        <v>0</v>
      </c>
      <c r="J144" s="318">
        <v>71.301563200912895</v>
      </c>
      <c r="K144" s="319">
        <v>32.533593914025701</v>
      </c>
      <c r="L144" s="319">
        <v>32.533593914025701</v>
      </c>
      <c r="M144" s="319">
        <f t="shared" si="2"/>
        <v>32.533593914025701</v>
      </c>
      <c r="N144" s="317">
        <v>0.23813094199746768</v>
      </c>
      <c r="O144" s="315" t="s">
        <v>1168</v>
      </c>
      <c r="P144" s="318">
        <v>211</v>
      </c>
      <c r="R144" s="320">
        <v>99.444444444444443</v>
      </c>
      <c r="S144" s="318">
        <v>38</v>
      </c>
      <c r="T144" s="318">
        <v>326.8</v>
      </c>
      <c r="U144" s="318">
        <v>5780</v>
      </c>
      <c r="V144" s="315">
        <v>0.14000000000000001</v>
      </c>
      <c r="W144" s="318">
        <v>15.4</v>
      </c>
      <c r="X144" s="315">
        <v>0</v>
      </c>
      <c r="Y144" s="315" t="s">
        <v>1149</v>
      </c>
      <c r="Z144" s="315">
        <v>0</v>
      </c>
      <c r="AA144" s="315" t="s">
        <v>1157</v>
      </c>
      <c r="AB144" s="315">
        <v>0</v>
      </c>
      <c r="AC144" s="315">
        <v>3868</v>
      </c>
      <c r="AD144" s="315">
        <v>3802</v>
      </c>
      <c r="AE144" s="315">
        <v>0.33</v>
      </c>
      <c r="AF144" s="315">
        <v>1.6092</v>
      </c>
      <c r="AG144" s="315">
        <v>0.27</v>
      </c>
      <c r="AH144" s="315">
        <v>1039</v>
      </c>
    </row>
    <row r="145" spans="1:34">
      <c r="A145" s="315" t="s">
        <v>1409</v>
      </c>
      <c r="B145" s="315" t="s">
        <v>1066</v>
      </c>
      <c r="C145" s="316" t="s">
        <v>1410</v>
      </c>
      <c r="D145" s="316" t="s">
        <v>1411</v>
      </c>
      <c r="E145" s="317">
        <v>23.5</v>
      </c>
      <c r="F145" s="317">
        <v>0.59619659999999997</v>
      </c>
      <c r="G145" s="317">
        <v>0.64998659999999997</v>
      </c>
      <c r="H145" s="317">
        <v>3.8510074999999997</v>
      </c>
      <c r="I145" s="318">
        <v>16.387265957446807</v>
      </c>
      <c r="J145" s="318">
        <v>64.748694772972996</v>
      </c>
      <c r="K145" s="319">
        <v>35.421133998420501</v>
      </c>
      <c r="L145" s="319">
        <v>19.033868040973694</v>
      </c>
      <c r="M145" s="319">
        <f t="shared" si="2"/>
        <v>19.033868040973694</v>
      </c>
      <c r="N145" s="317">
        <v>4.4729589896288182</v>
      </c>
      <c r="O145" s="315" t="s">
        <v>1148</v>
      </c>
      <c r="P145" s="318">
        <v>215</v>
      </c>
      <c r="R145" s="320">
        <v>101.66666666666667</v>
      </c>
      <c r="S145" s="318">
        <v>33</v>
      </c>
      <c r="T145" s="318">
        <v>482</v>
      </c>
      <c r="U145" s="318">
        <v>647</v>
      </c>
      <c r="V145" s="315">
        <v>0.16</v>
      </c>
      <c r="W145" s="318">
        <v>16.7</v>
      </c>
      <c r="X145" s="315">
        <v>9</v>
      </c>
      <c r="Y145" s="315" t="s">
        <v>1149</v>
      </c>
      <c r="Z145" s="315">
        <v>0</v>
      </c>
      <c r="AA145" s="315" t="s">
        <v>1157</v>
      </c>
      <c r="AB145" s="315">
        <v>0</v>
      </c>
      <c r="AC145" s="315">
        <v>4026</v>
      </c>
      <c r="AD145" s="315">
        <v>3916</v>
      </c>
      <c r="AE145" s="315">
        <v>0.42</v>
      </c>
      <c r="AF145" s="315">
        <v>1.4750000000000001</v>
      </c>
      <c r="AG145" s="315">
        <v>0.41</v>
      </c>
      <c r="AH145" s="315">
        <v>846</v>
      </c>
    </row>
    <row r="146" spans="1:34">
      <c r="A146" s="315" t="s">
        <v>1145</v>
      </c>
      <c r="B146" s="315" t="s">
        <v>1066</v>
      </c>
      <c r="C146" s="316" t="s">
        <v>1412</v>
      </c>
      <c r="D146" s="316" t="s">
        <v>1412</v>
      </c>
      <c r="E146" s="317">
        <v>13.46</v>
      </c>
      <c r="F146" s="317">
        <v>2.4339097999999999</v>
      </c>
      <c r="G146" s="317">
        <v>2.6535017999999999</v>
      </c>
      <c r="H146" s="317">
        <v>4.4710884999999996</v>
      </c>
      <c r="I146" s="318">
        <v>33.217596582466562</v>
      </c>
      <c r="J146" s="318">
        <v>73.872054612731603</v>
      </c>
      <c r="K146" s="319">
        <v>31.14715079071</v>
      </c>
      <c r="L146" s="319">
        <v>-2.070445791756562</v>
      </c>
      <c r="M146" s="319">
        <f t="shared" si="2"/>
        <v>0</v>
      </c>
      <c r="N146" s="317">
        <v>0</v>
      </c>
      <c r="O146" s="315" t="s">
        <v>1148</v>
      </c>
      <c r="P146" s="318">
        <v>218</v>
      </c>
      <c r="R146" s="320">
        <v>103.33333333333333</v>
      </c>
      <c r="S146" s="318">
        <v>33</v>
      </c>
      <c r="T146" s="318">
        <v>77.400000000000006</v>
      </c>
      <c r="U146" s="318">
        <v>596</v>
      </c>
      <c r="V146" s="315">
        <v>0.14000000000000001</v>
      </c>
      <c r="W146" s="318">
        <v>34.700000000000003</v>
      </c>
      <c r="X146" s="315">
        <v>7</v>
      </c>
      <c r="Y146" s="315" t="s">
        <v>1149</v>
      </c>
      <c r="Z146" s="315">
        <v>0</v>
      </c>
      <c r="AA146" s="315" t="s">
        <v>1157</v>
      </c>
      <c r="AB146" s="315">
        <v>0</v>
      </c>
      <c r="AC146" s="315">
        <v>4113</v>
      </c>
      <c r="AD146" s="315">
        <v>4061</v>
      </c>
      <c r="AE146" s="315">
        <v>0.33</v>
      </c>
      <c r="AF146" s="315">
        <v>1.494</v>
      </c>
      <c r="AG146" s="315">
        <v>0.39</v>
      </c>
      <c r="AH146" s="315">
        <v>877</v>
      </c>
    </row>
    <row r="147" spans="1:34">
      <c r="A147" s="315" t="s">
        <v>1229</v>
      </c>
      <c r="B147" s="315" t="s">
        <v>1066</v>
      </c>
      <c r="C147" s="316" t="s">
        <v>1413</v>
      </c>
      <c r="D147" s="316" t="s">
        <v>1413</v>
      </c>
      <c r="E147" s="317">
        <v>30.32818</v>
      </c>
      <c r="F147" s="317">
        <v>2.4049958</v>
      </c>
      <c r="G147" s="317">
        <v>2.6820572</v>
      </c>
      <c r="H147" s="317">
        <v>2.7825133000000002</v>
      </c>
      <c r="I147" s="318">
        <v>9.1746794565318464</v>
      </c>
      <c r="J147" s="318">
        <v>69.0504210155989</v>
      </c>
      <c r="K147" s="319">
        <v>30.339772330619603</v>
      </c>
      <c r="L147" s="319">
        <v>21.165092874087755</v>
      </c>
      <c r="M147" s="319">
        <f t="shared" si="2"/>
        <v>21.165092874087755</v>
      </c>
      <c r="N147" s="317">
        <v>6.4189874640205078</v>
      </c>
      <c r="O147" s="315" t="s">
        <v>1148</v>
      </c>
      <c r="P147" s="318">
        <v>219</v>
      </c>
      <c r="R147" s="320">
        <v>103.88888888888889</v>
      </c>
      <c r="S147" s="318">
        <v>38</v>
      </c>
      <c r="T147" s="318">
        <v>2489</v>
      </c>
      <c r="U147" s="318">
        <v>180</v>
      </c>
      <c r="V147" s="315">
        <v>0.15</v>
      </c>
      <c r="W147" s="318">
        <v>17.399999999999999</v>
      </c>
      <c r="X147" s="315">
        <v>2</v>
      </c>
      <c r="Y147" s="315" t="s">
        <v>1149</v>
      </c>
      <c r="Z147" s="315">
        <v>0</v>
      </c>
      <c r="AA147" s="315" t="s">
        <v>1157</v>
      </c>
      <c r="AB147" s="315">
        <v>0</v>
      </c>
      <c r="AC147" s="315">
        <v>3974</v>
      </c>
      <c r="AD147" s="315">
        <v>3968</v>
      </c>
      <c r="AE147" s="315">
        <v>0.43</v>
      </c>
      <c r="AF147" s="315">
        <v>1.5151520000000001</v>
      </c>
      <c r="AG147" s="315">
        <v>0.24</v>
      </c>
      <c r="AH147" s="315">
        <v>1073</v>
      </c>
    </row>
    <row r="148" spans="1:34">
      <c r="A148" s="315" t="s">
        <v>1414</v>
      </c>
      <c r="B148" s="315" t="s">
        <v>1066</v>
      </c>
      <c r="C148" s="316" t="s">
        <v>1415</v>
      </c>
      <c r="D148" s="316" t="s">
        <v>1415</v>
      </c>
      <c r="E148" s="317">
        <v>0.36</v>
      </c>
      <c r="F148" s="317">
        <v>0</v>
      </c>
      <c r="G148" s="317">
        <v>0</v>
      </c>
      <c r="H148" s="317">
        <v>0</v>
      </c>
      <c r="I148" s="318">
        <v>0</v>
      </c>
      <c r="J148" s="318">
        <v>76.084025543625202</v>
      </c>
      <c r="K148" s="319">
        <v>27.168271313299702</v>
      </c>
      <c r="L148" s="319">
        <v>27.168271313299702</v>
      </c>
      <c r="M148" s="319">
        <f t="shared" si="2"/>
        <v>27.168271313299702</v>
      </c>
      <c r="N148" s="317">
        <v>9.7805776727878921E-2</v>
      </c>
      <c r="O148" s="315" t="s">
        <v>1168</v>
      </c>
      <c r="P148" s="318">
        <v>220</v>
      </c>
      <c r="R148" s="320">
        <v>104.44444444444444</v>
      </c>
      <c r="S148" s="318">
        <v>38</v>
      </c>
      <c r="T148" s="318">
        <v>26.58</v>
      </c>
      <c r="U148" s="318">
        <v>26.58</v>
      </c>
      <c r="V148" s="315">
        <v>0.14799999999999999</v>
      </c>
      <c r="W148" s="318">
        <v>20.68</v>
      </c>
      <c r="X148" s="315">
        <v>1</v>
      </c>
      <c r="Y148" s="315" t="s">
        <v>1149</v>
      </c>
      <c r="Z148" s="315">
        <v>0</v>
      </c>
      <c r="AA148" s="315" t="s">
        <v>1157</v>
      </c>
      <c r="AB148" s="315">
        <v>0</v>
      </c>
      <c r="AC148" s="315">
        <v>5000</v>
      </c>
      <c r="AD148" s="315">
        <v>3600</v>
      </c>
      <c r="AE148" s="315">
        <v>0.33</v>
      </c>
      <c r="AF148" s="315">
        <v>1.5580000000000001</v>
      </c>
      <c r="AG148" s="315">
        <v>0.26</v>
      </c>
      <c r="AH148" s="315">
        <v>977</v>
      </c>
    </row>
    <row r="149" spans="1:34">
      <c r="A149" s="315" t="s">
        <v>1416</v>
      </c>
      <c r="B149" s="315" t="s">
        <v>1066</v>
      </c>
      <c r="C149" s="316" t="s">
        <v>1417</v>
      </c>
      <c r="D149" s="316" t="s">
        <v>1417</v>
      </c>
      <c r="E149" s="317">
        <v>1.274896</v>
      </c>
      <c r="F149" s="317">
        <v>0</v>
      </c>
      <c r="G149" s="317">
        <v>0</v>
      </c>
      <c r="H149" s="317">
        <v>0</v>
      </c>
      <c r="I149" s="318">
        <v>0</v>
      </c>
      <c r="J149" s="318">
        <v>55.602107257136304</v>
      </c>
      <c r="K149" s="319">
        <v>38.537951482464003</v>
      </c>
      <c r="L149" s="319">
        <v>38.537951482464003</v>
      </c>
      <c r="M149" s="319">
        <f t="shared" si="2"/>
        <v>38.537951482464003</v>
      </c>
      <c r="N149" s="317">
        <v>0.49131880193187427</v>
      </c>
      <c r="O149" s="315" t="s">
        <v>1168</v>
      </c>
      <c r="P149" s="318">
        <v>222</v>
      </c>
      <c r="R149" s="320">
        <v>105.55555555555556</v>
      </c>
      <c r="S149" s="318">
        <v>38</v>
      </c>
      <c r="T149" s="318">
        <v>468.03</v>
      </c>
      <c r="U149" s="318">
        <v>2029</v>
      </c>
      <c r="V149" s="315">
        <v>0.186</v>
      </c>
      <c r="W149" s="318">
        <v>32.4</v>
      </c>
      <c r="X149" s="315">
        <v>1</v>
      </c>
      <c r="Y149" s="315" t="s">
        <v>1149</v>
      </c>
      <c r="Z149" s="315">
        <v>0</v>
      </c>
      <c r="AA149" s="315" t="s">
        <v>1157</v>
      </c>
      <c r="AB149" s="315">
        <v>0</v>
      </c>
      <c r="AC149" s="315">
        <v>4108</v>
      </c>
      <c r="AD149" s="315">
        <v>4088</v>
      </c>
      <c r="AE149" s="315">
        <v>0.51</v>
      </c>
      <c r="AF149" s="315">
        <v>1.6439999999999999</v>
      </c>
      <c r="AG149" s="315">
        <v>0.23</v>
      </c>
      <c r="AH149" s="315">
        <v>1103</v>
      </c>
    </row>
    <row r="150" spans="1:34">
      <c r="A150" s="315" t="s">
        <v>1310</v>
      </c>
      <c r="B150" s="315" t="s">
        <v>1068</v>
      </c>
      <c r="C150" s="316" t="s">
        <v>1418</v>
      </c>
      <c r="D150" s="316" t="s">
        <v>1419</v>
      </c>
      <c r="E150" s="317">
        <v>338.41999999999996</v>
      </c>
      <c r="F150" s="317">
        <v>117.5983619266663</v>
      </c>
      <c r="G150" s="317">
        <v>125.99388936732589</v>
      </c>
      <c r="H150" s="317">
        <v>136.83097221728093</v>
      </c>
      <c r="I150" s="318">
        <v>40.432294845836815</v>
      </c>
      <c r="J150" s="318">
        <v>46.355290111713799</v>
      </c>
      <c r="K150" s="319">
        <v>44.126475570581199</v>
      </c>
      <c r="L150" s="319">
        <v>3.6941807247443847</v>
      </c>
      <c r="M150" s="319">
        <f t="shared" si="2"/>
        <v>3.6941807247443847</v>
      </c>
      <c r="N150" s="317">
        <v>12.501846408679945</v>
      </c>
      <c r="O150" s="315" t="s">
        <v>1148</v>
      </c>
      <c r="P150" s="318">
        <v>179</v>
      </c>
      <c r="R150" s="320">
        <v>81.666666666666671</v>
      </c>
      <c r="S150" s="318">
        <v>44</v>
      </c>
      <c r="T150" s="318">
        <v>247</v>
      </c>
      <c r="U150" s="318">
        <v>76</v>
      </c>
      <c r="V150" s="315">
        <v>0.23</v>
      </c>
      <c r="W150" s="318">
        <v>325</v>
      </c>
      <c r="X150" s="315">
        <v>41</v>
      </c>
      <c r="Y150" s="315" t="s">
        <v>1420</v>
      </c>
      <c r="Z150" s="315">
        <v>3</v>
      </c>
      <c r="AA150" s="315" t="s">
        <v>1190</v>
      </c>
      <c r="AB150" s="315">
        <v>1.6</v>
      </c>
      <c r="AC150" s="315">
        <v>2470</v>
      </c>
      <c r="AD150" s="315">
        <v>2470</v>
      </c>
      <c r="AE150" s="315">
        <v>0.7</v>
      </c>
      <c r="AF150" s="315">
        <v>1.3512</v>
      </c>
      <c r="AG150" s="315">
        <v>0.4</v>
      </c>
      <c r="AH150" s="315">
        <v>643</v>
      </c>
    </row>
    <row r="151" spans="1:34">
      <c r="A151" s="315" t="s">
        <v>1310</v>
      </c>
      <c r="B151" s="315" t="s">
        <v>1068</v>
      </c>
      <c r="C151" s="316" t="s">
        <v>1421</v>
      </c>
      <c r="D151" s="316" t="s">
        <v>1422</v>
      </c>
      <c r="E151" s="317">
        <v>325.60000000000002</v>
      </c>
      <c r="F151" s="317">
        <v>108.69673682857932</v>
      </c>
      <c r="G151" s="317">
        <v>138.72238753442099</v>
      </c>
      <c r="H151" s="317">
        <v>148.04206453071498</v>
      </c>
      <c r="I151" s="318">
        <v>45.467464536460369</v>
      </c>
      <c r="J151" s="318">
        <v>54.277299706050997</v>
      </c>
      <c r="K151" s="319">
        <v>42.669434738346503</v>
      </c>
      <c r="L151" s="319">
        <v>-2.7980297981138662</v>
      </c>
      <c r="M151" s="319">
        <f t="shared" si="2"/>
        <v>0</v>
      </c>
      <c r="N151" s="317">
        <v>0</v>
      </c>
      <c r="O151" s="315" t="s">
        <v>1148</v>
      </c>
      <c r="P151" s="318">
        <v>188</v>
      </c>
      <c r="R151" s="320">
        <v>86.666666666666671</v>
      </c>
      <c r="S151" s="318">
        <v>42</v>
      </c>
      <c r="T151" s="318">
        <v>432</v>
      </c>
      <c r="U151" s="318">
        <v>122</v>
      </c>
      <c r="V151" s="315">
        <v>0.21</v>
      </c>
      <c r="W151" s="318">
        <v>120</v>
      </c>
      <c r="X151" s="315">
        <v>37</v>
      </c>
      <c r="Y151" s="315" t="s">
        <v>1420</v>
      </c>
      <c r="Z151" s="315">
        <v>6</v>
      </c>
      <c r="AA151" s="315" t="s">
        <v>1190</v>
      </c>
      <c r="AB151" s="315">
        <v>2</v>
      </c>
      <c r="AC151" s="315">
        <v>3170</v>
      </c>
      <c r="AD151" s="315">
        <v>3170</v>
      </c>
      <c r="AE151" s="315">
        <v>0.7</v>
      </c>
      <c r="AF151" s="315">
        <v>1.55</v>
      </c>
      <c r="AG151" s="315">
        <v>0.34699999999999998</v>
      </c>
      <c r="AH151" s="315">
        <v>1100</v>
      </c>
    </row>
    <row r="152" spans="1:34">
      <c r="A152" s="315" t="s">
        <v>1145</v>
      </c>
      <c r="B152" s="315" t="s">
        <v>1068</v>
      </c>
      <c r="C152" s="316" t="s">
        <v>1423</v>
      </c>
      <c r="D152" s="316" t="s">
        <v>1424</v>
      </c>
      <c r="E152" s="317">
        <v>88</v>
      </c>
      <c r="F152" s="317">
        <v>42.790948899481279</v>
      </c>
      <c r="G152" s="317">
        <v>50.659509632738022</v>
      </c>
      <c r="H152" s="317">
        <v>50.659509632738022</v>
      </c>
      <c r="I152" s="318">
        <v>57.56762458265684</v>
      </c>
      <c r="J152" s="318">
        <v>42.877427296820798</v>
      </c>
      <c r="K152" s="319">
        <v>45.217462451600397</v>
      </c>
      <c r="L152" s="319">
        <v>-12.350162131056443</v>
      </c>
      <c r="M152" s="319">
        <f t="shared" si="2"/>
        <v>0</v>
      </c>
      <c r="N152" s="317">
        <v>0</v>
      </c>
      <c r="O152" s="315" t="s">
        <v>1148</v>
      </c>
      <c r="P152" s="318">
        <v>204</v>
      </c>
      <c r="R152" s="320">
        <v>95.555555555555557</v>
      </c>
      <c r="S152" s="318">
        <v>40</v>
      </c>
      <c r="T152" s="318">
        <v>144</v>
      </c>
      <c r="U152" s="318">
        <v>105</v>
      </c>
      <c r="V152" s="315">
        <v>0.2</v>
      </c>
      <c r="W152" s="318">
        <v>50</v>
      </c>
      <c r="X152" s="315">
        <v>11</v>
      </c>
      <c r="Y152" s="315" t="s">
        <v>1420</v>
      </c>
      <c r="Z152" s="315">
        <v>4</v>
      </c>
      <c r="AA152" s="315" t="s">
        <v>1190</v>
      </c>
      <c r="AB152" s="315">
        <v>0</v>
      </c>
      <c r="AC152" s="315">
        <v>3434</v>
      </c>
      <c r="AD152" s="315">
        <v>3380</v>
      </c>
      <c r="AE152" s="315">
        <v>0.65</v>
      </c>
      <c r="AF152" s="315">
        <v>1.78</v>
      </c>
      <c r="AG152" s="315">
        <v>0.36699999999999999</v>
      </c>
      <c r="AH152" s="315">
        <v>1420</v>
      </c>
    </row>
    <row r="153" spans="1:34">
      <c r="A153" s="315" t="s">
        <v>1145</v>
      </c>
      <c r="B153" s="315" t="s">
        <v>1425</v>
      </c>
      <c r="C153" s="316" t="s">
        <v>1426</v>
      </c>
      <c r="D153" s="316" t="s">
        <v>1427</v>
      </c>
      <c r="E153" s="317">
        <v>17.664999999999999</v>
      </c>
      <c r="F153" s="317">
        <v>13.645280554920687</v>
      </c>
      <c r="G153" s="317">
        <v>13.645280554920687</v>
      </c>
      <c r="H153" s="317">
        <v>13.645280554920687</v>
      </c>
      <c r="I153" s="318">
        <v>77.244724341470075</v>
      </c>
      <c r="J153" s="318">
        <v>64.685012522808805</v>
      </c>
      <c r="K153" s="319">
        <v>34.194382427183399</v>
      </c>
      <c r="L153" s="319">
        <v>-43.050341914286676</v>
      </c>
      <c r="M153" s="319">
        <f t="shared" si="2"/>
        <v>0</v>
      </c>
      <c r="N153" s="317">
        <v>0</v>
      </c>
      <c r="O153" s="315" t="s">
        <v>1148</v>
      </c>
      <c r="P153" s="318">
        <v>200</v>
      </c>
      <c r="R153" s="320">
        <v>93.333333333333329</v>
      </c>
      <c r="S153" s="318">
        <v>34</v>
      </c>
      <c r="T153" s="318">
        <v>90</v>
      </c>
      <c r="U153" s="318">
        <v>319.5</v>
      </c>
      <c r="V153" s="315">
        <v>0.183</v>
      </c>
      <c r="W153" s="318">
        <v>10</v>
      </c>
      <c r="X153" s="315">
        <v>1</v>
      </c>
      <c r="Y153" s="315" t="s">
        <v>1149</v>
      </c>
      <c r="Z153" s="315">
        <v>0</v>
      </c>
      <c r="AA153" s="315" t="s">
        <v>1150</v>
      </c>
      <c r="AB153" s="315">
        <v>0.331432</v>
      </c>
      <c r="AC153" s="315">
        <v>4081</v>
      </c>
      <c r="AD153" s="315">
        <v>3877</v>
      </c>
      <c r="AE153" s="315">
        <v>0.55000000000000004</v>
      </c>
      <c r="AF153" s="315">
        <v>1.400560224089636</v>
      </c>
      <c r="AG153" s="315">
        <v>0.42</v>
      </c>
      <c r="AH153" s="315">
        <v>940</v>
      </c>
    </row>
    <row r="154" spans="1:34">
      <c r="A154" s="315" t="s">
        <v>1277</v>
      </c>
      <c r="B154" s="315" t="s">
        <v>1425</v>
      </c>
      <c r="C154" s="316" t="s">
        <v>1428</v>
      </c>
      <c r="D154" s="316" t="s">
        <v>1429</v>
      </c>
      <c r="E154" s="317">
        <v>7.9</v>
      </c>
      <c r="F154" s="317">
        <v>2.7787688454358355</v>
      </c>
      <c r="G154" s="317">
        <v>2.7787688454358355</v>
      </c>
      <c r="H154" s="317">
        <v>2.7787688454358355</v>
      </c>
      <c r="I154" s="318">
        <v>35.174289182732096</v>
      </c>
      <c r="J154" s="318">
        <v>64.491445065330296</v>
      </c>
      <c r="K154" s="319">
        <v>37.669595953669599</v>
      </c>
      <c r="L154" s="319">
        <v>2.4953067709375034</v>
      </c>
      <c r="M154" s="319">
        <f t="shared" si="2"/>
        <v>2.4953067709375034</v>
      </c>
      <c r="N154" s="317">
        <v>0.19712923490406278</v>
      </c>
      <c r="O154" s="315" t="s">
        <v>1148</v>
      </c>
      <c r="P154" s="318">
        <v>206</v>
      </c>
      <c r="R154" s="320">
        <v>96.666666666666671</v>
      </c>
      <c r="S154" s="318">
        <v>32</v>
      </c>
      <c r="T154" s="318">
        <v>119</v>
      </c>
      <c r="U154" s="318">
        <v>271</v>
      </c>
      <c r="V154" s="315">
        <v>0.17899999999999999</v>
      </c>
      <c r="W154" s="318">
        <v>10</v>
      </c>
      <c r="X154" s="315">
        <v>1</v>
      </c>
      <c r="Y154" s="315" t="s">
        <v>1149</v>
      </c>
      <c r="Z154" s="315">
        <v>0</v>
      </c>
      <c r="AA154" s="315" t="s">
        <v>1150</v>
      </c>
      <c r="AB154" s="315">
        <v>2.4553999999999999E-172</v>
      </c>
      <c r="AC154" s="315">
        <v>4153</v>
      </c>
      <c r="AD154" s="315">
        <v>3872</v>
      </c>
      <c r="AE154" s="315">
        <v>0.55000000000000004</v>
      </c>
      <c r="AF154" s="315">
        <v>1.400560224089636</v>
      </c>
      <c r="AG154" s="315">
        <v>0.42</v>
      </c>
      <c r="AH154" s="315">
        <v>940</v>
      </c>
    </row>
    <row r="155" spans="1:34">
      <c r="A155" s="315" t="s">
        <v>1145</v>
      </c>
      <c r="B155" s="315" t="s">
        <v>1430</v>
      </c>
      <c r="C155" s="316" t="s">
        <v>1431</v>
      </c>
      <c r="D155" s="316" t="s">
        <v>1431</v>
      </c>
      <c r="E155" s="317">
        <v>12.956447595520029</v>
      </c>
      <c r="F155" s="317">
        <v>5.5501218000000003</v>
      </c>
      <c r="G155" s="317">
        <v>5.5501218000000003</v>
      </c>
      <c r="H155" s="317">
        <v>5.5501218000000003</v>
      </c>
      <c r="I155" s="318">
        <v>42.836755669965235</v>
      </c>
      <c r="J155" s="318">
        <v>51.559314084154899</v>
      </c>
      <c r="K155" s="319">
        <v>39.529825678203103</v>
      </c>
      <c r="L155" s="319">
        <v>-3.3069299917621322</v>
      </c>
      <c r="M155" s="319">
        <f t="shared" si="2"/>
        <v>0</v>
      </c>
      <c r="N155" s="317">
        <v>0</v>
      </c>
      <c r="O155" s="315" t="s">
        <v>1148</v>
      </c>
      <c r="P155" s="318">
        <v>193</v>
      </c>
      <c r="R155" s="320">
        <v>89.444444444444443</v>
      </c>
      <c r="S155" s="318">
        <v>37</v>
      </c>
      <c r="T155" s="318">
        <v>43</v>
      </c>
      <c r="U155" s="318">
        <v>47</v>
      </c>
      <c r="V155" s="315">
        <v>0.23</v>
      </c>
      <c r="W155" s="318">
        <v>700</v>
      </c>
      <c r="X155" s="315">
        <v>3</v>
      </c>
      <c r="Y155" s="315" t="s">
        <v>1149</v>
      </c>
      <c r="Z155" s="315">
        <v>0</v>
      </c>
      <c r="AA155" s="315" t="s">
        <v>1150</v>
      </c>
      <c r="AB155" s="315">
        <v>0.63</v>
      </c>
      <c r="AC155" s="315">
        <v>1630</v>
      </c>
      <c r="AD155" s="315">
        <v>1630</v>
      </c>
      <c r="AE155" s="315">
        <v>0.67</v>
      </c>
      <c r="AF155" s="315">
        <v>1.323</v>
      </c>
      <c r="AG155" s="315">
        <v>0.53200000000000003</v>
      </c>
      <c r="AH155" s="315">
        <v>461</v>
      </c>
    </row>
    <row r="156" spans="1:34">
      <c r="A156" s="315" t="s">
        <v>1432</v>
      </c>
      <c r="B156" s="315" t="s">
        <v>1430</v>
      </c>
      <c r="C156" s="316" t="s">
        <v>1433</v>
      </c>
      <c r="D156" s="316" t="s">
        <v>1433</v>
      </c>
      <c r="E156" s="317">
        <v>24.317933147080918</v>
      </c>
      <c r="F156" s="317">
        <v>4.4579600820733809</v>
      </c>
      <c r="G156" s="317">
        <v>4.4579600820733809</v>
      </c>
      <c r="H156" s="317">
        <v>4.4579600820733809</v>
      </c>
      <c r="I156" s="318">
        <v>18.331985926232004</v>
      </c>
      <c r="J156" s="318">
        <v>49.974101073564</v>
      </c>
      <c r="K156" s="319">
        <v>40.059517571241699</v>
      </c>
      <c r="L156" s="319">
        <v>21.727531645009694</v>
      </c>
      <c r="M156" s="319">
        <f t="shared" si="2"/>
        <v>21.727531645009694</v>
      </c>
      <c r="N156" s="317">
        <v>5.2836866199443087</v>
      </c>
      <c r="O156" s="315" t="s">
        <v>1148</v>
      </c>
      <c r="P156" s="318">
        <v>196</v>
      </c>
      <c r="R156" s="320">
        <v>91.111111111111114</v>
      </c>
      <c r="S156" s="318">
        <v>37</v>
      </c>
      <c r="T156" s="318">
        <v>87</v>
      </c>
      <c r="U156" s="318">
        <v>59</v>
      </c>
      <c r="V156" s="315">
        <v>0.25</v>
      </c>
      <c r="W156" s="318">
        <v>1000</v>
      </c>
      <c r="X156" s="315">
        <v>3</v>
      </c>
      <c r="Y156" s="315" t="s">
        <v>1149</v>
      </c>
      <c r="Z156" s="315">
        <v>0</v>
      </c>
      <c r="AA156" s="315" t="s">
        <v>1190</v>
      </c>
      <c r="AB156" s="315">
        <v>1.3</v>
      </c>
      <c r="AC156" s="315">
        <v>1601</v>
      </c>
      <c r="AD156" s="315">
        <v>1601</v>
      </c>
      <c r="AE156" s="315">
        <v>0.68</v>
      </c>
      <c r="AF156" s="315">
        <v>1.321</v>
      </c>
      <c r="AG156" s="315">
        <v>0.51700000000000002</v>
      </c>
      <c r="AH156" s="315">
        <v>456</v>
      </c>
    </row>
    <row r="157" spans="1:34">
      <c r="A157" s="315" t="s">
        <v>1145</v>
      </c>
      <c r="B157" s="315" t="s">
        <v>1430</v>
      </c>
      <c r="C157" s="316" t="s">
        <v>1434</v>
      </c>
      <c r="D157" s="316" t="s">
        <v>1434</v>
      </c>
      <c r="E157" s="317">
        <v>7.0666828862216775</v>
      </c>
      <c r="F157" s="317">
        <v>1.1847970000000001</v>
      </c>
      <c r="G157" s="317">
        <v>1.1847970000000001</v>
      </c>
      <c r="H157" s="317">
        <v>3.1913470248711957</v>
      </c>
      <c r="I157" s="318">
        <v>45.160467453457557</v>
      </c>
      <c r="J157" s="318">
        <v>50.069683427517099</v>
      </c>
      <c r="K157" s="319">
        <v>40.285556527496404</v>
      </c>
      <c r="L157" s="319">
        <v>-4.8749109259611529</v>
      </c>
      <c r="M157" s="319">
        <f t="shared" si="2"/>
        <v>0</v>
      </c>
      <c r="N157" s="317">
        <v>0</v>
      </c>
      <c r="O157" s="315" t="s">
        <v>1148</v>
      </c>
      <c r="P157" s="318">
        <v>197</v>
      </c>
      <c r="R157" s="320">
        <v>91.666666666666671</v>
      </c>
      <c r="S157" s="318">
        <v>37</v>
      </c>
      <c r="T157" s="318">
        <v>40</v>
      </c>
      <c r="U157" s="318">
        <v>71</v>
      </c>
      <c r="V157" s="315">
        <v>0.24</v>
      </c>
      <c r="W157" s="318">
        <v>600</v>
      </c>
      <c r="X157" s="315">
        <v>0</v>
      </c>
      <c r="Y157" s="315" t="s">
        <v>1149</v>
      </c>
      <c r="Z157" s="315">
        <v>0</v>
      </c>
      <c r="AA157" s="315" t="s">
        <v>1435</v>
      </c>
      <c r="AB157" s="315">
        <v>0.23885455915599091</v>
      </c>
      <c r="AC157" s="315">
        <v>1661</v>
      </c>
      <c r="AD157" s="315">
        <v>1661</v>
      </c>
      <c r="AE157" s="315">
        <v>0.7</v>
      </c>
      <c r="AF157" s="315">
        <v>1.327</v>
      </c>
      <c r="AG157" s="315">
        <v>0.50700000000000001</v>
      </c>
      <c r="AH157" s="315">
        <v>470</v>
      </c>
    </row>
    <row r="158" spans="1:34">
      <c r="A158" s="315" t="s">
        <v>1145</v>
      </c>
      <c r="B158" s="315" t="s">
        <v>1430</v>
      </c>
      <c r="C158" s="316" t="s">
        <v>1436</v>
      </c>
      <c r="D158" s="316" t="s">
        <v>1436</v>
      </c>
      <c r="E158" s="317">
        <v>32.507843741912865</v>
      </c>
      <c r="F158" s="317">
        <v>9.9391874325525382</v>
      </c>
      <c r="G158" s="317">
        <v>11.364643499182041</v>
      </c>
      <c r="H158" s="317">
        <v>11.364643499182041</v>
      </c>
      <c r="I158" s="318">
        <v>34.959696464055014</v>
      </c>
      <c r="J158" s="318">
        <v>45.246474931423798</v>
      </c>
      <c r="K158" s="319">
        <v>42.821223227121202</v>
      </c>
      <c r="L158" s="319">
        <v>7.8615267630661876</v>
      </c>
      <c r="M158" s="319">
        <f t="shared" si="2"/>
        <v>7.8615267630661876</v>
      </c>
      <c r="N158" s="317">
        <v>2.5556128358662167</v>
      </c>
      <c r="O158" s="315" t="s">
        <v>1148</v>
      </c>
      <c r="P158" s="318">
        <v>197</v>
      </c>
      <c r="R158" s="320">
        <v>91.666666666666671</v>
      </c>
      <c r="S158" s="318">
        <v>37</v>
      </c>
      <c r="T158" s="318">
        <v>79</v>
      </c>
      <c r="U158" s="318">
        <v>79</v>
      </c>
      <c r="V158" s="315">
        <v>0.3</v>
      </c>
      <c r="W158" s="318">
        <v>2000</v>
      </c>
      <c r="X158" s="315">
        <v>3</v>
      </c>
      <c r="Y158" s="315" t="s">
        <v>1149</v>
      </c>
      <c r="Z158" s="315">
        <v>0</v>
      </c>
      <c r="AA158" s="315" t="s">
        <v>1150</v>
      </c>
      <c r="AB158" s="315">
        <v>0.42</v>
      </c>
      <c r="AC158" s="315">
        <v>1655</v>
      </c>
      <c r="AD158" s="315">
        <v>1655</v>
      </c>
      <c r="AE158" s="315">
        <v>0.78</v>
      </c>
      <c r="AF158" s="315">
        <v>1.3120000000000001</v>
      </c>
      <c r="AG158" s="315">
        <v>0.5</v>
      </c>
      <c r="AH158" s="315">
        <v>468</v>
      </c>
    </row>
    <row r="159" spans="1:34">
      <c r="A159" s="315" t="s">
        <v>1361</v>
      </c>
      <c r="B159" s="315" t="s">
        <v>1430</v>
      </c>
      <c r="C159" s="316" t="s">
        <v>1437</v>
      </c>
      <c r="D159" s="316" t="s">
        <v>1437</v>
      </c>
      <c r="E159" s="317">
        <v>55.27889766166691</v>
      </c>
      <c r="F159" s="317">
        <v>10.573213103629167</v>
      </c>
      <c r="G159" s="317">
        <v>12.907576677006004</v>
      </c>
      <c r="H159" s="317">
        <v>12.980974948002443</v>
      </c>
      <c r="I159" s="318">
        <v>23.48269501944878</v>
      </c>
      <c r="J159" s="318">
        <v>55.986925095966598</v>
      </c>
      <c r="K159" s="319">
        <v>38.072488903895504</v>
      </c>
      <c r="L159" s="319">
        <v>14.589793884446724</v>
      </c>
      <c r="M159" s="319">
        <f t="shared" si="2"/>
        <v>14.589793884446724</v>
      </c>
      <c r="N159" s="317">
        <v>8.0650772304314433</v>
      </c>
      <c r="O159" s="315" t="s">
        <v>1148</v>
      </c>
      <c r="P159" s="318">
        <v>197</v>
      </c>
      <c r="R159" s="320">
        <v>91.666666666666671</v>
      </c>
      <c r="S159" s="318">
        <v>37</v>
      </c>
      <c r="T159" s="318">
        <v>75</v>
      </c>
      <c r="U159" s="318">
        <v>319</v>
      </c>
      <c r="V159" s="315">
        <v>0.21</v>
      </c>
      <c r="W159" s="318">
        <v>50</v>
      </c>
      <c r="X159" s="315">
        <v>12</v>
      </c>
      <c r="Y159" s="315" t="s">
        <v>1149</v>
      </c>
      <c r="Z159" s="315">
        <v>0</v>
      </c>
      <c r="AA159" s="315" t="s">
        <v>1190</v>
      </c>
      <c r="AB159" s="315">
        <v>0.34</v>
      </c>
      <c r="AC159" s="315">
        <v>1750</v>
      </c>
      <c r="AD159" s="315">
        <v>1750</v>
      </c>
      <c r="AE159" s="315">
        <v>0.55000000000000004</v>
      </c>
      <c r="AF159" s="315">
        <v>1.339</v>
      </c>
      <c r="AG159" s="315">
        <v>0.48899999999999999</v>
      </c>
      <c r="AH159" s="315">
        <v>495</v>
      </c>
    </row>
    <row r="160" spans="1:34">
      <c r="A160" s="315" t="s">
        <v>1145</v>
      </c>
      <c r="B160" s="315" t="s">
        <v>1430</v>
      </c>
      <c r="C160" s="316" t="s">
        <v>1438</v>
      </c>
      <c r="D160" s="316" t="s">
        <v>1438</v>
      </c>
      <c r="E160" s="317">
        <v>100.16914639035384</v>
      </c>
      <c r="F160" s="317">
        <v>16.812197095088784</v>
      </c>
      <c r="G160" s="317">
        <v>19.146560668465625</v>
      </c>
      <c r="H160" s="317">
        <v>21.813134381754491</v>
      </c>
      <c r="I160" s="318">
        <v>21.776300555412405</v>
      </c>
      <c r="J160" s="318">
        <v>61.171814096989898</v>
      </c>
      <c r="K160" s="319">
        <v>32.3204511050779</v>
      </c>
      <c r="L160" s="319">
        <v>10.544150549665495</v>
      </c>
      <c r="M160" s="319">
        <f t="shared" si="2"/>
        <v>10.544150549665495</v>
      </c>
      <c r="N160" s="317">
        <v>10.561985599713729</v>
      </c>
      <c r="O160" s="315" t="s">
        <v>1148</v>
      </c>
      <c r="P160" s="318">
        <v>197</v>
      </c>
      <c r="R160" s="320">
        <v>91.666666666666671</v>
      </c>
      <c r="S160" s="318">
        <v>37</v>
      </c>
      <c r="T160" s="318">
        <v>90</v>
      </c>
      <c r="U160" s="318">
        <v>106</v>
      </c>
      <c r="V160" s="315">
        <v>0.21</v>
      </c>
      <c r="W160" s="318">
        <v>30</v>
      </c>
      <c r="X160" s="315">
        <v>2</v>
      </c>
      <c r="Y160" s="315" t="s">
        <v>1149</v>
      </c>
      <c r="Z160" s="315">
        <v>0</v>
      </c>
      <c r="AA160" s="315" t="s">
        <v>1190</v>
      </c>
      <c r="AB160" s="315">
        <v>0.1</v>
      </c>
      <c r="AC160" s="315">
        <v>1788</v>
      </c>
      <c r="AD160" s="315">
        <v>1788</v>
      </c>
      <c r="AE160" s="315">
        <v>0.47</v>
      </c>
      <c r="AF160" s="315">
        <v>1.345</v>
      </c>
      <c r="AG160" s="315">
        <v>0.48199999999999998</v>
      </c>
      <c r="AH160" s="315">
        <v>506</v>
      </c>
    </row>
    <row r="161" spans="1:34">
      <c r="A161" s="315" t="s">
        <v>1145</v>
      </c>
      <c r="B161" s="315" t="s">
        <v>1430</v>
      </c>
      <c r="C161" s="316" t="s">
        <v>1439</v>
      </c>
      <c r="D161" s="316" t="s">
        <v>1439</v>
      </c>
      <c r="E161" s="317">
        <v>34.646357943692351</v>
      </c>
      <c r="F161" s="317">
        <v>13.483028785970925</v>
      </c>
      <c r="G161" s="317">
        <v>15.729633763116595</v>
      </c>
      <c r="H161" s="317">
        <v>15.729633763116595</v>
      </c>
      <c r="I161" s="318">
        <v>45.400540480129465</v>
      </c>
      <c r="J161" s="318">
        <v>45.544540039787499</v>
      </c>
      <c r="K161" s="319">
        <v>43.843118734813601</v>
      </c>
      <c r="L161" s="319">
        <v>-1.5574217453158639</v>
      </c>
      <c r="M161" s="319">
        <f t="shared" si="2"/>
        <v>0</v>
      </c>
      <c r="N161" s="317">
        <v>0</v>
      </c>
      <c r="O161" s="315" t="s">
        <v>1148</v>
      </c>
      <c r="P161" s="318">
        <v>203</v>
      </c>
      <c r="R161" s="320">
        <v>95</v>
      </c>
      <c r="S161" s="318">
        <v>37</v>
      </c>
      <c r="T161" s="318">
        <v>51</v>
      </c>
      <c r="U161" s="318">
        <v>257</v>
      </c>
      <c r="V161" s="315">
        <v>0.25</v>
      </c>
      <c r="W161" s="318">
        <v>1000</v>
      </c>
      <c r="X161" s="315">
        <v>7</v>
      </c>
      <c r="Y161" s="315" t="s">
        <v>1440</v>
      </c>
      <c r="Z161" s="315">
        <v>1</v>
      </c>
      <c r="AA161" s="315" t="s">
        <v>1150</v>
      </c>
      <c r="AB161" s="315">
        <v>0.34</v>
      </c>
      <c r="AC161" s="315">
        <v>1750</v>
      </c>
      <c r="AD161" s="315">
        <v>1750</v>
      </c>
      <c r="AE161" s="315">
        <v>0.55000000000000004</v>
      </c>
      <c r="AF161" s="315">
        <v>1.339</v>
      </c>
      <c r="AG161" s="315">
        <v>0.48899999999999999</v>
      </c>
      <c r="AH161" s="315">
        <v>495</v>
      </c>
    </row>
    <row r="162" spans="1:34">
      <c r="A162" s="315" t="s">
        <v>1441</v>
      </c>
      <c r="B162" s="315" t="s">
        <v>1430</v>
      </c>
      <c r="C162" s="316" t="s">
        <v>1442</v>
      </c>
      <c r="D162" s="316" t="s">
        <v>1442</v>
      </c>
      <c r="E162" s="317">
        <v>8.5213057868070283</v>
      </c>
      <c r="F162" s="317">
        <v>3.339194</v>
      </c>
      <c r="G162" s="317">
        <v>3.339194</v>
      </c>
      <c r="H162" s="317">
        <v>6.6356689384810181</v>
      </c>
      <c r="I162" s="318">
        <v>77.87150355236146</v>
      </c>
      <c r="J162" s="318">
        <v>48.595723216149203</v>
      </c>
      <c r="K162" s="319">
        <v>43.142312100458199</v>
      </c>
      <c r="L162" s="319">
        <v>-34.729191451903262</v>
      </c>
      <c r="M162" s="319">
        <f t="shared" si="2"/>
        <v>0</v>
      </c>
      <c r="N162" s="317">
        <v>0</v>
      </c>
      <c r="O162" s="315" t="s">
        <v>1148</v>
      </c>
      <c r="P162" s="318">
        <v>203</v>
      </c>
      <c r="R162" s="320">
        <v>95</v>
      </c>
      <c r="S162" s="318">
        <v>37</v>
      </c>
      <c r="T162" s="318">
        <v>41</v>
      </c>
      <c r="U162" s="318">
        <v>126</v>
      </c>
      <c r="V162" s="315">
        <v>0.25</v>
      </c>
      <c r="W162" s="318">
        <v>1000</v>
      </c>
      <c r="X162" s="315">
        <v>3</v>
      </c>
      <c r="Y162" s="315" t="s">
        <v>1149</v>
      </c>
      <c r="Z162" s="315">
        <v>0</v>
      </c>
      <c r="AA162" s="315" t="s">
        <v>1190</v>
      </c>
      <c r="AB162" s="315">
        <v>0.1</v>
      </c>
      <c r="AC162" s="315">
        <v>1788</v>
      </c>
      <c r="AD162" s="315">
        <v>1788</v>
      </c>
      <c r="AE162" s="315">
        <v>0.47</v>
      </c>
      <c r="AF162" s="315">
        <v>1.345</v>
      </c>
      <c r="AG162" s="315">
        <v>0.48199999999999998</v>
      </c>
      <c r="AH162" s="315">
        <v>506</v>
      </c>
    </row>
    <row r="163" spans="1:34">
      <c r="A163" s="315" t="s">
        <v>1145</v>
      </c>
      <c r="B163" s="315" t="s">
        <v>1430</v>
      </c>
      <c r="C163" s="316" t="s">
        <v>1443</v>
      </c>
      <c r="D163" s="316" t="s">
        <v>1443</v>
      </c>
      <c r="E163" s="317">
        <v>15.404924379190533</v>
      </c>
      <c r="F163" s="317">
        <v>1.3076359999999998</v>
      </c>
      <c r="G163" s="317">
        <v>1.3076359999999998</v>
      </c>
      <c r="H163" s="317">
        <v>1.3076359999999998</v>
      </c>
      <c r="I163" s="318">
        <v>8.4884285557830879</v>
      </c>
      <c r="J163" s="318">
        <v>58.880947113033102</v>
      </c>
      <c r="K163" s="319">
        <v>36.372820871739201</v>
      </c>
      <c r="L163" s="319">
        <v>27.884392315956113</v>
      </c>
      <c r="M163" s="319">
        <f t="shared" si="2"/>
        <v>27.884392315956113</v>
      </c>
      <c r="N163" s="317">
        <v>4.295569549869855</v>
      </c>
      <c r="O163" s="315" t="s">
        <v>1148</v>
      </c>
      <c r="P163" s="318">
        <v>207</v>
      </c>
      <c r="R163" s="320">
        <v>97.222222222222229</v>
      </c>
      <c r="S163" s="318">
        <v>37</v>
      </c>
      <c r="T163" s="318">
        <v>75</v>
      </c>
      <c r="U163" s="318">
        <v>254</v>
      </c>
      <c r="V163" s="315">
        <v>0.19</v>
      </c>
      <c r="W163" s="318">
        <v>5</v>
      </c>
      <c r="X163" s="315">
        <v>6</v>
      </c>
      <c r="Y163" s="315" t="s">
        <v>1149</v>
      </c>
      <c r="Z163" s="315">
        <v>0</v>
      </c>
      <c r="AA163" s="315" t="s">
        <v>1190</v>
      </c>
      <c r="AB163" s="315">
        <v>0.22</v>
      </c>
      <c r="AC163" s="315">
        <v>1741</v>
      </c>
      <c r="AD163" s="315">
        <v>1741</v>
      </c>
      <c r="AE163" s="315">
        <v>0.53</v>
      </c>
      <c r="AF163" s="315">
        <v>1.3382000000000001</v>
      </c>
      <c r="AG163" s="315">
        <v>0.50700000000000001</v>
      </c>
      <c r="AH163" s="315">
        <v>493</v>
      </c>
    </row>
    <row r="164" spans="1:34">
      <c r="A164" s="315" t="s">
        <v>1145</v>
      </c>
      <c r="B164" s="315" t="s">
        <v>1430</v>
      </c>
      <c r="C164" s="316" t="s">
        <v>1444</v>
      </c>
      <c r="D164" s="316" t="s">
        <v>1444</v>
      </c>
      <c r="E164" s="317">
        <v>11.051956796668938</v>
      </c>
      <c r="F164" s="317">
        <v>4.6291429914596227</v>
      </c>
      <c r="G164" s="317">
        <v>4.6291429914596227</v>
      </c>
      <c r="H164" s="317">
        <v>6.922342917505043</v>
      </c>
      <c r="I164" s="318">
        <v>62.634545581932052</v>
      </c>
      <c r="J164" s="318">
        <v>58.834979040752003</v>
      </c>
      <c r="K164" s="319">
        <v>37.767292697044503</v>
      </c>
      <c r="L164" s="319">
        <v>-24.867252884887549</v>
      </c>
      <c r="M164" s="319">
        <f t="shared" si="2"/>
        <v>0</v>
      </c>
      <c r="N164" s="317">
        <v>0</v>
      </c>
      <c r="O164" s="315" t="s">
        <v>1148</v>
      </c>
      <c r="P164" s="318">
        <v>207</v>
      </c>
      <c r="R164" s="320">
        <v>97.222222222222229</v>
      </c>
      <c r="S164" s="318">
        <v>37</v>
      </c>
      <c r="T164" s="318">
        <v>75</v>
      </c>
      <c r="U164" s="318">
        <v>177</v>
      </c>
      <c r="V164" s="315">
        <v>0.19</v>
      </c>
      <c r="W164" s="318">
        <v>50</v>
      </c>
      <c r="X164" s="315">
        <v>3</v>
      </c>
      <c r="Y164" s="315" t="s">
        <v>1154</v>
      </c>
      <c r="Z164" s="315">
        <v>0</v>
      </c>
      <c r="AA164" s="315" t="s">
        <v>1190</v>
      </c>
      <c r="AB164" s="315">
        <v>0.13</v>
      </c>
      <c r="AC164" s="315">
        <v>1785</v>
      </c>
      <c r="AD164" s="315">
        <v>1785</v>
      </c>
      <c r="AE164" s="315">
        <v>0.52</v>
      </c>
      <c r="AF164" s="315">
        <v>1.3441000000000001</v>
      </c>
      <c r="AG164" s="315">
        <v>0.50700000000000001</v>
      </c>
      <c r="AH164" s="315">
        <v>465</v>
      </c>
    </row>
    <row r="165" spans="1:34">
      <c r="A165" s="315" t="s">
        <v>1145</v>
      </c>
      <c r="B165" s="315" t="s">
        <v>1430</v>
      </c>
      <c r="C165" s="316" t="s">
        <v>1445</v>
      </c>
      <c r="D165" s="316" t="s">
        <v>1445</v>
      </c>
      <c r="E165" s="317">
        <v>13.902077999999999</v>
      </c>
      <c r="F165" s="317">
        <v>0</v>
      </c>
      <c r="G165" s="317">
        <v>0</v>
      </c>
      <c r="H165" s="317">
        <v>0</v>
      </c>
      <c r="I165" s="318">
        <v>0</v>
      </c>
      <c r="J165" s="318">
        <v>60.0078863572449</v>
      </c>
      <c r="K165" s="319">
        <v>32.419245959186597</v>
      </c>
      <c r="L165" s="319">
        <v>32.419245959186597</v>
      </c>
      <c r="M165" s="319">
        <f t="shared" si="2"/>
        <v>32.419245959186597</v>
      </c>
      <c r="N165" s="317">
        <v>4.5069488602579693</v>
      </c>
      <c r="O165" s="315" t="s">
        <v>1168</v>
      </c>
      <c r="P165" s="318">
        <v>208</v>
      </c>
      <c r="R165" s="320">
        <v>97.777777777777771</v>
      </c>
      <c r="S165" s="318">
        <v>37</v>
      </c>
      <c r="T165" s="318">
        <v>70</v>
      </c>
      <c r="U165" s="318">
        <v>128</v>
      </c>
      <c r="V165" s="315">
        <v>0.21</v>
      </c>
      <c r="W165" s="318">
        <v>30</v>
      </c>
      <c r="X165" s="315">
        <v>0</v>
      </c>
      <c r="Y165" s="315" t="s">
        <v>1149</v>
      </c>
      <c r="Z165" s="315">
        <v>0</v>
      </c>
      <c r="AA165" s="315" t="s">
        <v>1435</v>
      </c>
      <c r="AB165" s="315">
        <v>4.1936668961493222E-2</v>
      </c>
      <c r="AC165" s="315">
        <v>1770</v>
      </c>
      <c r="AD165" s="315">
        <v>1770</v>
      </c>
      <c r="AE165" s="315">
        <v>0.5</v>
      </c>
      <c r="AF165" s="315">
        <v>1.3385</v>
      </c>
      <c r="AG165" s="315">
        <v>0.50700000000000001</v>
      </c>
      <c r="AH165" s="315">
        <v>500</v>
      </c>
    </row>
    <row r="166" spans="1:34">
      <c r="A166" s="315" t="s">
        <v>1145</v>
      </c>
      <c r="B166" s="315" t="s">
        <v>1430</v>
      </c>
      <c r="C166" s="316" t="s">
        <v>1446</v>
      </c>
      <c r="D166" s="316" t="s">
        <v>1446</v>
      </c>
      <c r="E166" s="317">
        <v>118.52425972328194</v>
      </c>
      <c r="F166" s="317">
        <v>58.969896325500635</v>
      </c>
      <c r="G166" s="317">
        <v>60.307593795898974</v>
      </c>
      <c r="H166" s="317">
        <v>60.307593795898974</v>
      </c>
      <c r="I166" s="318">
        <v>50.882067465933844</v>
      </c>
      <c r="J166" s="318">
        <v>44.879246662134598</v>
      </c>
      <c r="K166" s="319">
        <v>43.504639659027198</v>
      </c>
      <c r="L166" s="319">
        <v>-7.3774278069066455</v>
      </c>
      <c r="M166" s="319">
        <f t="shared" si="2"/>
        <v>0</v>
      </c>
      <c r="N166" s="317">
        <v>0</v>
      </c>
      <c r="O166" s="315" t="s">
        <v>1148</v>
      </c>
      <c r="P166" s="318">
        <v>210</v>
      </c>
      <c r="R166" s="320">
        <v>98.888888888888886</v>
      </c>
      <c r="S166" s="318">
        <v>37</v>
      </c>
      <c r="T166" s="318">
        <v>181</v>
      </c>
      <c r="U166" s="318">
        <v>248</v>
      </c>
      <c r="V166" s="315">
        <v>0.24</v>
      </c>
      <c r="W166" s="318">
        <v>1000</v>
      </c>
      <c r="X166" s="315">
        <v>22</v>
      </c>
      <c r="Y166" s="315" t="s">
        <v>1149</v>
      </c>
      <c r="Z166" s="315">
        <v>0</v>
      </c>
      <c r="AA166" s="315" t="s">
        <v>1150</v>
      </c>
      <c r="AB166" s="315">
        <v>0.34</v>
      </c>
      <c r="AC166" s="315">
        <v>1750</v>
      </c>
      <c r="AD166" s="315">
        <v>1750</v>
      </c>
      <c r="AE166" s="315">
        <v>0.55000000000000004</v>
      </c>
      <c r="AF166" s="315">
        <v>1.339</v>
      </c>
      <c r="AG166" s="315">
        <v>0.48899999999999999</v>
      </c>
      <c r="AH166" s="315">
        <v>495</v>
      </c>
    </row>
    <row r="167" spans="1:34">
      <c r="A167" s="315" t="s">
        <v>1277</v>
      </c>
      <c r="B167" s="315" t="s">
        <v>1430</v>
      </c>
      <c r="C167" s="316" t="s">
        <v>1447</v>
      </c>
      <c r="D167" s="316" t="s">
        <v>1447</v>
      </c>
      <c r="E167" s="317">
        <v>14.006970373535166</v>
      </c>
      <c r="F167" s="317">
        <v>4.4251880000000003</v>
      </c>
      <c r="G167" s="317">
        <v>4.4251880000000003</v>
      </c>
      <c r="H167" s="317">
        <v>4.4251880000000003</v>
      </c>
      <c r="I167" s="318">
        <v>31.592756192024012</v>
      </c>
      <c r="J167" s="318">
        <v>45.059357298261901</v>
      </c>
      <c r="K167" s="319">
        <v>41.6620844583394</v>
      </c>
      <c r="L167" s="319">
        <v>10.069328266315388</v>
      </c>
      <c r="M167" s="319">
        <f t="shared" si="2"/>
        <v>10.069328266315388</v>
      </c>
      <c r="N167" s="317">
        <v>1.4104078270767986</v>
      </c>
      <c r="O167" s="315" t="s">
        <v>1148</v>
      </c>
      <c r="P167" s="318">
        <v>217</v>
      </c>
      <c r="R167" s="320">
        <v>102.77777777777777</v>
      </c>
      <c r="S167" s="318">
        <v>37</v>
      </c>
      <c r="T167" s="318">
        <v>72</v>
      </c>
      <c r="U167" s="318">
        <v>88</v>
      </c>
      <c r="V167" s="315">
        <v>0.23</v>
      </c>
      <c r="W167" s="318">
        <v>600</v>
      </c>
      <c r="X167" s="315">
        <v>6</v>
      </c>
      <c r="Y167" s="315" t="s">
        <v>1149</v>
      </c>
      <c r="Z167" s="315">
        <v>0</v>
      </c>
      <c r="AA167" s="315" t="s">
        <v>1150</v>
      </c>
      <c r="AB167" s="315">
        <v>1.5823422402514471</v>
      </c>
      <c r="AC167" s="315">
        <v>1996</v>
      </c>
      <c r="AD167" s="315">
        <v>1996</v>
      </c>
      <c r="AE167" s="315">
        <v>0.77</v>
      </c>
      <c r="AF167" s="315">
        <v>1.373</v>
      </c>
      <c r="AG167" s="315">
        <v>0.38300000000000001</v>
      </c>
      <c r="AH167" s="315">
        <v>568</v>
      </c>
    </row>
    <row r="168" spans="1:34">
      <c r="A168" s="315" t="s">
        <v>1334</v>
      </c>
      <c r="B168" s="315" t="s">
        <v>1430</v>
      </c>
      <c r="C168" s="316" t="s">
        <v>1448</v>
      </c>
      <c r="D168" s="316" t="s">
        <v>1448</v>
      </c>
      <c r="E168" s="317">
        <v>8.9780789269256651</v>
      </c>
      <c r="F168" s="317">
        <v>2.280402</v>
      </c>
      <c r="G168" s="317">
        <v>2.280402</v>
      </c>
      <c r="H168" s="317">
        <v>2.280402</v>
      </c>
      <c r="I168" s="318">
        <v>25.399665324404435</v>
      </c>
      <c r="J168" s="318">
        <v>46.729801723480598</v>
      </c>
      <c r="K168" s="319">
        <v>41.602287214509396</v>
      </c>
      <c r="L168" s="319">
        <v>16.202621890104961</v>
      </c>
      <c r="M168" s="319">
        <f t="shared" si="2"/>
        <v>16.202621890104961</v>
      </c>
      <c r="N168" s="317">
        <v>1.4546841815249585</v>
      </c>
      <c r="O168" s="315" t="s">
        <v>1148</v>
      </c>
      <c r="P168" s="318">
        <v>217</v>
      </c>
      <c r="R168" s="320">
        <v>102.77777777777777</v>
      </c>
      <c r="S168" s="318">
        <v>37</v>
      </c>
      <c r="T168" s="318">
        <v>86</v>
      </c>
      <c r="U168" s="318">
        <v>70</v>
      </c>
      <c r="V168" s="315">
        <v>0.21</v>
      </c>
      <c r="W168" s="318">
        <v>500</v>
      </c>
      <c r="X168" s="315">
        <v>3</v>
      </c>
      <c r="Y168" s="315" t="s">
        <v>1149</v>
      </c>
      <c r="Z168" s="315">
        <v>0</v>
      </c>
      <c r="AA168" s="315" t="s">
        <v>1150</v>
      </c>
      <c r="AB168" s="315">
        <v>1</v>
      </c>
      <c r="AC168" s="315">
        <v>1996</v>
      </c>
      <c r="AD168" s="315">
        <v>1996</v>
      </c>
      <c r="AE168" s="315">
        <v>0.71</v>
      </c>
      <c r="AF168" s="315">
        <v>1.373</v>
      </c>
      <c r="AG168" s="315">
        <v>0.38300000000000001</v>
      </c>
      <c r="AH168" s="315">
        <v>568</v>
      </c>
    </row>
    <row r="169" spans="1:34">
      <c r="A169" s="315" t="s">
        <v>1334</v>
      </c>
      <c r="B169" s="315" t="s">
        <v>1430</v>
      </c>
      <c r="C169" s="316" t="s">
        <v>1449</v>
      </c>
      <c r="D169" s="316" t="s">
        <v>1449</v>
      </c>
      <c r="E169" s="317">
        <v>21.9053453341675</v>
      </c>
      <c r="F169" s="317">
        <v>3.9292871544307197</v>
      </c>
      <c r="G169" s="317">
        <v>4.6489026147355546</v>
      </c>
      <c r="H169" s="317">
        <v>5.6090727801947038</v>
      </c>
      <c r="I169" s="318">
        <v>25.605954595227448</v>
      </c>
      <c r="J169" s="318">
        <v>64.976987126153503</v>
      </c>
      <c r="K169" s="319">
        <v>30.731083505407902</v>
      </c>
      <c r="L169" s="319">
        <v>5.1251289101804538</v>
      </c>
      <c r="M169" s="319">
        <f t="shared" si="2"/>
        <v>5.1251289101804538</v>
      </c>
      <c r="N169" s="317">
        <v>1.1226771865962837</v>
      </c>
      <c r="O169" s="315" t="s">
        <v>1148</v>
      </c>
      <c r="P169" s="318">
        <v>225</v>
      </c>
      <c r="R169" s="320">
        <v>107.22222222222223</v>
      </c>
      <c r="S169" s="318">
        <v>37</v>
      </c>
      <c r="T169" s="318">
        <v>187</v>
      </c>
      <c r="U169" s="318">
        <v>130</v>
      </c>
      <c r="V169" s="315">
        <v>0.16</v>
      </c>
      <c r="W169" s="318">
        <v>50</v>
      </c>
      <c r="X169" s="315">
        <v>3</v>
      </c>
      <c r="Y169" s="315" t="s">
        <v>1149</v>
      </c>
      <c r="Z169" s="315">
        <v>0</v>
      </c>
      <c r="AA169" s="315" t="s">
        <v>1190</v>
      </c>
      <c r="AB169" s="315">
        <v>3.0663408656145386</v>
      </c>
      <c r="AC169" s="315">
        <v>2144</v>
      </c>
      <c r="AD169" s="315">
        <v>2144</v>
      </c>
      <c r="AE169" s="315">
        <v>0.4</v>
      </c>
      <c r="AF169" s="315">
        <v>1.3939999999999999</v>
      </c>
      <c r="AG169" s="315">
        <v>0.434</v>
      </c>
      <c r="AH169" s="315">
        <v>614</v>
      </c>
    </row>
    <row r="170" spans="1:34">
      <c r="A170" s="315" t="s">
        <v>1334</v>
      </c>
      <c r="B170" s="315" t="s">
        <v>1430</v>
      </c>
      <c r="C170" s="316" t="s">
        <v>1450</v>
      </c>
      <c r="D170" s="316" t="s">
        <v>1450</v>
      </c>
      <c r="E170" s="317">
        <v>26.515973082122819</v>
      </c>
      <c r="F170" s="317">
        <v>5.0450242346819847</v>
      </c>
      <c r="G170" s="317">
        <v>5.7646396949868191</v>
      </c>
      <c r="H170" s="317">
        <v>5.7646396949868191</v>
      </c>
      <c r="I170" s="318">
        <v>21.740253232016453</v>
      </c>
      <c r="J170" s="318">
        <v>49.578306443317501</v>
      </c>
      <c r="K170" s="319">
        <v>40.451668855161699</v>
      </c>
      <c r="L170" s="319">
        <v>18.711415623145246</v>
      </c>
      <c r="M170" s="319">
        <f t="shared" si="2"/>
        <v>18.711415623145246</v>
      </c>
      <c r="N170" s="317">
        <v>4.9615139299173174</v>
      </c>
      <c r="O170" s="315" t="s">
        <v>1148</v>
      </c>
      <c r="P170" s="318">
        <v>225</v>
      </c>
      <c r="R170" s="320">
        <v>107.22222222222223</v>
      </c>
      <c r="S170" s="318">
        <v>37</v>
      </c>
      <c r="T170" s="318">
        <v>339</v>
      </c>
      <c r="U170" s="318">
        <v>47</v>
      </c>
      <c r="V170" s="315">
        <v>0.2</v>
      </c>
      <c r="W170" s="318">
        <v>480</v>
      </c>
      <c r="X170" s="315">
        <v>7</v>
      </c>
      <c r="Y170" s="315" t="s">
        <v>1149</v>
      </c>
      <c r="Z170" s="315">
        <v>0</v>
      </c>
      <c r="AA170" s="315" t="s">
        <v>1190</v>
      </c>
      <c r="AB170" s="315">
        <v>5.6417650901824139</v>
      </c>
      <c r="AC170" s="315">
        <v>2144</v>
      </c>
      <c r="AD170" s="315">
        <v>2144</v>
      </c>
      <c r="AE170" s="315">
        <v>0.65</v>
      </c>
      <c r="AF170" s="315">
        <v>1.3939999999999999</v>
      </c>
      <c r="AG170" s="315">
        <v>0.434</v>
      </c>
      <c r="AH170" s="315">
        <v>614</v>
      </c>
    </row>
    <row r="171" spans="1:34">
      <c r="A171" s="315" t="s">
        <v>1334</v>
      </c>
      <c r="B171" s="315" t="s">
        <v>1451</v>
      </c>
      <c r="C171" s="316" t="s">
        <v>1452</v>
      </c>
      <c r="D171" s="316" t="s">
        <v>1452</v>
      </c>
      <c r="E171" s="317">
        <v>19.372999999999998</v>
      </c>
      <c r="F171" s="317">
        <v>3.8464589</v>
      </c>
      <c r="G171" s="317">
        <v>4.0150799535328376</v>
      </c>
      <c r="H171" s="317">
        <v>4.053379803334284</v>
      </c>
      <c r="I171" s="318">
        <v>20.922829728665075</v>
      </c>
      <c r="J171" s="318">
        <v>62.718316872534103</v>
      </c>
      <c r="K171" s="319">
        <v>37.000917495144499</v>
      </c>
      <c r="L171" s="319">
        <v>16.078087766479424</v>
      </c>
      <c r="M171" s="319">
        <f t="shared" si="2"/>
        <v>16.078087766479424</v>
      </c>
      <c r="N171" s="317">
        <v>3.1148079430000584</v>
      </c>
      <c r="O171" s="315" t="s">
        <v>1148</v>
      </c>
      <c r="P171" s="318">
        <v>210</v>
      </c>
      <c r="R171" s="320">
        <v>98.888888888888886</v>
      </c>
      <c r="S171" s="318">
        <v>48.9</v>
      </c>
      <c r="T171" s="318">
        <v>34.81</v>
      </c>
      <c r="U171" s="318">
        <v>152</v>
      </c>
      <c r="V171" s="315">
        <v>0.22</v>
      </c>
      <c r="W171" s="318">
        <v>37</v>
      </c>
      <c r="X171" s="315">
        <v>3</v>
      </c>
      <c r="Y171" s="315" t="s">
        <v>1149</v>
      </c>
      <c r="Z171" s="315">
        <v>0</v>
      </c>
      <c r="AA171" s="315" t="s">
        <v>1190</v>
      </c>
      <c r="AB171" s="315">
        <v>2.56</v>
      </c>
      <c r="AC171" s="315">
        <v>2303</v>
      </c>
      <c r="AD171" s="315">
        <v>2104.6999999999998</v>
      </c>
      <c r="AE171" s="315">
        <v>0.42</v>
      </c>
      <c r="AF171" s="315">
        <v>1.68</v>
      </c>
      <c r="AG171" s="315">
        <v>0.25</v>
      </c>
      <c r="AH171" s="315">
        <v>1011</v>
      </c>
    </row>
    <row r="172" spans="1:34">
      <c r="A172" s="315" t="s">
        <v>1145</v>
      </c>
      <c r="B172" s="315" t="s">
        <v>1451</v>
      </c>
      <c r="C172" s="316" t="s">
        <v>1453</v>
      </c>
      <c r="D172" s="316" t="s">
        <v>1453</v>
      </c>
      <c r="E172" s="317">
        <v>401.59999999999997</v>
      </c>
      <c r="F172" s="317">
        <v>173.8820849</v>
      </c>
      <c r="G172" s="317">
        <v>177.85388720988581</v>
      </c>
      <c r="H172" s="317">
        <v>178.45145052520553</v>
      </c>
      <c r="I172" s="318">
        <v>44.435122142730464</v>
      </c>
      <c r="J172" s="318">
        <v>45.055825751802999</v>
      </c>
      <c r="K172" s="319">
        <v>44.306405708513203</v>
      </c>
      <c r="L172" s="319">
        <v>-0.1287164342172602</v>
      </c>
      <c r="M172" s="319">
        <f t="shared" si="2"/>
        <v>0</v>
      </c>
      <c r="N172" s="317">
        <v>0</v>
      </c>
      <c r="O172" s="315" t="s">
        <v>1148</v>
      </c>
      <c r="P172" s="318">
        <v>216</v>
      </c>
      <c r="R172" s="320">
        <v>102.22222222222223</v>
      </c>
      <c r="S172" s="318">
        <v>47.6</v>
      </c>
      <c r="T172" s="318">
        <v>105.24</v>
      </c>
      <c r="U172" s="318">
        <v>364</v>
      </c>
      <c r="V172" s="315">
        <v>0.23</v>
      </c>
      <c r="W172" s="318">
        <v>290</v>
      </c>
      <c r="X172" s="315">
        <v>34</v>
      </c>
      <c r="Y172" s="315" t="s">
        <v>1440</v>
      </c>
      <c r="Z172" s="315">
        <v>3</v>
      </c>
      <c r="AA172" s="315" t="s">
        <v>1190</v>
      </c>
      <c r="AB172" s="315">
        <v>1.41</v>
      </c>
      <c r="AC172" s="315">
        <v>2328</v>
      </c>
      <c r="AD172" s="315">
        <v>2294</v>
      </c>
      <c r="AE172" s="315">
        <v>0.68</v>
      </c>
      <c r="AF172" s="315">
        <v>1.66</v>
      </c>
      <c r="AG172" s="315">
        <v>0.24</v>
      </c>
      <c r="AH172" s="315">
        <v>975</v>
      </c>
    </row>
    <row r="173" spans="1:34">
      <c r="A173" s="315" t="s">
        <v>1454</v>
      </c>
      <c r="B173" s="315" t="s">
        <v>1451</v>
      </c>
      <c r="C173" s="316" t="s">
        <v>1455</v>
      </c>
      <c r="D173" s="316" t="s">
        <v>1455</v>
      </c>
      <c r="E173" s="317">
        <v>66.899999999999991</v>
      </c>
      <c r="F173" s="317">
        <v>4.3323824000000002</v>
      </c>
      <c r="G173" s="317">
        <v>5.4601533673348399</v>
      </c>
      <c r="H173" s="317">
        <v>8.3528507391930962</v>
      </c>
      <c r="I173" s="318">
        <v>12.485576590722118</v>
      </c>
      <c r="J173" s="318">
        <v>58.461063898569797</v>
      </c>
      <c r="K173" s="319">
        <v>35.095332903179397</v>
      </c>
      <c r="L173" s="319">
        <v>22.609756312457279</v>
      </c>
      <c r="M173" s="319">
        <f t="shared" si="2"/>
        <v>22.609756312457279</v>
      </c>
      <c r="N173" s="317">
        <v>15.125926973033918</v>
      </c>
      <c r="O173" s="315" t="s">
        <v>1148</v>
      </c>
      <c r="P173" s="318">
        <v>216</v>
      </c>
      <c r="R173" s="320">
        <v>102.22222222222223</v>
      </c>
      <c r="S173" s="318">
        <v>47.6</v>
      </c>
      <c r="T173" s="318">
        <v>66.569999999999993</v>
      </c>
      <c r="U173" s="318">
        <v>328</v>
      </c>
      <c r="V173" s="315">
        <v>0.23</v>
      </c>
      <c r="W173" s="318">
        <v>33</v>
      </c>
      <c r="X173" s="315">
        <v>15</v>
      </c>
      <c r="Y173" s="315" t="s">
        <v>1149</v>
      </c>
      <c r="Z173" s="315">
        <v>0</v>
      </c>
      <c r="AA173" s="315" t="s">
        <v>1190</v>
      </c>
      <c r="AB173" s="315">
        <v>2</v>
      </c>
      <c r="AC173" s="315">
        <v>2328</v>
      </c>
      <c r="AD173" s="315">
        <v>2294</v>
      </c>
      <c r="AE173" s="315">
        <v>0.48</v>
      </c>
      <c r="AF173" s="315">
        <v>1.66</v>
      </c>
      <c r="AG173" s="315">
        <v>0.24</v>
      </c>
      <c r="AH173" s="315">
        <v>974</v>
      </c>
    </row>
    <row r="174" spans="1:34">
      <c r="A174" s="315" t="s">
        <v>1145</v>
      </c>
      <c r="B174" s="315" t="s">
        <v>1451</v>
      </c>
      <c r="C174" s="316" t="s">
        <v>1456</v>
      </c>
      <c r="D174" s="316" t="s">
        <v>1456</v>
      </c>
      <c r="E174" s="317">
        <v>133.89999999999998</v>
      </c>
      <c r="F174" s="317">
        <v>29.447862900000001</v>
      </c>
      <c r="G174" s="317">
        <v>31.778569805291614</v>
      </c>
      <c r="H174" s="317">
        <v>34.337260966346918</v>
      </c>
      <c r="I174" s="318">
        <v>25.643958899437585</v>
      </c>
      <c r="J174" s="318">
        <v>53.446121178148303</v>
      </c>
      <c r="K174" s="319">
        <v>38.759864370744204</v>
      </c>
      <c r="L174" s="319">
        <v>13.115905471306618</v>
      </c>
      <c r="M174" s="319">
        <f t="shared" si="2"/>
        <v>13.115905471306618</v>
      </c>
      <c r="N174" s="317">
        <v>17.56219742607956</v>
      </c>
      <c r="O174" s="315" t="s">
        <v>1148</v>
      </c>
      <c r="P174" s="318">
        <v>280</v>
      </c>
      <c r="R174" s="320">
        <v>137.77777777777777</v>
      </c>
      <c r="S174" s="318">
        <v>46.7</v>
      </c>
      <c r="T174" s="318">
        <v>226.28</v>
      </c>
      <c r="U174" s="318">
        <v>144</v>
      </c>
      <c r="V174" s="315">
        <v>0.18</v>
      </c>
      <c r="W174" s="318">
        <v>55</v>
      </c>
      <c r="X174" s="315">
        <v>32</v>
      </c>
      <c r="Y174" s="315" t="s">
        <v>1149</v>
      </c>
      <c r="Z174" s="315">
        <v>0</v>
      </c>
      <c r="AA174" s="315" t="s">
        <v>1190</v>
      </c>
      <c r="AB174" s="315">
        <v>2.8</v>
      </c>
      <c r="AC174" s="315">
        <v>2996</v>
      </c>
      <c r="AD174" s="315">
        <v>2978</v>
      </c>
      <c r="AE174" s="315">
        <v>0.55000000000000004</v>
      </c>
      <c r="AF174" s="315">
        <v>1.64</v>
      </c>
      <c r="AG174" s="315">
        <v>0.24</v>
      </c>
      <c r="AH174" s="315">
        <v>949</v>
      </c>
    </row>
    <row r="175" spans="1:34">
      <c r="A175" s="315" t="s">
        <v>1145</v>
      </c>
      <c r="B175" s="315" t="s">
        <v>1451</v>
      </c>
      <c r="C175" s="316" t="s">
        <v>1457</v>
      </c>
      <c r="D175" s="316" t="s">
        <v>1457</v>
      </c>
      <c r="E175" s="317">
        <v>46.089999999999996</v>
      </c>
      <c r="F175" s="317">
        <v>6.6669668</v>
      </c>
      <c r="G175" s="317">
        <v>6.7237233723554661</v>
      </c>
      <c r="H175" s="317">
        <v>6.736698315948499</v>
      </c>
      <c r="I175" s="318">
        <v>14.616399036555652</v>
      </c>
      <c r="J175" s="318">
        <v>54.350769866547097</v>
      </c>
      <c r="K175" s="319">
        <v>34.360907246463</v>
      </c>
      <c r="L175" s="319">
        <v>19.744508209907348</v>
      </c>
      <c r="M175" s="319">
        <f t="shared" si="2"/>
        <v>19.744508209907348</v>
      </c>
      <c r="N175" s="317">
        <v>9.1002438339462959</v>
      </c>
      <c r="O175" s="315" t="s">
        <v>1148</v>
      </c>
      <c r="P175" s="318">
        <v>284</v>
      </c>
      <c r="R175" s="320">
        <v>140</v>
      </c>
      <c r="S175" s="318">
        <v>46.3</v>
      </c>
      <c r="T175" s="318">
        <v>212.98</v>
      </c>
      <c r="U175" s="318">
        <v>176</v>
      </c>
      <c r="V175" s="315">
        <v>0.18</v>
      </c>
      <c r="W175" s="318">
        <v>55</v>
      </c>
      <c r="X175" s="315">
        <v>8</v>
      </c>
      <c r="Y175" s="315" t="s">
        <v>1149</v>
      </c>
      <c r="Z175" s="315">
        <v>0</v>
      </c>
      <c r="AA175" s="315" t="s">
        <v>1190</v>
      </c>
      <c r="AB175" s="315">
        <v>2</v>
      </c>
      <c r="AC175" s="315">
        <v>3010</v>
      </c>
      <c r="AD175" s="315">
        <v>2978</v>
      </c>
      <c r="AE175" s="315">
        <v>0.55000000000000004</v>
      </c>
      <c r="AF175" s="315">
        <v>1.64</v>
      </c>
      <c r="AG175" s="315">
        <v>0.24</v>
      </c>
      <c r="AH175" s="315">
        <v>949</v>
      </c>
    </row>
    <row r="176" spans="1:34">
      <c r="A176" s="315" t="s">
        <v>1229</v>
      </c>
      <c r="B176" s="315" t="s">
        <v>1458</v>
      </c>
      <c r="C176" s="316" t="s">
        <v>1459</v>
      </c>
      <c r="D176" s="316" t="s">
        <v>1459</v>
      </c>
      <c r="E176" s="317">
        <v>123.1</v>
      </c>
      <c r="F176" s="317">
        <v>0</v>
      </c>
      <c r="G176" s="317">
        <v>0</v>
      </c>
      <c r="H176" s="317">
        <v>30.487995133189013</v>
      </c>
      <c r="I176" s="318">
        <v>24.766852260917151</v>
      </c>
      <c r="J176" s="318">
        <v>53.615700342170101</v>
      </c>
      <c r="K176" s="319">
        <v>40.176147664562897</v>
      </c>
      <c r="L176" s="319">
        <v>15.409295403645746</v>
      </c>
      <c r="M176" s="319">
        <f t="shared" si="2"/>
        <v>15.409295403645746</v>
      </c>
      <c r="N176" s="317">
        <v>18.96884264188791</v>
      </c>
      <c r="O176" s="315" t="s">
        <v>1168</v>
      </c>
      <c r="P176" s="318">
        <v>122</v>
      </c>
      <c r="R176" s="320">
        <v>50</v>
      </c>
      <c r="S176" s="318">
        <v>28</v>
      </c>
      <c r="T176" s="318">
        <v>72.1785</v>
      </c>
      <c r="U176" s="318">
        <v>118.47113</v>
      </c>
      <c r="V176" s="315">
        <v>0.3</v>
      </c>
      <c r="W176" s="318">
        <v>230</v>
      </c>
      <c r="X176" s="315">
        <v>6</v>
      </c>
      <c r="Y176" s="315" t="s">
        <v>1154</v>
      </c>
      <c r="Z176" s="315">
        <v>2</v>
      </c>
      <c r="AA176" s="315" t="s">
        <v>1150</v>
      </c>
      <c r="AB176" s="315">
        <v>0</v>
      </c>
      <c r="AC176" s="315">
        <v>3748</v>
      </c>
      <c r="AD176" s="315">
        <v>3253</v>
      </c>
      <c r="AE176" s="315">
        <v>0.61</v>
      </c>
      <c r="AF176" s="315">
        <v>1.26</v>
      </c>
      <c r="AG176" s="315">
        <v>1.03</v>
      </c>
      <c r="AH176" s="315">
        <v>572</v>
      </c>
    </row>
    <row r="177" spans="1:34">
      <c r="A177" s="315" t="s">
        <v>1460</v>
      </c>
      <c r="B177" s="315" t="s">
        <v>1071</v>
      </c>
      <c r="C177" s="316" t="s">
        <v>1461</v>
      </c>
      <c r="D177" s="316" t="s">
        <v>1461</v>
      </c>
      <c r="E177" s="317">
        <v>101.5</v>
      </c>
      <c r="F177" s="317">
        <v>68.719628599999993</v>
      </c>
      <c r="G177" s="317">
        <v>70.115714099999991</v>
      </c>
      <c r="H177" s="317">
        <v>70.115714099999991</v>
      </c>
      <c r="I177" s="318">
        <v>69.079521280788171</v>
      </c>
      <c r="J177" s="318">
        <v>52.200817260062202</v>
      </c>
      <c r="K177" s="319">
        <v>44.752327893219601</v>
      </c>
      <c r="L177" s="319">
        <v>-24.32719338756857</v>
      </c>
      <c r="M177" s="319">
        <f t="shared" si="2"/>
        <v>0</v>
      </c>
      <c r="N177" s="317">
        <v>0</v>
      </c>
      <c r="O177" s="315" t="s">
        <v>1148</v>
      </c>
      <c r="P177" s="318">
        <v>189</v>
      </c>
      <c r="R177" s="320">
        <v>87.222222222222229</v>
      </c>
      <c r="S177" s="318">
        <v>40</v>
      </c>
      <c r="T177" s="318">
        <v>20</v>
      </c>
      <c r="U177" s="318">
        <v>218</v>
      </c>
      <c r="V177" s="315">
        <v>0.21</v>
      </c>
      <c r="W177" s="318">
        <v>565</v>
      </c>
      <c r="X177" s="315">
        <v>5</v>
      </c>
      <c r="Y177" s="315" t="s">
        <v>1149</v>
      </c>
      <c r="Z177" s="315">
        <v>0</v>
      </c>
      <c r="AA177" s="315" t="s">
        <v>1190</v>
      </c>
      <c r="AB177" s="315">
        <v>0.04</v>
      </c>
      <c r="AC177" s="315">
        <v>3265</v>
      </c>
      <c r="AD177" s="315">
        <v>3221</v>
      </c>
      <c r="AE177" s="315">
        <v>0.45</v>
      </c>
      <c r="AF177" s="315">
        <v>1.4610000000000001</v>
      </c>
      <c r="AG177" s="315">
        <v>0.38</v>
      </c>
      <c r="AH177" s="315">
        <v>803</v>
      </c>
    </row>
    <row r="178" spans="1:34">
      <c r="A178" s="315" t="s">
        <v>1158</v>
      </c>
      <c r="B178" s="315" t="s">
        <v>1071</v>
      </c>
      <c r="C178" s="316" t="s">
        <v>1462</v>
      </c>
      <c r="D178" s="316" t="s">
        <v>1462</v>
      </c>
      <c r="E178" s="317">
        <v>24.5</v>
      </c>
      <c r="F178" s="317">
        <v>7.2955569000000002</v>
      </c>
      <c r="G178" s="317">
        <v>8.1266427999999991</v>
      </c>
      <c r="H178" s="317">
        <v>9.7285439999999994</v>
      </c>
      <c r="I178" s="318">
        <v>39.708342857142853</v>
      </c>
      <c r="J178" s="318">
        <v>63.987845417255897</v>
      </c>
      <c r="K178" s="319">
        <v>39.769554522687301</v>
      </c>
      <c r="L178" s="319">
        <v>6.1211665544448124E-2</v>
      </c>
      <c r="M178" s="319">
        <f t="shared" si="2"/>
        <v>6.1211665544448124E-2</v>
      </c>
      <c r="N178" s="317">
        <v>1.4996858058389791E-2</v>
      </c>
      <c r="O178" s="315" t="s">
        <v>1148</v>
      </c>
      <c r="P178" s="318">
        <v>192</v>
      </c>
      <c r="R178" s="320">
        <v>88.888888888888886</v>
      </c>
      <c r="S178" s="318">
        <v>42</v>
      </c>
      <c r="T178" s="318">
        <v>15</v>
      </c>
      <c r="U178" s="318">
        <v>223</v>
      </c>
      <c r="V178" s="315">
        <v>0.18</v>
      </c>
      <c r="W178" s="318">
        <v>161</v>
      </c>
      <c r="X178" s="315">
        <v>1</v>
      </c>
      <c r="Y178" s="315" t="s">
        <v>1149</v>
      </c>
      <c r="Z178" s="315">
        <v>0</v>
      </c>
      <c r="AA178" s="315" t="s">
        <v>1190</v>
      </c>
      <c r="AB178" s="315">
        <v>0.15</v>
      </c>
      <c r="AC178" s="315">
        <v>3370</v>
      </c>
      <c r="AD178" s="315">
        <v>3347</v>
      </c>
      <c r="AE178" s="315">
        <v>0.4</v>
      </c>
      <c r="AF178" s="315">
        <v>1.4419999999999999</v>
      </c>
      <c r="AG178" s="315">
        <v>0.40200000000000002</v>
      </c>
      <c r="AH178" s="315">
        <v>869</v>
      </c>
    </row>
    <row r="179" spans="1:34">
      <c r="A179" s="315" t="s">
        <v>1158</v>
      </c>
      <c r="B179" s="315" t="s">
        <v>1071</v>
      </c>
      <c r="C179" s="316" t="s">
        <v>1463</v>
      </c>
      <c r="D179" s="316" t="s">
        <v>1463</v>
      </c>
      <c r="E179" s="317">
        <v>67.400000000000006</v>
      </c>
      <c r="F179" s="317">
        <v>36.611367399999999</v>
      </c>
      <c r="G179" s="317">
        <v>37.478095199999998</v>
      </c>
      <c r="H179" s="317">
        <v>38.476034800000001</v>
      </c>
      <c r="I179" s="318">
        <v>57.086105044510383</v>
      </c>
      <c r="J179" s="318">
        <v>53.317517609295102</v>
      </c>
      <c r="K179" s="319">
        <v>44.198763341285499</v>
      </c>
      <c r="L179" s="319">
        <v>-12.887341703224884</v>
      </c>
      <c r="M179" s="319">
        <f t="shared" si="2"/>
        <v>0</v>
      </c>
      <c r="N179" s="317">
        <v>0</v>
      </c>
      <c r="O179" s="315" t="s">
        <v>1148</v>
      </c>
      <c r="P179" s="318">
        <v>194</v>
      </c>
      <c r="R179" s="320">
        <v>90</v>
      </c>
      <c r="S179" s="318">
        <v>41</v>
      </c>
      <c r="T179" s="318">
        <v>23</v>
      </c>
      <c r="U179" s="318">
        <v>212</v>
      </c>
      <c r="V179" s="315">
        <v>0.19</v>
      </c>
      <c r="W179" s="318">
        <v>287</v>
      </c>
      <c r="X179" s="315">
        <v>1</v>
      </c>
      <c r="Y179" s="315" t="s">
        <v>1149</v>
      </c>
      <c r="Z179" s="315">
        <v>0</v>
      </c>
      <c r="AA179" s="315" t="s">
        <v>1190</v>
      </c>
      <c r="AB179" s="315">
        <v>7.0000000000000007E-2</v>
      </c>
      <c r="AC179" s="315">
        <v>3415</v>
      </c>
      <c r="AD179" s="315">
        <v>3387</v>
      </c>
      <c r="AE179" s="315">
        <v>0.43</v>
      </c>
      <c r="AF179" s="315">
        <v>1.58</v>
      </c>
      <c r="AG179" s="315">
        <v>0.34</v>
      </c>
      <c r="AH179" s="315">
        <v>988</v>
      </c>
    </row>
    <row r="180" spans="1:34">
      <c r="A180" s="315" t="s">
        <v>1158</v>
      </c>
      <c r="B180" s="315" t="s">
        <v>1071</v>
      </c>
      <c r="C180" s="316" t="s">
        <v>1464</v>
      </c>
      <c r="D180" s="316" t="s">
        <v>1464</v>
      </c>
      <c r="E180" s="317">
        <v>12.6</v>
      </c>
      <c r="F180" s="317">
        <v>0.83174999999999999</v>
      </c>
      <c r="G180" s="317">
        <v>0.84885929999999998</v>
      </c>
      <c r="H180" s="317">
        <v>2.9641305999999998</v>
      </c>
      <c r="I180" s="318">
        <v>23.52484603174603</v>
      </c>
      <c r="J180" s="318">
        <v>54.819041891656703</v>
      </c>
      <c r="K180" s="319">
        <v>38.162522168327698</v>
      </c>
      <c r="L180" s="319">
        <v>14.637676136581668</v>
      </c>
      <c r="M180" s="319">
        <f t="shared" si="2"/>
        <v>14.637676136581668</v>
      </c>
      <c r="N180" s="317">
        <v>1.8443471932092901</v>
      </c>
      <c r="O180" s="315" t="s">
        <v>1148</v>
      </c>
      <c r="P180" s="318">
        <v>198</v>
      </c>
      <c r="R180" s="320">
        <v>92.222222222222229</v>
      </c>
      <c r="S180" s="318">
        <v>41</v>
      </c>
      <c r="T180" s="318">
        <v>52</v>
      </c>
      <c r="U180" s="318">
        <v>80</v>
      </c>
      <c r="V180" s="315">
        <v>0.17</v>
      </c>
      <c r="W180" s="318">
        <v>101</v>
      </c>
      <c r="X180" s="315">
        <v>0</v>
      </c>
      <c r="Y180" s="315" t="s">
        <v>1149</v>
      </c>
      <c r="Z180" s="315">
        <v>0</v>
      </c>
      <c r="AA180" s="315" t="s">
        <v>1190</v>
      </c>
      <c r="AB180" s="315">
        <v>3.5</v>
      </c>
      <c r="AC180" s="315">
        <v>3582</v>
      </c>
      <c r="AD180" s="315">
        <v>3578</v>
      </c>
      <c r="AE180" s="315">
        <v>0.54</v>
      </c>
      <c r="AF180" s="315">
        <v>1.633</v>
      </c>
      <c r="AG180" s="315">
        <v>0.37</v>
      </c>
      <c r="AH180" s="315">
        <v>1173</v>
      </c>
    </row>
    <row r="181" spans="1:34">
      <c r="A181" s="315" t="s">
        <v>1145</v>
      </c>
      <c r="B181" s="315" t="s">
        <v>1071</v>
      </c>
      <c r="C181" s="316" t="s">
        <v>1465</v>
      </c>
      <c r="D181" s="316" t="s">
        <v>1465</v>
      </c>
      <c r="E181" s="317">
        <v>18.2</v>
      </c>
      <c r="F181" s="317">
        <v>6.3718007999999999</v>
      </c>
      <c r="G181" s="317">
        <v>6.5047920000000001</v>
      </c>
      <c r="H181" s="317">
        <v>8.7183340999999999</v>
      </c>
      <c r="I181" s="318">
        <v>47.902934615384616</v>
      </c>
      <c r="J181" s="318">
        <v>52.695415453337702</v>
      </c>
      <c r="K181" s="319">
        <v>44.121413760135503</v>
      </c>
      <c r="L181" s="319">
        <v>-3.7815208552491129</v>
      </c>
      <c r="M181" s="319">
        <f t="shared" si="2"/>
        <v>0</v>
      </c>
      <c r="N181" s="317">
        <v>0</v>
      </c>
      <c r="O181" s="315" t="s">
        <v>1148</v>
      </c>
      <c r="P181" s="318">
        <v>199</v>
      </c>
      <c r="R181" s="320">
        <v>92.777777777777771</v>
      </c>
      <c r="S181" s="318">
        <v>37.200000000000003</v>
      </c>
      <c r="T181" s="318">
        <v>41</v>
      </c>
      <c r="U181" s="318">
        <v>125</v>
      </c>
      <c r="V181" s="315">
        <v>0.18</v>
      </c>
      <c r="W181" s="318">
        <v>306</v>
      </c>
      <c r="X181" s="315">
        <v>1</v>
      </c>
      <c r="Y181" s="315" t="s">
        <v>1149</v>
      </c>
      <c r="Z181" s="315">
        <v>0</v>
      </c>
      <c r="AA181" s="315" t="s">
        <v>1190</v>
      </c>
      <c r="AB181" s="315">
        <v>0.9</v>
      </c>
      <c r="AC181" s="315">
        <v>3625</v>
      </c>
      <c r="AD181" s="315">
        <v>3620</v>
      </c>
      <c r="AE181" s="315">
        <v>0.6</v>
      </c>
      <c r="AF181" s="315">
        <v>1.64</v>
      </c>
      <c r="AG181" s="315">
        <v>0.41</v>
      </c>
      <c r="AH181" s="315">
        <v>1190</v>
      </c>
    </row>
    <row r="182" spans="1:34">
      <c r="A182" s="315" t="s">
        <v>1145</v>
      </c>
      <c r="B182" s="315" t="s">
        <v>1071</v>
      </c>
      <c r="C182" s="316" t="s">
        <v>1466</v>
      </c>
      <c r="D182" s="316" t="s">
        <v>1466</v>
      </c>
      <c r="E182" s="317">
        <v>49.2</v>
      </c>
      <c r="F182" s="317">
        <v>11.502136699999999</v>
      </c>
      <c r="G182" s="317">
        <v>11.808855099999999</v>
      </c>
      <c r="H182" s="317">
        <v>14.720390499999999</v>
      </c>
      <c r="I182" s="318">
        <v>29.919492886178855</v>
      </c>
      <c r="J182" s="318">
        <v>61.475221807976602</v>
      </c>
      <c r="K182" s="319">
        <v>40.953998985762404</v>
      </c>
      <c r="L182" s="319">
        <v>11.034506099583549</v>
      </c>
      <c r="M182" s="319">
        <f t="shared" si="2"/>
        <v>11.034506099583549</v>
      </c>
      <c r="N182" s="317">
        <v>5.4289770009951068</v>
      </c>
      <c r="O182" s="315" t="s">
        <v>1148</v>
      </c>
      <c r="P182" s="318">
        <v>199</v>
      </c>
      <c r="R182" s="320">
        <v>92.777777777777771</v>
      </c>
      <c r="S182" s="318">
        <v>41</v>
      </c>
      <c r="T182" s="318">
        <v>16</v>
      </c>
      <c r="U182" s="318">
        <v>170</v>
      </c>
      <c r="V182" s="315">
        <v>0.18</v>
      </c>
      <c r="W182" s="318">
        <v>172</v>
      </c>
      <c r="X182" s="315">
        <v>2</v>
      </c>
      <c r="Y182" s="315" t="s">
        <v>1149</v>
      </c>
      <c r="Z182" s="315">
        <v>0</v>
      </c>
      <c r="AA182" s="315" t="s">
        <v>1190</v>
      </c>
      <c r="AB182" s="315">
        <v>0.18</v>
      </c>
      <c r="AC182" s="315">
        <v>3641</v>
      </c>
      <c r="AD182" s="315">
        <v>3620</v>
      </c>
      <c r="AE182" s="315">
        <v>0.47</v>
      </c>
      <c r="AF182" s="315">
        <v>1.65</v>
      </c>
      <c r="AG182" s="315">
        <v>0.36</v>
      </c>
      <c r="AH182" s="315">
        <v>1196</v>
      </c>
    </row>
    <row r="183" spans="1:34">
      <c r="A183" s="315" t="s">
        <v>1145</v>
      </c>
      <c r="B183" s="315" t="s">
        <v>1073</v>
      </c>
      <c r="C183" s="316" t="s">
        <v>1467</v>
      </c>
      <c r="D183" s="316" t="s">
        <v>1468</v>
      </c>
      <c r="E183" s="317">
        <v>88.331374999999994</v>
      </c>
      <c r="F183" s="317">
        <v>3.0493606</v>
      </c>
      <c r="G183" s="317">
        <v>7.2276261850328796</v>
      </c>
      <c r="H183" s="317">
        <v>16.594730889989613</v>
      </c>
      <c r="I183" s="318">
        <v>18.786904302111921</v>
      </c>
      <c r="J183" s="318">
        <v>70.982991496652403</v>
      </c>
      <c r="K183" s="319">
        <v>34.611724397715996</v>
      </c>
      <c r="L183" s="319">
        <v>15.824820095604075</v>
      </c>
      <c r="M183" s="319">
        <f t="shared" si="2"/>
        <v>15.824820095604075</v>
      </c>
      <c r="N183" s="317">
        <v>13.978281181723393</v>
      </c>
      <c r="O183" s="315" t="s">
        <v>1148</v>
      </c>
      <c r="P183" s="318">
        <v>107</v>
      </c>
      <c r="R183" s="320">
        <v>41.666666666666664</v>
      </c>
      <c r="S183" s="318">
        <v>19</v>
      </c>
      <c r="T183" s="318">
        <v>135</v>
      </c>
      <c r="U183" s="318">
        <v>21</v>
      </c>
      <c r="V183" s="315">
        <v>0.31</v>
      </c>
      <c r="W183" s="318">
        <v>1500</v>
      </c>
      <c r="X183" s="315">
        <v>7</v>
      </c>
      <c r="Y183" s="315" t="s">
        <v>1149</v>
      </c>
      <c r="Z183" s="315">
        <v>0</v>
      </c>
      <c r="AA183" s="315" t="s">
        <v>1150</v>
      </c>
      <c r="AB183" s="315">
        <v>0</v>
      </c>
      <c r="AC183" s="315">
        <v>735</v>
      </c>
      <c r="AD183" s="315">
        <v>635</v>
      </c>
      <c r="AE183" s="315">
        <v>0.41370000000000007</v>
      </c>
      <c r="AF183" s="315">
        <v>1.044</v>
      </c>
      <c r="AG183" s="315">
        <v>15</v>
      </c>
      <c r="AH183" s="315">
        <v>72</v>
      </c>
    </row>
    <row r="184" spans="1:34">
      <c r="A184" s="315" t="s">
        <v>1277</v>
      </c>
      <c r="B184" s="315" t="s">
        <v>1073</v>
      </c>
      <c r="C184" s="316" t="s">
        <v>1469</v>
      </c>
      <c r="D184" s="316" t="s">
        <v>1469</v>
      </c>
      <c r="E184" s="317">
        <v>153.39216999999999</v>
      </c>
      <c r="F184" s="317">
        <v>50.399896700000006</v>
      </c>
      <c r="G184" s="317">
        <v>60.94493625993028</v>
      </c>
      <c r="H184" s="317">
        <v>76.929396609027009</v>
      </c>
      <c r="I184" s="318">
        <v>50.152101381072455</v>
      </c>
      <c r="J184" s="318">
        <v>64.374423637907398</v>
      </c>
      <c r="K184" s="319">
        <v>38.866807487729496</v>
      </c>
      <c r="L184" s="319">
        <v>-11.28529389334296</v>
      </c>
      <c r="M184" s="319">
        <f t="shared" si="2"/>
        <v>0</v>
      </c>
      <c r="N184" s="317">
        <v>0</v>
      </c>
      <c r="O184" s="315" t="s">
        <v>1148</v>
      </c>
      <c r="P184" s="318">
        <v>113</v>
      </c>
      <c r="R184" s="320">
        <v>45</v>
      </c>
      <c r="S184" s="318">
        <v>20</v>
      </c>
      <c r="T184" s="318">
        <v>28</v>
      </c>
      <c r="U184" s="318">
        <v>26</v>
      </c>
      <c r="V184" s="315">
        <v>0.28999999999999998</v>
      </c>
      <c r="W184" s="318">
        <v>1750</v>
      </c>
      <c r="X184" s="315">
        <v>33</v>
      </c>
      <c r="Y184" s="315" t="s">
        <v>1149</v>
      </c>
      <c r="Z184" s="315">
        <v>0</v>
      </c>
      <c r="AA184" s="315" t="s">
        <v>1190</v>
      </c>
      <c r="AB184" s="315">
        <v>0.08</v>
      </c>
      <c r="AC184" s="315">
        <v>948</v>
      </c>
      <c r="AD184" s="315">
        <v>848</v>
      </c>
      <c r="AE184" s="315">
        <v>0.52190909090909099</v>
      </c>
      <c r="AF184" s="315">
        <v>1.0620000000000001</v>
      </c>
      <c r="AG184" s="315">
        <v>10</v>
      </c>
      <c r="AH184" s="315">
        <v>108</v>
      </c>
    </row>
    <row r="185" spans="1:34">
      <c r="A185" s="315" t="s">
        <v>1145</v>
      </c>
      <c r="B185" s="315" t="s">
        <v>1073</v>
      </c>
      <c r="C185" s="316" t="s">
        <v>1470</v>
      </c>
      <c r="D185" s="316" t="s">
        <v>1470</v>
      </c>
      <c r="E185" s="317">
        <v>62.276454999999999</v>
      </c>
      <c r="F185" s="317">
        <v>21.172195200000001</v>
      </c>
      <c r="G185" s="317">
        <v>22.744958315790011</v>
      </c>
      <c r="H185" s="317">
        <v>34.965348863915104</v>
      </c>
      <c r="I185" s="318">
        <v>56.145374466024286</v>
      </c>
      <c r="J185" s="318">
        <v>68.007882549371104</v>
      </c>
      <c r="K185" s="319">
        <v>37.283803745471701</v>
      </c>
      <c r="L185" s="319">
        <v>-18.861570720552585</v>
      </c>
      <c r="M185" s="319">
        <f t="shared" si="2"/>
        <v>0</v>
      </c>
      <c r="N185" s="317">
        <v>0</v>
      </c>
      <c r="O185" s="315" t="s">
        <v>1148</v>
      </c>
      <c r="P185" s="318">
        <v>123</v>
      </c>
      <c r="R185" s="320">
        <v>50.555555555555557</v>
      </c>
      <c r="S185" s="318">
        <v>20</v>
      </c>
      <c r="T185" s="318">
        <v>103</v>
      </c>
      <c r="U185" s="318">
        <v>22</v>
      </c>
      <c r="V185" s="315">
        <v>0.27</v>
      </c>
      <c r="W185" s="318">
        <v>2450</v>
      </c>
      <c r="X185" s="315">
        <v>15</v>
      </c>
      <c r="Y185" s="315" t="s">
        <v>1149</v>
      </c>
      <c r="Z185" s="315">
        <v>0</v>
      </c>
      <c r="AA185" s="315" t="s">
        <v>1150</v>
      </c>
      <c r="AB185" s="315">
        <v>0</v>
      </c>
      <c r="AC185" s="315">
        <v>1044</v>
      </c>
      <c r="AD185" s="315">
        <v>944</v>
      </c>
      <c r="AE185" s="315">
        <v>0.43642857142857144</v>
      </c>
      <c r="AF185" s="315">
        <v>1.073</v>
      </c>
      <c r="AG185" s="315">
        <v>9</v>
      </c>
      <c r="AH185" s="315">
        <v>122</v>
      </c>
    </row>
    <row r="186" spans="1:34">
      <c r="A186" s="315" t="s">
        <v>1277</v>
      </c>
      <c r="B186" s="315" t="s">
        <v>1073</v>
      </c>
      <c r="C186" s="316" t="s">
        <v>1471</v>
      </c>
      <c r="D186" s="316" t="s">
        <v>1471</v>
      </c>
      <c r="E186" s="317">
        <v>50.1</v>
      </c>
      <c r="F186" s="317">
        <v>20.538270799999999</v>
      </c>
      <c r="G186" s="317">
        <v>22.794026662419036</v>
      </c>
      <c r="H186" s="317">
        <v>29.320006446971941</v>
      </c>
      <c r="I186" s="318">
        <v>58.522966960023837</v>
      </c>
      <c r="J186" s="318">
        <v>71.456321644819198</v>
      </c>
      <c r="K186" s="319">
        <v>35.279658222519004</v>
      </c>
      <c r="L186" s="319">
        <v>-23.243308737504833</v>
      </c>
      <c r="M186" s="319">
        <f t="shared" si="2"/>
        <v>0</v>
      </c>
      <c r="N186" s="317">
        <v>0</v>
      </c>
      <c r="O186" s="315" t="s">
        <v>1148</v>
      </c>
      <c r="P186" s="318">
        <v>128</v>
      </c>
      <c r="R186" s="320">
        <v>53.333333333333336</v>
      </c>
      <c r="S186" s="318">
        <v>20</v>
      </c>
      <c r="T186" s="318">
        <v>28</v>
      </c>
      <c r="U186" s="318">
        <v>8</v>
      </c>
      <c r="V186" s="315">
        <v>0.25</v>
      </c>
      <c r="W186" s="318">
        <v>2500</v>
      </c>
      <c r="X186" s="315">
        <v>17</v>
      </c>
      <c r="Y186" s="315" t="s">
        <v>1149</v>
      </c>
      <c r="Z186" s="315">
        <v>0</v>
      </c>
      <c r="AA186" s="315" t="s">
        <v>1190</v>
      </c>
      <c r="AB186" s="315">
        <v>0</v>
      </c>
      <c r="AC186" s="315">
        <v>1196</v>
      </c>
      <c r="AD186" s="315">
        <v>1096</v>
      </c>
      <c r="AE186" s="315">
        <v>0.37628571428571433</v>
      </c>
      <c r="AF186" s="315">
        <v>1.0860000000000001</v>
      </c>
      <c r="AG186" s="315">
        <v>7.7</v>
      </c>
      <c r="AH186" s="315">
        <v>146</v>
      </c>
    </row>
    <row r="187" spans="1:34">
      <c r="A187" s="315" t="s">
        <v>1145</v>
      </c>
      <c r="B187" s="315" t="s">
        <v>1073</v>
      </c>
      <c r="C187" s="316" t="s">
        <v>1472</v>
      </c>
      <c r="D187" s="316" t="s">
        <v>1472</v>
      </c>
      <c r="E187" s="317">
        <v>90.5</v>
      </c>
      <c r="F187" s="317">
        <v>27.828387899999999</v>
      </c>
      <c r="G187" s="317">
        <v>32.408937242104415</v>
      </c>
      <c r="H187" s="317">
        <v>40.745794021989035</v>
      </c>
      <c r="I187" s="318">
        <v>45.022976819877385</v>
      </c>
      <c r="J187" s="318">
        <v>70.807131965270699</v>
      </c>
      <c r="K187" s="319">
        <v>35.921419279460395</v>
      </c>
      <c r="L187" s="319">
        <v>-9.1015575404169908</v>
      </c>
      <c r="M187" s="319">
        <f t="shared" si="2"/>
        <v>0</v>
      </c>
      <c r="N187" s="317">
        <v>0</v>
      </c>
      <c r="O187" s="315" t="s">
        <v>1148</v>
      </c>
      <c r="P187" s="318">
        <v>132</v>
      </c>
      <c r="R187" s="320">
        <v>55.555555555555557</v>
      </c>
      <c r="S187" s="318">
        <v>20</v>
      </c>
      <c r="T187" s="318">
        <v>62</v>
      </c>
      <c r="U187" s="318">
        <v>24</v>
      </c>
      <c r="V187" s="315">
        <v>0.28999999999999998</v>
      </c>
      <c r="W187" s="318">
        <v>900</v>
      </c>
      <c r="X187" s="315">
        <v>19</v>
      </c>
      <c r="Y187" s="315" t="s">
        <v>1149</v>
      </c>
      <c r="Z187" s="315">
        <v>0</v>
      </c>
      <c r="AA187" s="315" t="s">
        <v>1190</v>
      </c>
      <c r="AB187" s="315">
        <v>0</v>
      </c>
      <c r="AC187" s="315">
        <v>1275</v>
      </c>
      <c r="AD187" s="315">
        <v>1175</v>
      </c>
      <c r="AE187" s="315">
        <v>0.38320000000000004</v>
      </c>
      <c r="AF187" s="315">
        <v>1.0900000000000001</v>
      </c>
      <c r="AG187" s="315">
        <v>7</v>
      </c>
      <c r="AH187" s="315">
        <v>156</v>
      </c>
    </row>
    <row r="188" spans="1:34" s="340" customFormat="1">
      <c r="A188" s="315" t="s">
        <v>1229</v>
      </c>
      <c r="B188" s="340" t="s">
        <v>1073</v>
      </c>
      <c r="C188" s="341" t="s">
        <v>1473</v>
      </c>
      <c r="D188" s="316" t="s">
        <v>1473</v>
      </c>
      <c r="E188" s="317">
        <v>155.35</v>
      </c>
      <c r="F188" s="317">
        <v>55.331906400000001</v>
      </c>
      <c r="G188" s="317">
        <v>64.095589568921199</v>
      </c>
      <c r="H188" s="317">
        <v>84.996396508292435</v>
      </c>
      <c r="I188" s="318">
        <v>54.712839722106501</v>
      </c>
      <c r="J188" s="318">
        <v>45.679465889248299</v>
      </c>
      <c r="K188" s="319">
        <v>44.197374293297599</v>
      </c>
      <c r="L188" s="319">
        <v>-10.515465428808902</v>
      </c>
      <c r="M188" s="319">
        <f t="shared" si="2"/>
        <v>0</v>
      </c>
      <c r="N188" s="317">
        <v>0</v>
      </c>
      <c r="O188" s="340" t="s">
        <v>1148</v>
      </c>
      <c r="P188" s="342">
        <v>134</v>
      </c>
      <c r="Q188" s="315"/>
      <c r="R188" s="343">
        <v>56.666666666666664</v>
      </c>
      <c r="S188" s="342">
        <v>20</v>
      </c>
      <c r="T188" s="342">
        <v>30</v>
      </c>
      <c r="U188" s="342">
        <v>19</v>
      </c>
      <c r="V188" s="340">
        <v>0.24</v>
      </c>
      <c r="W188" s="342">
        <v>1900</v>
      </c>
      <c r="X188" s="340">
        <v>33</v>
      </c>
      <c r="Y188" s="340" t="s">
        <v>1474</v>
      </c>
      <c r="Z188" s="340">
        <v>0</v>
      </c>
      <c r="AA188" s="340" t="s">
        <v>1150</v>
      </c>
      <c r="AB188" s="340">
        <v>0.06</v>
      </c>
      <c r="AC188" s="340">
        <v>1362</v>
      </c>
      <c r="AD188" s="340">
        <v>1262</v>
      </c>
      <c r="AE188" s="340">
        <v>0.39463636363636367</v>
      </c>
      <c r="AF188" s="340">
        <v>1.105</v>
      </c>
      <c r="AG188" s="340">
        <v>6.4</v>
      </c>
      <c r="AH188" s="340">
        <v>179</v>
      </c>
    </row>
    <row r="189" spans="1:34">
      <c r="A189" s="315" t="s">
        <v>1334</v>
      </c>
      <c r="B189" s="315" t="s">
        <v>1073</v>
      </c>
      <c r="C189" s="316" t="s">
        <v>1475</v>
      </c>
      <c r="D189" s="316" t="s">
        <v>1475</v>
      </c>
      <c r="E189" s="317">
        <v>3.6338979999999999</v>
      </c>
      <c r="F189" s="317">
        <v>2.8799717999999999</v>
      </c>
      <c r="G189" s="317">
        <v>3.5700761007575563</v>
      </c>
      <c r="H189" s="317">
        <v>3.5700761007575563</v>
      </c>
      <c r="I189" s="318">
        <v>98.243706916307403</v>
      </c>
      <c r="J189" s="318">
        <v>60.422271240047799</v>
      </c>
      <c r="K189" s="319">
        <v>40.810519708903499</v>
      </c>
      <c r="L189" s="319">
        <v>-57.433187207403904</v>
      </c>
      <c r="M189" s="319">
        <f t="shared" si="2"/>
        <v>0</v>
      </c>
      <c r="N189" s="317">
        <v>0</v>
      </c>
      <c r="O189" s="315" t="s">
        <v>1148</v>
      </c>
      <c r="P189" s="318">
        <v>137</v>
      </c>
      <c r="R189" s="320">
        <v>58.333333333333336</v>
      </c>
      <c r="S189" s="318">
        <v>21</v>
      </c>
      <c r="T189" s="318">
        <v>34</v>
      </c>
      <c r="U189" s="318">
        <v>11</v>
      </c>
      <c r="V189" s="315">
        <v>0.27</v>
      </c>
      <c r="W189" s="318">
        <v>1150</v>
      </c>
      <c r="X189" s="315">
        <v>5</v>
      </c>
      <c r="Y189" s="315" t="s">
        <v>1149</v>
      </c>
      <c r="Z189" s="315">
        <v>0</v>
      </c>
      <c r="AA189" s="315" t="s">
        <v>1190</v>
      </c>
      <c r="AB189" s="315">
        <v>0.03</v>
      </c>
      <c r="AC189" s="315">
        <v>1673</v>
      </c>
      <c r="AD189" s="315">
        <v>1573</v>
      </c>
      <c r="AE189" s="315">
        <v>0.35374999999999995</v>
      </c>
      <c r="AF189" s="315">
        <v>1.19</v>
      </c>
      <c r="AG189" s="315">
        <v>2.9</v>
      </c>
      <c r="AH189" s="315">
        <v>247</v>
      </c>
    </row>
    <row r="190" spans="1:34" s="340" customFormat="1">
      <c r="A190" s="315" t="s">
        <v>1334</v>
      </c>
      <c r="B190" s="340" t="s">
        <v>1073</v>
      </c>
      <c r="C190" s="341" t="s">
        <v>1476</v>
      </c>
      <c r="D190" s="316" t="s">
        <v>1476</v>
      </c>
      <c r="E190" s="317">
        <v>124.9</v>
      </c>
      <c r="F190" s="317">
        <v>49.403286899999998</v>
      </c>
      <c r="G190" s="317">
        <v>56.614357245072881</v>
      </c>
      <c r="H190" s="317">
        <v>70.395194958554001</v>
      </c>
      <c r="I190" s="318">
        <v>56.361244962813451</v>
      </c>
      <c r="J190" s="318">
        <v>42.920263080771598</v>
      </c>
      <c r="K190" s="319">
        <v>44.811094421291301</v>
      </c>
      <c r="L190" s="319">
        <v>-11.55015054152215</v>
      </c>
      <c r="M190" s="319">
        <f t="shared" si="2"/>
        <v>0</v>
      </c>
      <c r="N190" s="317">
        <v>0</v>
      </c>
      <c r="O190" s="340" t="s">
        <v>1148</v>
      </c>
      <c r="P190" s="342">
        <v>140</v>
      </c>
      <c r="Q190" s="315"/>
      <c r="R190" s="343">
        <v>60</v>
      </c>
      <c r="S190" s="342">
        <v>20</v>
      </c>
      <c r="T190" s="342">
        <v>37</v>
      </c>
      <c r="U190" s="342">
        <v>19</v>
      </c>
      <c r="V190" s="340">
        <v>0.26</v>
      </c>
      <c r="W190" s="342">
        <v>2400</v>
      </c>
      <c r="X190" s="340">
        <v>24</v>
      </c>
      <c r="Y190" s="340" t="s">
        <v>1474</v>
      </c>
      <c r="Z190" s="340">
        <v>0</v>
      </c>
      <c r="AA190" s="340" t="s">
        <v>1190</v>
      </c>
      <c r="AB190" s="340">
        <v>0</v>
      </c>
      <c r="AC190" s="340">
        <v>1494</v>
      </c>
      <c r="AD190" s="340">
        <v>1394</v>
      </c>
      <c r="AE190" s="340">
        <v>0.41881818181818181</v>
      </c>
      <c r="AF190" s="340">
        <v>1.117</v>
      </c>
      <c r="AG190" s="340">
        <v>4.4000000000000004</v>
      </c>
      <c r="AH190" s="340">
        <v>198</v>
      </c>
    </row>
    <row r="191" spans="1:34">
      <c r="A191" s="315" t="s">
        <v>1334</v>
      </c>
      <c r="B191" s="315" t="s">
        <v>1073</v>
      </c>
      <c r="C191" s="316" t="s">
        <v>1477</v>
      </c>
      <c r="D191" s="316" t="s">
        <v>1478</v>
      </c>
      <c r="E191" s="317">
        <v>64.598555000000005</v>
      </c>
      <c r="F191" s="317">
        <v>18.9184777</v>
      </c>
      <c r="G191" s="317">
        <v>22.692378777031486</v>
      </c>
      <c r="H191" s="317">
        <v>25.104245531843993</v>
      </c>
      <c r="I191" s="318">
        <v>38.861930474828718</v>
      </c>
      <c r="J191" s="318">
        <v>54.840810735951599</v>
      </c>
      <c r="K191" s="319">
        <v>42.762525682174399</v>
      </c>
      <c r="L191" s="319">
        <v>3.9005952073456811</v>
      </c>
      <c r="M191" s="319">
        <f t="shared" si="2"/>
        <v>3.9005952073456811</v>
      </c>
      <c r="N191" s="317">
        <v>2.5197281403445642</v>
      </c>
      <c r="O191" s="315" t="s">
        <v>1148</v>
      </c>
      <c r="P191" s="318">
        <v>142</v>
      </c>
      <c r="R191" s="320">
        <v>61.111111111111114</v>
      </c>
      <c r="S191" s="318">
        <v>22</v>
      </c>
      <c r="T191" s="318">
        <v>67</v>
      </c>
      <c r="U191" s="318">
        <v>34</v>
      </c>
      <c r="V191" s="315">
        <v>0.24</v>
      </c>
      <c r="W191" s="318">
        <v>1150</v>
      </c>
      <c r="X191" s="315">
        <v>24</v>
      </c>
      <c r="Y191" s="315" t="s">
        <v>1149</v>
      </c>
      <c r="Z191" s="315">
        <v>0</v>
      </c>
      <c r="AA191" s="315" t="s">
        <v>1190</v>
      </c>
      <c r="AB191" s="315">
        <v>0</v>
      </c>
      <c r="AC191" s="315">
        <v>1853</v>
      </c>
      <c r="AD191" s="315">
        <v>1753</v>
      </c>
      <c r="AE191" s="315">
        <v>0.39</v>
      </c>
      <c r="AF191" s="315">
        <v>1.1499999999999999</v>
      </c>
      <c r="AG191" s="315">
        <v>1.5</v>
      </c>
      <c r="AH191" s="315">
        <v>280</v>
      </c>
    </row>
    <row r="192" spans="1:34">
      <c r="A192" s="315" t="s">
        <v>1334</v>
      </c>
      <c r="B192" s="315" t="s">
        <v>1073</v>
      </c>
      <c r="C192" s="316" t="s">
        <v>1479</v>
      </c>
      <c r="D192" s="316" t="s">
        <v>1480</v>
      </c>
      <c r="E192" s="317">
        <v>28.004038999999999</v>
      </c>
      <c r="F192" s="317">
        <v>6.3171346000000002</v>
      </c>
      <c r="G192" s="317">
        <v>6.7319500635143967</v>
      </c>
      <c r="H192" s="317">
        <v>9.5115974635143967</v>
      </c>
      <c r="I192" s="318">
        <v>33.965091476677337</v>
      </c>
      <c r="J192" s="318">
        <v>53.472206201983099</v>
      </c>
      <c r="K192" s="319">
        <v>40.921313509438697</v>
      </c>
      <c r="L192" s="319">
        <v>6.9562220327613602</v>
      </c>
      <c r="M192" s="319">
        <f t="shared" si="2"/>
        <v>6.9562220327613602</v>
      </c>
      <c r="N192" s="317">
        <v>1.9480231309810838</v>
      </c>
      <c r="O192" s="315" t="s">
        <v>1148</v>
      </c>
      <c r="P192" s="318">
        <v>144</v>
      </c>
      <c r="R192" s="320">
        <v>62.222222222222221</v>
      </c>
      <c r="S192" s="318">
        <v>24</v>
      </c>
      <c r="T192" s="318">
        <v>77</v>
      </c>
      <c r="U192" s="318">
        <v>14</v>
      </c>
      <c r="V192" s="315">
        <v>0.22</v>
      </c>
      <c r="W192" s="318">
        <v>50</v>
      </c>
      <c r="X192" s="315">
        <v>13</v>
      </c>
      <c r="Y192" s="315" t="s">
        <v>1149</v>
      </c>
      <c r="Z192" s="315">
        <v>0</v>
      </c>
      <c r="AA192" s="315" t="s">
        <v>1150</v>
      </c>
      <c r="AB192" s="315">
        <v>0.41</v>
      </c>
      <c r="AC192" s="315">
        <v>1910</v>
      </c>
      <c r="AD192" s="315">
        <v>1810</v>
      </c>
      <c r="AE192" s="315">
        <v>0.39117647058823535</v>
      </c>
      <c r="AF192" s="315">
        <v>1.17</v>
      </c>
      <c r="AG192" s="315">
        <v>0.8</v>
      </c>
      <c r="AH192" s="315">
        <v>303</v>
      </c>
    </row>
    <row r="193" spans="1:34">
      <c r="A193" s="315" t="s">
        <v>1145</v>
      </c>
      <c r="B193" s="315" t="s">
        <v>1073</v>
      </c>
      <c r="C193" s="316" t="s">
        <v>1481</v>
      </c>
      <c r="D193" s="316" t="s">
        <v>1482</v>
      </c>
      <c r="E193" s="317">
        <v>40.676366999999999</v>
      </c>
      <c r="F193" s="317">
        <v>10.5997422</v>
      </c>
      <c r="G193" s="317">
        <v>11.283827262393036</v>
      </c>
      <c r="H193" s="317">
        <v>13.653730460662361</v>
      </c>
      <c r="I193" s="318">
        <v>33.566740266313268</v>
      </c>
      <c r="J193" s="318">
        <v>50.067376752755798</v>
      </c>
      <c r="K193" s="319">
        <v>39.807706969686301</v>
      </c>
      <c r="L193" s="319">
        <v>6.2409667033730329</v>
      </c>
      <c r="M193" s="319">
        <f t="shared" si="2"/>
        <v>6.2409667033730329</v>
      </c>
      <c r="N193" s="317">
        <v>2.5385985206118162</v>
      </c>
      <c r="O193" s="315" t="s">
        <v>1148</v>
      </c>
      <c r="P193" s="318">
        <v>151</v>
      </c>
      <c r="R193" s="320">
        <v>66.111111111111114</v>
      </c>
      <c r="S193" s="318">
        <v>28</v>
      </c>
      <c r="T193" s="318">
        <v>84</v>
      </c>
      <c r="U193" s="318">
        <v>19</v>
      </c>
      <c r="V193" s="315">
        <v>0.24</v>
      </c>
      <c r="W193" s="318">
        <v>35</v>
      </c>
      <c r="X193" s="315">
        <v>14</v>
      </c>
      <c r="Y193" s="315" t="s">
        <v>1149</v>
      </c>
      <c r="Z193" s="315">
        <v>0</v>
      </c>
      <c r="AA193" s="315" t="s">
        <v>1150</v>
      </c>
      <c r="AB193" s="315">
        <v>0.11</v>
      </c>
      <c r="AC193" s="315">
        <v>2040</v>
      </c>
      <c r="AD193" s="315">
        <v>1940</v>
      </c>
      <c r="AE193" s="315">
        <v>0.44125000000000003</v>
      </c>
      <c r="AF193" s="315">
        <v>1.23</v>
      </c>
      <c r="AG193" s="315">
        <v>0.3</v>
      </c>
      <c r="AH193" s="315">
        <v>424</v>
      </c>
    </row>
    <row r="194" spans="1:34">
      <c r="A194" s="315" t="s">
        <v>1229</v>
      </c>
      <c r="B194" s="315" t="s">
        <v>1073</v>
      </c>
      <c r="C194" s="316" t="s">
        <v>1483</v>
      </c>
      <c r="D194" s="316" t="s">
        <v>1483</v>
      </c>
      <c r="E194" s="317">
        <v>11.570207999999999</v>
      </c>
      <c r="F194" s="317">
        <v>5.3107074000000001</v>
      </c>
      <c r="G194" s="317">
        <v>5.7359232737934631</v>
      </c>
      <c r="H194" s="317">
        <v>5.7402401737934632</v>
      </c>
      <c r="I194" s="318">
        <v>49.612247020913223</v>
      </c>
      <c r="J194" s="318">
        <v>55.936536746739399</v>
      </c>
      <c r="K194" s="319">
        <v>38.561601921597102</v>
      </c>
      <c r="L194" s="319">
        <v>-11.050645099316121</v>
      </c>
      <c r="M194" s="319">
        <f t="shared" ref="M194:M257" si="3">IF(L194&lt;0,0,L194)</f>
        <v>0</v>
      </c>
      <c r="N194" s="317">
        <v>0</v>
      </c>
      <c r="O194" s="315" t="s">
        <v>1148</v>
      </c>
      <c r="P194" s="318">
        <v>156</v>
      </c>
      <c r="R194" s="320">
        <v>68.888888888888886</v>
      </c>
      <c r="S194" s="318">
        <v>32</v>
      </c>
      <c r="T194" s="318">
        <v>46</v>
      </c>
      <c r="U194" s="318">
        <v>20</v>
      </c>
      <c r="V194" s="315">
        <v>0.24</v>
      </c>
      <c r="W194" s="318">
        <v>40</v>
      </c>
      <c r="X194" s="315">
        <v>6</v>
      </c>
      <c r="Y194" s="315" t="s">
        <v>1149</v>
      </c>
      <c r="Z194" s="315">
        <v>0</v>
      </c>
      <c r="AA194" s="315" t="s">
        <v>1150</v>
      </c>
      <c r="AB194" s="315">
        <v>0.12</v>
      </c>
      <c r="AC194" s="315">
        <v>2275</v>
      </c>
      <c r="AD194" s="315">
        <v>2175</v>
      </c>
      <c r="AE194" s="315">
        <v>0.38166666666666665</v>
      </c>
      <c r="AF194" s="315">
        <v>1.28</v>
      </c>
      <c r="AG194" s="315">
        <v>0.78</v>
      </c>
      <c r="AH194" s="315">
        <v>525</v>
      </c>
    </row>
    <row r="195" spans="1:34">
      <c r="A195" s="315" t="s">
        <v>1145</v>
      </c>
      <c r="B195" s="315" t="s">
        <v>1073</v>
      </c>
      <c r="C195" s="316" t="s">
        <v>1484</v>
      </c>
      <c r="D195" s="316" t="s">
        <v>1484</v>
      </c>
      <c r="E195" s="317">
        <v>20.849076</v>
      </c>
      <c r="F195" s="317">
        <v>4.4712826000000003</v>
      </c>
      <c r="G195" s="317">
        <v>4.6038055687886237</v>
      </c>
      <c r="H195" s="317">
        <v>6.8078190384713331</v>
      </c>
      <c r="I195" s="318">
        <v>32.652857318335514</v>
      </c>
      <c r="J195" s="318">
        <v>51.3361958059903</v>
      </c>
      <c r="K195" s="319">
        <v>36.162795670633699</v>
      </c>
      <c r="L195" s="319">
        <v>3.5099383522981853</v>
      </c>
      <c r="M195" s="319">
        <f t="shared" si="3"/>
        <v>3.5099383522981853</v>
      </c>
      <c r="N195" s="317">
        <v>0.73178971462379638</v>
      </c>
      <c r="O195" s="315" t="s">
        <v>1148</v>
      </c>
      <c r="P195" s="318">
        <v>161</v>
      </c>
      <c r="R195" s="320">
        <v>71.666666666666671</v>
      </c>
      <c r="S195" s="318">
        <v>36</v>
      </c>
      <c r="T195" s="318">
        <v>60</v>
      </c>
      <c r="U195" s="318">
        <v>23</v>
      </c>
      <c r="V195" s="315">
        <v>0.2</v>
      </c>
      <c r="W195" s="318">
        <v>30</v>
      </c>
      <c r="X195" s="315">
        <v>6</v>
      </c>
      <c r="Y195" s="315" t="s">
        <v>1149</v>
      </c>
      <c r="Z195" s="315">
        <v>0</v>
      </c>
      <c r="AA195" s="315" t="s">
        <v>1150</v>
      </c>
      <c r="AB195" s="315">
        <v>0.38</v>
      </c>
      <c r="AC195" s="315">
        <v>2280</v>
      </c>
      <c r="AD195" s="315">
        <v>2180</v>
      </c>
      <c r="AE195" s="315">
        <v>0.47374999999999989</v>
      </c>
      <c r="AF195" s="315">
        <v>1.35</v>
      </c>
      <c r="AG195" s="315">
        <v>0.8</v>
      </c>
      <c r="AH195" s="315">
        <v>653</v>
      </c>
    </row>
    <row r="196" spans="1:34">
      <c r="A196" s="315" t="s">
        <v>1485</v>
      </c>
      <c r="B196" s="315" t="s">
        <v>1073</v>
      </c>
      <c r="C196" s="316" t="s">
        <v>1486</v>
      </c>
      <c r="D196" s="316" t="s">
        <v>1486</v>
      </c>
      <c r="E196" s="317">
        <v>8.3105799999999999</v>
      </c>
      <c r="F196" s="317">
        <v>5.2445637999999999</v>
      </c>
      <c r="G196" s="317">
        <v>5.2792322936370155</v>
      </c>
      <c r="H196" s="317">
        <v>5.2792322936370155</v>
      </c>
      <c r="I196" s="318">
        <v>63.524234092410104</v>
      </c>
      <c r="J196" s="318">
        <v>45.724389044416299</v>
      </c>
      <c r="K196" s="319">
        <v>43.316147137961195</v>
      </c>
      <c r="L196" s="319">
        <v>-20.208086954448909</v>
      </c>
      <c r="M196" s="319">
        <f t="shared" si="3"/>
        <v>0</v>
      </c>
      <c r="N196" s="317">
        <v>0</v>
      </c>
      <c r="O196" s="315" t="s">
        <v>1148</v>
      </c>
      <c r="P196" s="318">
        <v>169</v>
      </c>
      <c r="R196" s="320">
        <v>76.111111111111114</v>
      </c>
      <c r="S196" s="318">
        <v>40</v>
      </c>
      <c r="T196" s="318">
        <v>40</v>
      </c>
      <c r="U196" s="318">
        <v>33</v>
      </c>
      <c r="V196" s="315">
        <v>0.22</v>
      </c>
      <c r="W196" s="318">
        <v>150</v>
      </c>
      <c r="X196" s="315">
        <v>5</v>
      </c>
      <c r="Y196" s="315" t="s">
        <v>1149</v>
      </c>
      <c r="Z196" s="315">
        <v>0</v>
      </c>
      <c r="AA196" s="315" t="s">
        <v>1190</v>
      </c>
      <c r="AB196" s="315">
        <v>0</v>
      </c>
      <c r="AC196" s="315">
        <v>2720</v>
      </c>
      <c r="AD196" s="315">
        <v>2620</v>
      </c>
      <c r="AE196" s="315">
        <v>0.47</v>
      </c>
      <c r="AF196" s="315">
        <v>1.33</v>
      </c>
      <c r="AG196" s="315">
        <v>0.1</v>
      </c>
      <c r="AH196" s="315">
        <v>634</v>
      </c>
    </row>
    <row r="197" spans="1:34">
      <c r="A197" s="315" t="s">
        <v>1145</v>
      </c>
      <c r="B197" s="315" t="s">
        <v>1487</v>
      </c>
      <c r="C197" s="316" t="s">
        <v>1488</v>
      </c>
      <c r="D197" s="316" t="s">
        <v>1488</v>
      </c>
      <c r="E197" s="317">
        <v>36.195999999999998</v>
      </c>
      <c r="F197" s="317">
        <v>2.5967399000000002</v>
      </c>
      <c r="G197" s="317">
        <v>8.5607399000000015</v>
      </c>
      <c r="H197" s="317">
        <v>8.5607399000000015</v>
      </c>
      <c r="I197" s="318">
        <v>23.651066139904966</v>
      </c>
      <c r="J197" s="318">
        <v>46.6590582043087</v>
      </c>
      <c r="K197" s="319">
        <v>44.269969011496599</v>
      </c>
      <c r="L197" s="319">
        <v>20.618902871591633</v>
      </c>
      <c r="M197" s="319">
        <f t="shared" si="3"/>
        <v>20.618902871591633</v>
      </c>
      <c r="N197" s="317">
        <v>7.4632180834013067</v>
      </c>
      <c r="O197" s="315" t="s">
        <v>1148</v>
      </c>
      <c r="P197" s="318">
        <v>250</v>
      </c>
      <c r="R197" s="320">
        <v>121.11111111111111</v>
      </c>
      <c r="S197" s="318">
        <v>30.5</v>
      </c>
      <c r="T197" s="318">
        <v>420</v>
      </c>
      <c r="U197" s="318">
        <v>80</v>
      </c>
      <c r="V197" s="315">
        <v>0.27900000000000003</v>
      </c>
      <c r="W197" s="318">
        <v>41.6</v>
      </c>
      <c r="X197" s="315">
        <v>1</v>
      </c>
      <c r="Y197" s="315" t="s">
        <v>1149</v>
      </c>
      <c r="Z197" s="315">
        <v>0</v>
      </c>
      <c r="AA197" s="315" t="s">
        <v>1157</v>
      </c>
      <c r="AB197" s="315">
        <v>0.08</v>
      </c>
      <c r="AC197" s="315">
        <v>3025</v>
      </c>
      <c r="AD197" s="315">
        <v>2907</v>
      </c>
      <c r="AE197" s="315">
        <v>0.73499999999999999</v>
      </c>
      <c r="AF197" s="315">
        <v>1.3</v>
      </c>
      <c r="AG197" s="315">
        <v>0.56000000000000005</v>
      </c>
      <c r="AH197" s="315">
        <v>421</v>
      </c>
    </row>
    <row r="198" spans="1:34">
      <c r="A198" s="315" t="s">
        <v>1145</v>
      </c>
      <c r="B198" s="315" t="s">
        <v>1487</v>
      </c>
      <c r="C198" s="316" t="s">
        <v>1489</v>
      </c>
      <c r="D198" s="316" t="s">
        <v>1489</v>
      </c>
      <c r="E198" s="317">
        <v>6.2</v>
      </c>
      <c r="F198" s="317">
        <v>0</v>
      </c>
      <c r="G198" s="317">
        <v>0</v>
      </c>
      <c r="H198" s="317">
        <v>0</v>
      </c>
      <c r="I198" s="318">
        <v>0</v>
      </c>
      <c r="J198" s="318">
        <v>43.139440503802199</v>
      </c>
      <c r="K198" s="319">
        <v>46.288622213794298</v>
      </c>
      <c r="L198" s="319">
        <v>46.288622213794298</v>
      </c>
      <c r="M198" s="319">
        <f t="shared" si="3"/>
        <v>46.288622213794298</v>
      </c>
      <c r="N198" s="317">
        <v>2.8698945772552467</v>
      </c>
      <c r="O198" s="315" t="s">
        <v>1168</v>
      </c>
      <c r="P198" s="318">
        <v>250</v>
      </c>
      <c r="R198" s="320">
        <v>121.11111111111111</v>
      </c>
      <c r="S198" s="318">
        <v>30.5</v>
      </c>
      <c r="T198" s="318">
        <v>420</v>
      </c>
      <c r="U198" s="318">
        <v>45</v>
      </c>
      <c r="V198" s="315">
        <v>0.27900000000000003</v>
      </c>
      <c r="W198" s="318">
        <v>158</v>
      </c>
      <c r="X198" s="315">
        <v>1</v>
      </c>
      <c r="Y198" s="315" t="s">
        <v>1149</v>
      </c>
      <c r="Z198" s="315">
        <v>0</v>
      </c>
      <c r="AA198" s="315" t="s">
        <v>1157</v>
      </c>
      <c r="AB198" s="315">
        <v>7</v>
      </c>
      <c r="AC198" s="315">
        <v>3025</v>
      </c>
      <c r="AD198" s="315">
        <v>2907</v>
      </c>
      <c r="AE198" s="315">
        <v>0.73499999999999999</v>
      </c>
      <c r="AF198" s="315">
        <v>1.3</v>
      </c>
      <c r="AG198" s="315">
        <v>0.56000000000000005</v>
      </c>
      <c r="AH198" s="315">
        <v>421</v>
      </c>
    </row>
    <row r="199" spans="1:34">
      <c r="A199" s="315" t="s">
        <v>1145</v>
      </c>
      <c r="B199" s="315" t="s">
        <v>648</v>
      </c>
      <c r="C199" s="316" t="s">
        <v>1490</v>
      </c>
      <c r="D199" s="316" t="s">
        <v>1491</v>
      </c>
      <c r="E199" s="317">
        <v>14.65347</v>
      </c>
      <c r="F199" s="317">
        <v>1.9201893999999999</v>
      </c>
      <c r="G199" s="317">
        <v>2.0051746000000001</v>
      </c>
      <c r="H199" s="317">
        <v>2.0051746000000001</v>
      </c>
      <c r="I199" s="318">
        <v>13.683957451716216</v>
      </c>
      <c r="J199" s="318">
        <v>52.432422453358299</v>
      </c>
      <c r="K199" s="319">
        <v>38.654956050368497</v>
      </c>
      <c r="L199" s="319">
        <v>24.97099859865228</v>
      </c>
      <c r="M199" s="319">
        <f t="shared" si="3"/>
        <v>24.97099859865228</v>
      </c>
      <c r="N199" s="317">
        <v>3.6591177883539325</v>
      </c>
      <c r="O199" s="315" t="s">
        <v>1148</v>
      </c>
      <c r="P199" s="318">
        <v>190</v>
      </c>
      <c r="Q199" s="315">
        <v>1</v>
      </c>
      <c r="R199" s="320">
        <v>87.777777777777771</v>
      </c>
      <c r="S199" s="318">
        <v>38.4</v>
      </c>
      <c r="T199" s="318">
        <v>14.3</v>
      </c>
      <c r="U199" s="318">
        <v>383</v>
      </c>
      <c r="V199" s="315">
        <v>0.155</v>
      </c>
      <c r="W199" s="318">
        <v>111</v>
      </c>
      <c r="X199" s="315">
        <v>4</v>
      </c>
      <c r="Y199" s="315" t="s">
        <v>1154</v>
      </c>
      <c r="Z199" s="315">
        <v>1</v>
      </c>
      <c r="AA199" s="315" t="s">
        <v>1157</v>
      </c>
      <c r="AB199" s="315">
        <v>0.28999999999999998</v>
      </c>
      <c r="AC199" s="315">
        <v>1759</v>
      </c>
      <c r="AD199" s="315">
        <v>1744</v>
      </c>
      <c r="AE199" s="315">
        <v>0.8</v>
      </c>
      <c r="AF199" s="315">
        <v>1.349</v>
      </c>
      <c r="AG199" s="315">
        <v>0.35</v>
      </c>
      <c r="AH199" s="315">
        <v>550</v>
      </c>
    </row>
    <row r="200" spans="1:34">
      <c r="A200" s="315" t="s">
        <v>1145</v>
      </c>
      <c r="B200" s="315" t="s">
        <v>648</v>
      </c>
      <c r="C200" s="316" t="s">
        <v>1492</v>
      </c>
      <c r="D200" s="316" t="s">
        <v>1492</v>
      </c>
      <c r="E200" s="317">
        <v>14.12345</v>
      </c>
      <c r="F200" s="317">
        <v>0</v>
      </c>
      <c r="G200" s="317">
        <v>0</v>
      </c>
      <c r="H200" s="317">
        <v>0</v>
      </c>
      <c r="I200" s="318">
        <v>0</v>
      </c>
      <c r="J200" s="318">
        <v>73.595767659788095</v>
      </c>
      <c r="K200" s="319">
        <v>32.189137880764299</v>
      </c>
      <c r="L200" s="319">
        <v>32.189137880764299</v>
      </c>
      <c r="M200" s="319">
        <f t="shared" si="3"/>
        <v>32.189137880764299</v>
      </c>
      <c r="N200" s="317">
        <v>4.5462167940208058</v>
      </c>
      <c r="O200" s="315" t="s">
        <v>1168</v>
      </c>
      <c r="P200" s="318">
        <v>195</v>
      </c>
      <c r="R200" s="320">
        <v>90.555555555555557</v>
      </c>
      <c r="S200" s="318">
        <v>40.850791717417792</v>
      </c>
      <c r="T200" s="318">
        <v>110</v>
      </c>
      <c r="U200" s="318">
        <v>13</v>
      </c>
      <c r="V200" s="315">
        <v>0.28000000000000003</v>
      </c>
      <c r="W200" s="318">
        <v>800</v>
      </c>
      <c r="X200" s="315">
        <v>0</v>
      </c>
      <c r="Y200" s="315" t="s">
        <v>1149</v>
      </c>
      <c r="Z200" s="315">
        <v>0</v>
      </c>
      <c r="AA200" s="315" t="s">
        <v>1157</v>
      </c>
      <c r="AB200" s="315">
        <v>0</v>
      </c>
      <c r="AC200" s="315">
        <v>1759</v>
      </c>
      <c r="AD200" s="315">
        <v>1759</v>
      </c>
      <c r="AE200" s="315">
        <v>0.4</v>
      </c>
      <c r="AF200" s="315">
        <v>1.349</v>
      </c>
      <c r="AG200" s="315">
        <v>0.31</v>
      </c>
      <c r="AH200" s="315">
        <v>522.29999999999995</v>
      </c>
    </row>
    <row r="201" spans="1:34">
      <c r="A201" s="315" t="s">
        <v>1334</v>
      </c>
      <c r="B201" s="315" t="s">
        <v>648</v>
      </c>
      <c r="C201" s="316" t="s">
        <v>1493</v>
      </c>
      <c r="D201" s="316" t="s">
        <v>1493</v>
      </c>
      <c r="E201" s="317">
        <v>23.626750000000001</v>
      </c>
      <c r="F201" s="317">
        <v>1.6483293999999999</v>
      </c>
      <c r="G201" s="317">
        <v>1.6921923999999999</v>
      </c>
      <c r="H201" s="317">
        <v>1.6921923999999999</v>
      </c>
      <c r="I201" s="318">
        <v>7.1621886209487116</v>
      </c>
      <c r="J201" s="318">
        <v>73.7516756151864</v>
      </c>
      <c r="K201" s="319">
        <v>29.669288462765596</v>
      </c>
      <c r="L201" s="319">
        <v>22.507099841816885</v>
      </c>
      <c r="M201" s="319">
        <f t="shared" si="3"/>
        <v>22.507099841816885</v>
      </c>
      <c r="N201" s="317">
        <v>5.3176962118764717</v>
      </c>
      <c r="O201" s="315" t="s">
        <v>1148</v>
      </c>
      <c r="P201" s="318">
        <v>195</v>
      </c>
      <c r="R201" s="320">
        <v>90.555555555555557</v>
      </c>
      <c r="S201" s="318">
        <v>40.850791717417792</v>
      </c>
      <c r="T201" s="318">
        <v>80</v>
      </c>
      <c r="U201" s="318">
        <v>11</v>
      </c>
      <c r="V201" s="315">
        <v>0.17299999999999999</v>
      </c>
      <c r="W201" s="318">
        <v>1800</v>
      </c>
      <c r="X201" s="315">
        <v>2</v>
      </c>
      <c r="Y201" s="315" t="s">
        <v>1149</v>
      </c>
      <c r="Z201" s="315">
        <v>0</v>
      </c>
      <c r="AA201" s="315" t="s">
        <v>1157</v>
      </c>
      <c r="AB201" s="315">
        <v>0</v>
      </c>
      <c r="AC201" s="315">
        <v>1759</v>
      </c>
      <c r="AD201" s="315">
        <v>1759</v>
      </c>
      <c r="AE201" s="315">
        <v>0.4</v>
      </c>
      <c r="AF201" s="315">
        <v>1.3090999999999999</v>
      </c>
      <c r="AG201" s="315">
        <v>0.31</v>
      </c>
      <c r="AH201" s="315">
        <v>492.6</v>
      </c>
    </row>
    <row r="202" spans="1:34">
      <c r="A202" s="315" t="s">
        <v>1334</v>
      </c>
      <c r="B202" s="315" t="s">
        <v>648</v>
      </c>
      <c r="C202" s="316" t="s">
        <v>1494</v>
      </c>
      <c r="D202" s="316" t="s">
        <v>1494</v>
      </c>
      <c r="E202" s="317">
        <v>14.99248</v>
      </c>
      <c r="F202" s="317">
        <v>0.54930000000000001</v>
      </c>
      <c r="G202" s="317">
        <v>0.54930000000000001</v>
      </c>
      <c r="H202" s="317">
        <v>0.54930000000000001</v>
      </c>
      <c r="I202" s="318">
        <v>3.6638368035174964</v>
      </c>
      <c r="J202" s="318">
        <v>52.989545028492401</v>
      </c>
      <c r="K202" s="319">
        <v>37.917677598361998</v>
      </c>
      <c r="L202" s="319">
        <v>34.2538407948445</v>
      </c>
      <c r="M202" s="319">
        <f t="shared" si="3"/>
        <v>34.2538407948445</v>
      </c>
      <c r="N202" s="317">
        <v>5.1355002303989021</v>
      </c>
      <c r="O202" s="315" t="s">
        <v>1148</v>
      </c>
      <c r="P202" s="318">
        <v>195</v>
      </c>
      <c r="R202" s="320">
        <v>90.555555555555557</v>
      </c>
      <c r="S202" s="318">
        <v>40.850791717417792</v>
      </c>
      <c r="T202" s="318">
        <v>8.4654400642804539</v>
      </c>
      <c r="U202" s="318">
        <v>8.4649800000000006</v>
      </c>
      <c r="V202" s="315">
        <v>0.24</v>
      </c>
      <c r="W202" s="318">
        <v>800</v>
      </c>
      <c r="X202" s="315">
        <v>2</v>
      </c>
      <c r="Y202" s="315" t="s">
        <v>1149</v>
      </c>
      <c r="Z202" s="315">
        <v>0</v>
      </c>
      <c r="AA202" s="315" t="s">
        <v>1157</v>
      </c>
      <c r="AB202" s="315">
        <v>0.4654666666666667</v>
      </c>
      <c r="AC202" s="315">
        <v>1759</v>
      </c>
      <c r="AD202" s="315">
        <v>1759</v>
      </c>
      <c r="AE202" s="315">
        <v>0.8</v>
      </c>
      <c r="AF202" s="315">
        <v>1.349</v>
      </c>
      <c r="AG202" s="315">
        <v>0.31</v>
      </c>
      <c r="AH202" s="315">
        <v>519.16666666666663</v>
      </c>
    </row>
    <row r="203" spans="1:34">
      <c r="A203" s="315" t="s">
        <v>1334</v>
      </c>
      <c r="B203" s="315" t="s">
        <v>648</v>
      </c>
      <c r="C203" s="316" t="s">
        <v>1495</v>
      </c>
      <c r="D203" s="316" t="s">
        <v>1495</v>
      </c>
      <c r="E203" s="317">
        <v>6.2831999999999999</v>
      </c>
      <c r="F203" s="317">
        <v>2.3642968999999998</v>
      </c>
      <c r="G203" s="317">
        <v>2.3750429</v>
      </c>
      <c r="H203" s="317">
        <v>2.3750429</v>
      </c>
      <c r="I203" s="318">
        <v>37.79989336643748</v>
      </c>
      <c r="J203" s="318">
        <v>52.7149769945758</v>
      </c>
      <c r="K203" s="319">
        <v>39.250278164536297</v>
      </c>
      <c r="L203" s="319">
        <v>1.4503847980988169</v>
      </c>
      <c r="M203" s="319">
        <f t="shared" si="3"/>
        <v>1.4503847980988169</v>
      </c>
      <c r="N203" s="317">
        <v>9.1130577634144866E-2</v>
      </c>
      <c r="O203" s="315" t="s">
        <v>1148</v>
      </c>
      <c r="P203" s="318">
        <v>195</v>
      </c>
      <c r="R203" s="320">
        <v>90.555555555555557</v>
      </c>
      <c r="S203" s="318">
        <v>38.4</v>
      </c>
      <c r="T203" s="318">
        <v>17.5</v>
      </c>
      <c r="U203" s="318">
        <v>375</v>
      </c>
      <c r="V203" s="315">
        <v>0.23</v>
      </c>
      <c r="W203" s="318">
        <v>134</v>
      </c>
      <c r="X203" s="315">
        <v>4</v>
      </c>
      <c r="Y203" s="315" t="s">
        <v>1149</v>
      </c>
      <c r="Z203" s="315">
        <v>0</v>
      </c>
      <c r="AA203" s="315" t="s">
        <v>1150</v>
      </c>
      <c r="AB203" s="315">
        <v>0</v>
      </c>
      <c r="AC203" s="315">
        <v>1600</v>
      </c>
      <c r="AD203" s="315">
        <v>1744</v>
      </c>
      <c r="AE203" s="315">
        <v>0.8</v>
      </c>
      <c r="AF203" s="315">
        <v>1.349</v>
      </c>
      <c r="AG203" s="315">
        <v>0.35</v>
      </c>
      <c r="AH203" s="315">
        <v>550</v>
      </c>
    </row>
    <row r="204" spans="1:34">
      <c r="A204" s="315" t="s">
        <v>1229</v>
      </c>
      <c r="B204" s="315" t="s">
        <v>648</v>
      </c>
      <c r="C204" s="316" t="s">
        <v>1496</v>
      </c>
      <c r="D204" s="316" t="s">
        <v>1496</v>
      </c>
      <c r="E204" s="317">
        <v>19.587620000000001</v>
      </c>
      <c r="F204" s="317">
        <v>11.671225400000001</v>
      </c>
      <c r="G204" s="317">
        <v>12.136538692941588</v>
      </c>
      <c r="H204" s="317">
        <v>12.136538692941588</v>
      </c>
      <c r="I204" s="318">
        <v>61.960251898605279</v>
      </c>
      <c r="J204" s="318">
        <v>51.826404120811603</v>
      </c>
      <c r="K204" s="319">
        <v>39.974200671802201</v>
      </c>
      <c r="L204" s="319">
        <v>-21.986051226803077</v>
      </c>
      <c r="M204" s="319">
        <f t="shared" si="3"/>
        <v>0</v>
      </c>
      <c r="N204" s="317">
        <v>0</v>
      </c>
      <c r="O204" s="315" t="s">
        <v>1148</v>
      </c>
      <c r="P204" s="318">
        <v>195</v>
      </c>
      <c r="R204" s="320">
        <v>90.555555555555557</v>
      </c>
      <c r="S204" s="318">
        <v>40.850791717417792</v>
      </c>
      <c r="T204" s="318">
        <v>48.6673872</v>
      </c>
      <c r="U204" s="318">
        <v>5.160012191405059</v>
      </c>
      <c r="V204" s="315">
        <v>0.24</v>
      </c>
      <c r="W204" s="318">
        <v>786</v>
      </c>
      <c r="X204" s="315">
        <v>3</v>
      </c>
      <c r="Y204" s="315" t="s">
        <v>1154</v>
      </c>
      <c r="Z204" s="315">
        <v>1</v>
      </c>
      <c r="AA204" s="315" t="s">
        <v>1190</v>
      </c>
      <c r="AB204" s="315">
        <v>0</v>
      </c>
      <c r="AC204" s="315">
        <v>1759</v>
      </c>
      <c r="AD204" s="315">
        <v>1759</v>
      </c>
      <c r="AE204" s="315">
        <v>0.8</v>
      </c>
      <c r="AF204" s="315">
        <v>1.349</v>
      </c>
      <c r="AG204" s="315">
        <v>0.31</v>
      </c>
      <c r="AH204" s="315">
        <v>519.16666666666663</v>
      </c>
    </row>
    <row r="205" spans="1:34">
      <c r="A205" s="315" t="s">
        <v>1334</v>
      </c>
      <c r="B205" s="315" t="s">
        <v>648</v>
      </c>
      <c r="C205" s="316" t="s">
        <v>1497</v>
      </c>
      <c r="D205" s="316" t="s">
        <v>1497</v>
      </c>
      <c r="E205" s="317">
        <v>28.02289</v>
      </c>
      <c r="F205" s="317">
        <v>15.1042024</v>
      </c>
      <c r="G205" s="317">
        <v>15.8465489</v>
      </c>
      <c r="H205" s="317">
        <v>15.8465489</v>
      </c>
      <c r="I205" s="318">
        <v>56.54858902846923</v>
      </c>
      <c r="J205" s="318">
        <v>70.216952774841303</v>
      </c>
      <c r="K205" s="319">
        <v>32.623390010423904</v>
      </c>
      <c r="L205" s="319">
        <v>-23.925199018045326</v>
      </c>
      <c r="M205" s="319">
        <f t="shared" si="3"/>
        <v>0</v>
      </c>
      <c r="N205" s="317">
        <v>0</v>
      </c>
      <c r="O205" s="315" t="s">
        <v>1148</v>
      </c>
      <c r="P205" s="318">
        <v>195</v>
      </c>
      <c r="R205" s="320">
        <v>90.555555555555557</v>
      </c>
      <c r="S205" s="318">
        <v>40.850791717417792</v>
      </c>
      <c r="T205" s="318">
        <v>91</v>
      </c>
      <c r="U205" s="318">
        <v>79</v>
      </c>
      <c r="V205" s="315">
        <v>0.188</v>
      </c>
      <c r="W205" s="318">
        <v>873</v>
      </c>
      <c r="X205" s="315">
        <v>4</v>
      </c>
      <c r="Y205" s="315" t="s">
        <v>1154</v>
      </c>
      <c r="Z205" s="315">
        <v>1</v>
      </c>
      <c r="AA205" s="315" t="s">
        <v>1190</v>
      </c>
      <c r="AB205" s="315">
        <v>2.9950000000000001E-2</v>
      </c>
      <c r="AC205" s="315">
        <v>1759</v>
      </c>
      <c r="AD205" s="315">
        <v>1759</v>
      </c>
      <c r="AE205" s="315">
        <v>0.43</v>
      </c>
      <c r="AF205" s="315">
        <v>1.32605</v>
      </c>
      <c r="AG205" s="315">
        <v>0.31</v>
      </c>
      <c r="AH205" s="315">
        <v>523.04999999999995</v>
      </c>
    </row>
    <row r="206" spans="1:34">
      <c r="A206" s="315" t="s">
        <v>1334</v>
      </c>
      <c r="B206" s="315" t="s">
        <v>648</v>
      </c>
      <c r="C206" s="316" t="s">
        <v>1498</v>
      </c>
      <c r="D206" s="316" t="s">
        <v>1498</v>
      </c>
      <c r="E206" s="317">
        <v>27.790890000000001</v>
      </c>
      <c r="F206" s="317">
        <v>7.9963335999999998</v>
      </c>
      <c r="G206" s="317">
        <v>8.685490999999999</v>
      </c>
      <c r="H206" s="317">
        <v>8.685490999999999</v>
      </c>
      <c r="I206" s="318">
        <v>31.253014926833934</v>
      </c>
      <c r="J206" s="318">
        <v>52.320704234619797</v>
      </c>
      <c r="K206" s="319">
        <v>39.716159786286795</v>
      </c>
      <c r="L206" s="319">
        <v>8.4631448594528607</v>
      </c>
      <c r="M206" s="319">
        <f t="shared" si="3"/>
        <v>8.4631448594528607</v>
      </c>
      <c r="N206" s="317">
        <v>2.3519832784311991</v>
      </c>
      <c r="O206" s="315" t="s">
        <v>1148</v>
      </c>
      <c r="P206" s="318">
        <v>195</v>
      </c>
      <c r="R206" s="320">
        <v>90.555555555555557</v>
      </c>
      <c r="S206" s="318">
        <v>38.4</v>
      </c>
      <c r="T206" s="318">
        <v>25</v>
      </c>
      <c r="U206" s="318">
        <v>383</v>
      </c>
      <c r="V206" s="315">
        <v>0.25</v>
      </c>
      <c r="W206" s="318">
        <v>324</v>
      </c>
      <c r="X206" s="315">
        <v>4</v>
      </c>
      <c r="Y206" s="315" t="s">
        <v>1154</v>
      </c>
      <c r="Z206" s="315">
        <v>1</v>
      </c>
      <c r="AA206" s="315" t="s">
        <v>1157</v>
      </c>
      <c r="AB206" s="315">
        <v>0</v>
      </c>
      <c r="AC206" s="315">
        <v>1850</v>
      </c>
      <c r="AD206" s="315">
        <v>1744</v>
      </c>
      <c r="AE206" s="315">
        <v>0.8</v>
      </c>
      <c r="AF206" s="315">
        <v>1.349</v>
      </c>
      <c r="AG206" s="315">
        <v>0.35</v>
      </c>
      <c r="AH206" s="315">
        <v>550</v>
      </c>
    </row>
    <row r="207" spans="1:34">
      <c r="A207" s="315" t="s">
        <v>1145</v>
      </c>
      <c r="B207" s="315" t="s">
        <v>648</v>
      </c>
      <c r="C207" s="316" t="s">
        <v>1499</v>
      </c>
      <c r="D207" s="316" t="s">
        <v>1499</v>
      </c>
      <c r="E207" s="317">
        <v>3.6811199999999999</v>
      </c>
      <c r="F207" s="317">
        <v>0</v>
      </c>
      <c r="G207" s="317">
        <v>0</v>
      </c>
      <c r="H207" s="317">
        <v>0</v>
      </c>
      <c r="I207" s="318">
        <v>0</v>
      </c>
      <c r="J207" s="318">
        <v>60.197300405751697</v>
      </c>
      <c r="K207" s="319">
        <v>36.282939682844201</v>
      </c>
      <c r="L207" s="319">
        <v>36.282939682844201</v>
      </c>
      <c r="M207" s="319">
        <f t="shared" si="3"/>
        <v>36.282939682844201</v>
      </c>
      <c r="N207" s="317">
        <v>1.3356185492531145</v>
      </c>
      <c r="O207" s="315" t="s">
        <v>1168</v>
      </c>
      <c r="P207" s="318">
        <v>195</v>
      </c>
      <c r="R207" s="320">
        <v>90.555555555555557</v>
      </c>
      <c r="S207" s="318">
        <v>40.850791717417792</v>
      </c>
      <c r="T207" s="318">
        <v>5.9968581798995189</v>
      </c>
      <c r="U207" s="318">
        <v>21</v>
      </c>
      <c r="V207" s="315">
        <v>0.1535</v>
      </c>
      <c r="W207" s="318">
        <v>1019</v>
      </c>
      <c r="X207" s="315">
        <v>0</v>
      </c>
      <c r="Y207" s="315" t="s">
        <v>1149</v>
      </c>
      <c r="Z207" s="315">
        <v>0</v>
      </c>
      <c r="AA207" s="315" t="s">
        <v>1157</v>
      </c>
      <c r="AB207" s="315">
        <v>0.60234999999999994</v>
      </c>
      <c r="AC207" s="315">
        <v>1759</v>
      </c>
      <c r="AD207" s="315">
        <v>1759</v>
      </c>
      <c r="AE207" s="315">
        <v>0.6</v>
      </c>
      <c r="AF207" s="315">
        <v>1.3292999999999999</v>
      </c>
      <c r="AG207" s="315">
        <v>0.31</v>
      </c>
      <c r="AH207" s="315">
        <v>528.70000000000005</v>
      </c>
    </row>
    <row r="208" spans="1:34">
      <c r="A208" s="315" t="s">
        <v>1229</v>
      </c>
      <c r="B208" s="315" t="s">
        <v>648</v>
      </c>
      <c r="C208" s="316" t="s">
        <v>1500</v>
      </c>
      <c r="D208" s="316" t="s">
        <v>1500</v>
      </c>
      <c r="E208" s="317">
        <v>16.01651</v>
      </c>
      <c r="F208" s="317">
        <v>0.40733760000000002</v>
      </c>
      <c r="G208" s="317">
        <v>0.41858030000000002</v>
      </c>
      <c r="H208" s="317">
        <v>0.41858030000000002</v>
      </c>
      <c r="I208" s="318">
        <v>2.6134301417724588</v>
      </c>
      <c r="J208" s="318">
        <v>52.833819064988198</v>
      </c>
      <c r="K208" s="319">
        <v>34.332349373524302</v>
      </c>
      <c r="L208" s="319">
        <v>31.718919231751844</v>
      </c>
      <c r="M208" s="319">
        <f t="shared" si="3"/>
        <v>31.718919231751844</v>
      </c>
      <c r="N208" s="317">
        <v>5.0802638706454575</v>
      </c>
      <c r="O208" s="315" t="s">
        <v>1148</v>
      </c>
      <c r="P208" s="318">
        <v>195.50530000000001</v>
      </c>
      <c r="R208" s="320">
        <v>90.836277777777781</v>
      </c>
      <c r="S208" s="318">
        <v>38.4</v>
      </c>
      <c r="T208" s="318">
        <v>17.2</v>
      </c>
      <c r="U208" s="318">
        <v>375</v>
      </c>
      <c r="V208" s="315">
        <v>0.2</v>
      </c>
      <c r="W208" s="318">
        <v>57</v>
      </c>
      <c r="X208" s="315">
        <v>3</v>
      </c>
      <c r="Y208" s="315" t="s">
        <v>1149</v>
      </c>
      <c r="Z208" s="315">
        <v>0</v>
      </c>
      <c r="AA208" s="315" t="s">
        <v>1190</v>
      </c>
      <c r="AB208" s="315">
        <v>0</v>
      </c>
      <c r="AC208" s="315">
        <v>1400</v>
      </c>
      <c r="AD208" s="315">
        <v>1744</v>
      </c>
      <c r="AE208" s="315">
        <v>0.8</v>
      </c>
      <c r="AF208" s="315">
        <v>1.349</v>
      </c>
      <c r="AG208" s="315">
        <v>0.35</v>
      </c>
      <c r="AH208" s="315">
        <v>550</v>
      </c>
    </row>
    <row r="209" spans="1:34">
      <c r="A209" s="315" t="s">
        <v>1277</v>
      </c>
      <c r="B209" s="315" t="s">
        <v>648</v>
      </c>
      <c r="C209" s="316" t="s">
        <v>1501</v>
      </c>
      <c r="D209" s="316" t="s">
        <v>1501</v>
      </c>
      <c r="E209" s="317">
        <v>43.393380000000001</v>
      </c>
      <c r="F209" s="317">
        <v>0</v>
      </c>
      <c r="G209" s="317">
        <v>0</v>
      </c>
      <c r="H209" s="317">
        <v>0</v>
      </c>
      <c r="I209" s="318">
        <v>0</v>
      </c>
      <c r="J209" s="318">
        <v>62.360850987276002</v>
      </c>
      <c r="K209" s="319">
        <v>36.632863927845698</v>
      </c>
      <c r="L209" s="319">
        <v>36.632863927845698</v>
      </c>
      <c r="M209" s="319">
        <f t="shared" si="3"/>
        <v>36.632863927845698</v>
      </c>
      <c r="N209" s="317">
        <v>15.89623784909301</v>
      </c>
      <c r="O209" s="315" t="s">
        <v>1168</v>
      </c>
      <c r="P209" s="318">
        <v>197</v>
      </c>
      <c r="R209" s="320">
        <v>91.666666666666671</v>
      </c>
      <c r="S209" s="318">
        <v>38</v>
      </c>
      <c r="T209" s="318">
        <v>473</v>
      </c>
      <c r="U209" s="318">
        <v>22.5</v>
      </c>
      <c r="V209" s="315">
        <v>0.2</v>
      </c>
      <c r="W209" s="318">
        <v>184</v>
      </c>
      <c r="X209" s="315">
        <v>0</v>
      </c>
      <c r="Y209" s="315" t="s">
        <v>1149</v>
      </c>
      <c r="Z209" s="315">
        <v>0</v>
      </c>
      <c r="AA209" s="315" t="s">
        <v>1157</v>
      </c>
      <c r="AB209" s="315">
        <v>0</v>
      </c>
      <c r="AC209" s="315">
        <v>1517</v>
      </c>
      <c r="AD209" s="315">
        <v>1759</v>
      </c>
      <c r="AE209" s="315">
        <v>0.54</v>
      </c>
      <c r="AF209" s="315">
        <v>1.349</v>
      </c>
      <c r="AG209" s="315">
        <v>0.31</v>
      </c>
      <c r="AH209" s="315">
        <v>250</v>
      </c>
    </row>
    <row r="210" spans="1:34">
      <c r="A210" s="315" t="s">
        <v>1502</v>
      </c>
      <c r="B210" s="315" t="s">
        <v>648</v>
      </c>
      <c r="C210" s="316" t="s">
        <v>1503</v>
      </c>
      <c r="D210" s="316" t="s">
        <v>1503</v>
      </c>
      <c r="E210" s="317">
        <v>37.699199999999998</v>
      </c>
      <c r="F210" s="317">
        <v>1.7080663</v>
      </c>
      <c r="G210" s="317">
        <v>3.1925346063024467</v>
      </c>
      <c r="H210" s="317">
        <v>3.1925346063024467</v>
      </c>
      <c r="I210" s="318">
        <v>8.4684412568501379</v>
      </c>
      <c r="J210" s="318">
        <v>51.343929905935397</v>
      </c>
      <c r="K210" s="319">
        <v>40.422548820913399</v>
      </c>
      <c r="L210" s="319">
        <v>31.954107564063261</v>
      </c>
      <c r="M210" s="319">
        <f t="shared" si="3"/>
        <v>31.954107564063261</v>
      </c>
      <c r="N210" s="317">
        <v>12.046442918791335</v>
      </c>
      <c r="O210" s="315" t="s">
        <v>1148</v>
      </c>
      <c r="P210" s="318">
        <v>197</v>
      </c>
      <c r="R210" s="320">
        <v>91.666666666666671</v>
      </c>
      <c r="S210" s="318">
        <v>38</v>
      </c>
      <c r="T210" s="318">
        <v>94</v>
      </c>
      <c r="U210" s="318">
        <v>40</v>
      </c>
      <c r="V210" s="315">
        <v>0.3</v>
      </c>
      <c r="W210" s="318">
        <v>2836</v>
      </c>
      <c r="X210" s="315">
        <v>0</v>
      </c>
      <c r="Y210" s="315" t="s">
        <v>1149</v>
      </c>
      <c r="Z210" s="315">
        <v>0</v>
      </c>
      <c r="AA210" s="315" t="s">
        <v>1157</v>
      </c>
      <c r="AB210" s="315">
        <v>0</v>
      </c>
      <c r="AC210" s="315">
        <v>1517</v>
      </c>
      <c r="AD210" s="315">
        <v>1759</v>
      </c>
      <c r="AE210" s="315">
        <v>0.78</v>
      </c>
      <c r="AF210" s="315">
        <v>1.349</v>
      </c>
      <c r="AG210" s="315">
        <v>0.31</v>
      </c>
      <c r="AH210" s="315">
        <v>250</v>
      </c>
    </row>
    <row r="211" spans="1:34">
      <c r="A211" s="315" t="s">
        <v>1504</v>
      </c>
      <c r="B211" s="315" t="s">
        <v>648</v>
      </c>
      <c r="C211" s="316" t="s">
        <v>1505</v>
      </c>
      <c r="D211" s="316" t="s">
        <v>1505</v>
      </c>
      <c r="E211" s="317">
        <v>39.899270000000001</v>
      </c>
      <c r="F211" s="317">
        <v>15.294478099999999</v>
      </c>
      <c r="G211" s="317">
        <v>15.564301899999998</v>
      </c>
      <c r="H211" s="317">
        <v>15.564301899999998</v>
      </c>
      <c r="I211" s="318">
        <v>39.00898913689398</v>
      </c>
      <c r="J211" s="318">
        <v>51.843355177846199</v>
      </c>
      <c r="K211" s="319">
        <v>41.312016298762799</v>
      </c>
      <c r="L211" s="319">
        <v>2.303027161868819</v>
      </c>
      <c r="M211" s="319">
        <f t="shared" si="3"/>
        <v>2.303027161868819</v>
      </c>
      <c r="N211" s="317">
        <v>0.91889102548737711</v>
      </c>
      <c r="O211" s="315" t="s">
        <v>1148</v>
      </c>
      <c r="P211" s="318">
        <v>197.80199999999999</v>
      </c>
      <c r="R211" s="320">
        <v>92.112222222222215</v>
      </c>
      <c r="S211" s="318">
        <v>38.4</v>
      </c>
      <c r="T211" s="318">
        <v>34.200000000000003</v>
      </c>
      <c r="U211" s="318">
        <v>270</v>
      </c>
      <c r="V211" s="315">
        <v>0.2</v>
      </c>
      <c r="W211" s="318">
        <v>555</v>
      </c>
      <c r="X211" s="315">
        <v>4</v>
      </c>
      <c r="Y211" s="315" t="s">
        <v>1154</v>
      </c>
      <c r="Z211" s="315">
        <v>1</v>
      </c>
      <c r="AA211" s="315" t="s">
        <v>1157</v>
      </c>
      <c r="AB211" s="315">
        <v>0</v>
      </c>
      <c r="AC211" s="315">
        <v>1700</v>
      </c>
      <c r="AD211" s="315">
        <v>1744</v>
      </c>
      <c r="AE211" s="315">
        <v>0.8</v>
      </c>
      <c r="AF211" s="315">
        <v>1.349</v>
      </c>
      <c r="AG211" s="315">
        <v>0.35</v>
      </c>
      <c r="AH211" s="315">
        <v>550</v>
      </c>
    </row>
    <row r="212" spans="1:34">
      <c r="A212" s="315" t="s">
        <v>1145</v>
      </c>
      <c r="B212" s="315" t="s">
        <v>648</v>
      </c>
      <c r="C212" s="316" t="s">
        <v>1506</v>
      </c>
      <c r="D212" s="316" t="s">
        <v>1506</v>
      </c>
      <c r="E212" s="317">
        <v>8.7212800000000001</v>
      </c>
      <c r="F212" s="317">
        <v>2.3898009999999998</v>
      </c>
      <c r="G212" s="317">
        <v>2.3898009999999998</v>
      </c>
      <c r="H212" s="317">
        <v>2.3898009999999998</v>
      </c>
      <c r="I212" s="318">
        <v>27.401952465693107</v>
      </c>
      <c r="J212" s="318">
        <v>59.835469977931702</v>
      </c>
      <c r="K212" s="319">
        <v>37.7458399958199</v>
      </c>
      <c r="L212" s="319">
        <v>10.343887530126793</v>
      </c>
      <c r="M212" s="319">
        <f t="shared" si="3"/>
        <v>10.343887530126793</v>
      </c>
      <c r="N212" s="317">
        <v>0.90211939438744193</v>
      </c>
      <c r="O212" s="315" t="s">
        <v>1148</v>
      </c>
      <c r="P212" s="318">
        <v>198.25</v>
      </c>
      <c r="R212" s="320">
        <v>92.361111111111114</v>
      </c>
      <c r="S212" s="318">
        <v>38.4</v>
      </c>
      <c r="T212" s="318">
        <v>0</v>
      </c>
      <c r="U212" s="318">
        <v>220</v>
      </c>
      <c r="V212" s="315">
        <v>0.24</v>
      </c>
      <c r="W212" s="318">
        <v>272</v>
      </c>
      <c r="X212" s="315">
        <v>3</v>
      </c>
      <c r="Y212" s="315" t="s">
        <v>1149</v>
      </c>
      <c r="Z212" s="315">
        <v>0</v>
      </c>
      <c r="AA212" s="315" t="s">
        <v>1157</v>
      </c>
      <c r="AB212" s="315">
        <v>0</v>
      </c>
      <c r="AC212" s="315">
        <v>1759</v>
      </c>
      <c r="AD212" s="315">
        <v>1744</v>
      </c>
      <c r="AE212" s="315">
        <v>0.6</v>
      </c>
      <c r="AF212" s="315">
        <v>1.349</v>
      </c>
      <c r="AG212" s="315">
        <v>0.35</v>
      </c>
      <c r="AH212" s="315">
        <v>550</v>
      </c>
    </row>
    <row r="213" spans="1:34">
      <c r="A213" s="315" t="s">
        <v>1145</v>
      </c>
      <c r="B213" s="315" t="s">
        <v>648</v>
      </c>
      <c r="C213" s="316" t="s">
        <v>1507</v>
      </c>
      <c r="D213" s="316" t="s">
        <v>1507</v>
      </c>
      <c r="E213" s="317">
        <v>13.53443</v>
      </c>
      <c r="F213" s="317">
        <v>6.9608306999999998</v>
      </c>
      <c r="G213" s="317">
        <v>7.2144740000000001</v>
      </c>
      <c r="H213" s="317">
        <v>7.2144740000000001</v>
      </c>
      <c r="I213" s="318">
        <v>53.304601671440906</v>
      </c>
      <c r="J213" s="318">
        <v>51.288895466031299</v>
      </c>
      <c r="K213" s="319">
        <v>40.978463445931204</v>
      </c>
      <c r="L213" s="319">
        <v>-12.326138225509702</v>
      </c>
      <c r="M213" s="319">
        <f t="shared" si="3"/>
        <v>0</v>
      </c>
      <c r="N213" s="317">
        <v>0</v>
      </c>
      <c r="O213" s="315" t="s">
        <v>1148</v>
      </c>
      <c r="P213" s="318">
        <v>200.09870000000001</v>
      </c>
      <c r="R213" s="320">
        <v>93.388166666666677</v>
      </c>
      <c r="S213" s="318">
        <v>38.4</v>
      </c>
      <c r="T213" s="318">
        <v>47.5</v>
      </c>
      <c r="U213" s="318">
        <v>29</v>
      </c>
      <c r="V213" s="315">
        <v>0.24</v>
      </c>
      <c r="W213" s="318">
        <v>908</v>
      </c>
      <c r="X213" s="315">
        <v>3</v>
      </c>
      <c r="Y213" s="315" t="s">
        <v>1149</v>
      </c>
      <c r="Z213" s="315">
        <v>0</v>
      </c>
      <c r="AA213" s="315" t="s">
        <v>1157</v>
      </c>
      <c r="AB213" s="315">
        <v>0.03</v>
      </c>
      <c r="AC213" s="315">
        <v>1800</v>
      </c>
      <c r="AD213" s="315">
        <v>1744</v>
      </c>
      <c r="AE213" s="315">
        <v>0.8</v>
      </c>
      <c r="AF213" s="315">
        <v>1.349</v>
      </c>
      <c r="AG213" s="315">
        <v>0.35</v>
      </c>
      <c r="AH213" s="315">
        <v>550</v>
      </c>
    </row>
    <row r="214" spans="1:34">
      <c r="A214" s="315" t="s">
        <v>1508</v>
      </c>
      <c r="B214" s="315" t="s">
        <v>648</v>
      </c>
      <c r="C214" s="316" t="s">
        <v>1509</v>
      </c>
      <c r="D214" s="316" t="s">
        <v>1509</v>
      </c>
      <c r="E214" s="317">
        <v>40.170279999999998</v>
      </c>
      <c r="F214" s="317">
        <v>4.3398003000000003</v>
      </c>
      <c r="G214" s="317">
        <v>4.5439750000000005</v>
      </c>
      <c r="H214" s="317">
        <v>4.5439750000000005</v>
      </c>
      <c r="I214" s="318">
        <v>11.311783238752632</v>
      </c>
      <c r="J214" s="318">
        <v>51.848461894438898</v>
      </c>
      <c r="K214" s="319">
        <v>41.3110992394273</v>
      </c>
      <c r="L214" s="319">
        <v>29.999316000674668</v>
      </c>
      <c r="M214" s="319">
        <f t="shared" si="3"/>
        <v>29.999316000674668</v>
      </c>
      <c r="N214" s="317">
        <v>12.050809235555816</v>
      </c>
      <c r="O214" s="315" t="s">
        <v>1148</v>
      </c>
      <c r="P214" s="318">
        <v>202.39540000000002</v>
      </c>
      <c r="R214" s="320">
        <v>94.664111111111126</v>
      </c>
      <c r="S214" s="318">
        <v>38.4</v>
      </c>
      <c r="T214" s="318">
        <v>37.299999999999997</v>
      </c>
      <c r="U214" s="318">
        <v>375</v>
      </c>
      <c r="V214" s="315">
        <v>0.25</v>
      </c>
      <c r="W214" s="318">
        <v>558</v>
      </c>
      <c r="X214" s="315">
        <v>5</v>
      </c>
      <c r="Y214" s="315" t="s">
        <v>1154</v>
      </c>
      <c r="Z214" s="315">
        <v>1</v>
      </c>
      <c r="AA214" s="315" t="s">
        <v>1157</v>
      </c>
      <c r="AB214" s="315">
        <v>0.11</v>
      </c>
      <c r="AC214" s="315">
        <v>1750</v>
      </c>
      <c r="AD214" s="315">
        <v>1744</v>
      </c>
      <c r="AE214" s="315">
        <v>0.8</v>
      </c>
      <c r="AF214" s="315">
        <v>1.349</v>
      </c>
      <c r="AG214" s="315">
        <v>0.35</v>
      </c>
      <c r="AH214" s="315">
        <v>550</v>
      </c>
    </row>
    <row r="215" spans="1:34">
      <c r="A215" s="315" t="s">
        <v>1145</v>
      </c>
      <c r="B215" s="315" t="s">
        <v>652</v>
      </c>
      <c r="C215" s="316" t="s">
        <v>1510</v>
      </c>
      <c r="D215" s="316" t="s">
        <v>1510</v>
      </c>
      <c r="E215" s="317">
        <v>10.0359</v>
      </c>
      <c r="F215" s="317">
        <v>2.8505503999999999</v>
      </c>
      <c r="G215" s="317">
        <v>3.4544321</v>
      </c>
      <c r="H215" s="317">
        <v>11.460867500000001</v>
      </c>
      <c r="I215" s="318">
        <v>114.19870166103689</v>
      </c>
      <c r="J215" s="318">
        <v>66.898208929884305</v>
      </c>
      <c r="K215" s="319">
        <v>36.030160285759898</v>
      </c>
      <c r="L215" s="319">
        <v>-78.168541375276988</v>
      </c>
      <c r="M215" s="319">
        <f t="shared" si="3"/>
        <v>0</v>
      </c>
      <c r="N215" s="317">
        <v>0</v>
      </c>
      <c r="O215" s="315" t="s">
        <v>1148</v>
      </c>
      <c r="P215" s="318">
        <v>239</v>
      </c>
      <c r="R215" s="320">
        <v>115</v>
      </c>
      <c r="S215" s="318">
        <v>35</v>
      </c>
      <c r="T215" s="318">
        <v>124</v>
      </c>
      <c r="U215" s="318">
        <v>62</v>
      </c>
      <c r="V215" s="315">
        <v>0.15</v>
      </c>
      <c r="W215" s="318">
        <v>91</v>
      </c>
      <c r="X215" s="315">
        <v>1</v>
      </c>
      <c r="Y215" s="315" t="s">
        <v>1149</v>
      </c>
      <c r="Z215" s="315">
        <v>0</v>
      </c>
      <c r="AA215" s="315" t="s">
        <v>1190</v>
      </c>
      <c r="AB215" s="315">
        <v>0</v>
      </c>
      <c r="AC215" s="315">
        <v>3016</v>
      </c>
      <c r="AD215" s="315">
        <v>2970</v>
      </c>
      <c r="AE215" s="315">
        <v>0.66</v>
      </c>
      <c r="AF215" s="315">
        <v>1.4830000000000001</v>
      </c>
      <c r="AG215" s="315">
        <v>0.22700000000000001</v>
      </c>
      <c r="AH215" s="315">
        <v>727</v>
      </c>
    </row>
    <row r="216" spans="1:34">
      <c r="A216" s="315" t="s">
        <v>1145</v>
      </c>
      <c r="B216" s="315" t="s">
        <v>652</v>
      </c>
      <c r="C216" s="316" t="s">
        <v>1511</v>
      </c>
      <c r="D216" s="316" t="s">
        <v>1511</v>
      </c>
      <c r="E216" s="317">
        <v>10.902100000000001</v>
      </c>
      <c r="F216" s="317">
        <v>3.1952924</v>
      </c>
      <c r="G216" s="317">
        <v>3.6299808000000002</v>
      </c>
      <c r="H216" s="317">
        <v>4.0725088999999999</v>
      </c>
      <c r="I216" s="318">
        <v>37.355270085579839</v>
      </c>
      <c r="J216" s="318">
        <v>85.930970983236904</v>
      </c>
      <c r="K216" s="319">
        <v>25.218532647683201</v>
      </c>
      <c r="L216" s="319">
        <v>-12.136737437896638</v>
      </c>
      <c r="M216" s="319">
        <f t="shared" si="3"/>
        <v>0</v>
      </c>
      <c r="N216" s="317">
        <v>0</v>
      </c>
      <c r="O216" s="315" t="s">
        <v>1148</v>
      </c>
      <c r="P216" s="318">
        <v>239</v>
      </c>
      <c r="R216" s="320">
        <v>115</v>
      </c>
      <c r="S216" s="318">
        <v>35</v>
      </c>
      <c r="T216" s="318">
        <v>287</v>
      </c>
      <c r="U216" s="318">
        <v>97</v>
      </c>
      <c r="V216" s="315">
        <v>0.19</v>
      </c>
      <c r="W216" s="318">
        <v>859</v>
      </c>
      <c r="X216" s="315">
        <v>1</v>
      </c>
      <c r="Y216" s="315" t="s">
        <v>1149</v>
      </c>
      <c r="Z216" s="315">
        <v>0</v>
      </c>
      <c r="AA216" s="315" t="s">
        <v>1190</v>
      </c>
      <c r="AB216" s="315">
        <v>0</v>
      </c>
      <c r="AC216" s="315">
        <v>3016</v>
      </c>
      <c r="AD216" s="315">
        <v>2970</v>
      </c>
      <c r="AE216" s="315">
        <v>0.43</v>
      </c>
      <c r="AF216" s="315">
        <v>1.4830000000000001</v>
      </c>
      <c r="AG216" s="315">
        <v>0.22700000000000001</v>
      </c>
      <c r="AH216" s="315">
        <v>727</v>
      </c>
    </row>
    <row r="217" spans="1:34">
      <c r="A217" s="315" t="s">
        <v>1209</v>
      </c>
      <c r="B217" s="315" t="s">
        <v>652</v>
      </c>
      <c r="C217" s="316" t="s">
        <v>1512</v>
      </c>
      <c r="D217" s="316" t="s">
        <v>1512</v>
      </c>
      <c r="E217" s="317">
        <v>52.056199999999997</v>
      </c>
      <c r="F217" s="317">
        <v>2.2285631000000001</v>
      </c>
      <c r="G217" s="317">
        <v>2.5542855000000002</v>
      </c>
      <c r="H217" s="317">
        <v>9.4482090000000003</v>
      </c>
      <c r="I217" s="318">
        <v>18.150016712706655</v>
      </c>
      <c r="J217" s="318">
        <v>89.325830974088007</v>
      </c>
      <c r="K217" s="319">
        <v>20.858038887090601</v>
      </c>
      <c r="L217" s="319">
        <v>2.7080221743839452</v>
      </c>
      <c r="M217" s="319">
        <f t="shared" si="3"/>
        <v>2.7080221743839452</v>
      </c>
      <c r="N217" s="317">
        <v>1.4096934391416553</v>
      </c>
      <c r="O217" s="315" t="s">
        <v>1148</v>
      </c>
      <c r="P217" s="318">
        <v>247</v>
      </c>
      <c r="R217" s="320">
        <v>119.44444444444444</v>
      </c>
      <c r="S217" s="318">
        <v>33</v>
      </c>
      <c r="T217" s="318">
        <v>356</v>
      </c>
      <c r="U217" s="318">
        <v>57</v>
      </c>
      <c r="V217" s="315">
        <v>0.2</v>
      </c>
      <c r="W217" s="318">
        <v>352</v>
      </c>
      <c r="X217" s="315">
        <v>2</v>
      </c>
      <c r="Y217" s="315" t="s">
        <v>1149</v>
      </c>
      <c r="Z217" s="315">
        <v>0</v>
      </c>
      <c r="AA217" s="315" t="s">
        <v>1190</v>
      </c>
      <c r="AB217" s="315">
        <v>0.1695808691180252</v>
      </c>
      <c r="AC217" s="315">
        <v>3255</v>
      </c>
      <c r="AD217" s="315">
        <v>3255</v>
      </c>
      <c r="AE217" s="315">
        <v>0.4</v>
      </c>
      <c r="AF217" s="315">
        <v>1.39</v>
      </c>
      <c r="AG217" s="315">
        <v>0.373</v>
      </c>
      <c r="AH217" s="315">
        <v>673</v>
      </c>
    </row>
    <row r="218" spans="1:34">
      <c r="A218" s="315" t="s">
        <v>1145</v>
      </c>
      <c r="B218" s="315" t="s">
        <v>652</v>
      </c>
      <c r="C218" s="316" t="s">
        <v>1513</v>
      </c>
      <c r="D218" s="316" t="s">
        <v>1513</v>
      </c>
      <c r="E218" s="317">
        <v>12.652900000000001</v>
      </c>
      <c r="F218" s="317">
        <v>0.51944170000000001</v>
      </c>
      <c r="G218" s="317">
        <v>1.5358087</v>
      </c>
      <c r="H218" s="317">
        <v>4.0863440999999998</v>
      </c>
      <c r="I218" s="318">
        <v>32.295711655035603</v>
      </c>
      <c r="J218" s="318">
        <v>86.954053270543795</v>
      </c>
      <c r="K218" s="319">
        <v>23.0237885210305</v>
      </c>
      <c r="L218" s="319">
        <v>-9.2719231340051032</v>
      </c>
      <c r="M218" s="319">
        <f t="shared" si="3"/>
        <v>0</v>
      </c>
      <c r="N218" s="317">
        <v>0</v>
      </c>
      <c r="O218" s="315" t="s">
        <v>1148</v>
      </c>
      <c r="P218" s="318">
        <v>247</v>
      </c>
      <c r="R218" s="320">
        <v>119.44444444444444</v>
      </c>
      <c r="S218" s="318">
        <v>33</v>
      </c>
      <c r="T218" s="318">
        <v>288</v>
      </c>
      <c r="U218" s="318">
        <v>144</v>
      </c>
      <c r="V218" s="315">
        <v>0.19</v>
      </c>
      <c r="W218" s="318">
        <v>405</v>
      </c>
      <c r="X218" s="315">
        <v>1</v>
      </c>
      <c r="Y218" s="315" t="s">
        <v>1149</v>
      </c>
      <c r="Z218" s="315">
        <v>0</v>
      </c>
      <c r="AA218" s="315" t="s">
        <v>1190</v>
      </c>
      <c r="AB218" s="315">
        <v>0.14073180538801772</v>
      </c>
      <c r="AC218" s="315">
        <v>3255</v>
      </c>
      <c r="AD218" s="315">
        <v>3255</v>
      </c>
      <c r="AE218" s="315">
        <v>0.43</v>
      </c>
      <c r="AF218" s="315">
        <v>1.39</v>
      </c>
      <c r="AG218" s="315">
        <v>0.373</v>
      </c>
      <c r="AH218" s="315">
        <v>673</v>
      </c>
    </row>
    <row r="219" spans="1:34">
      <c r="A219" s="315" t="s">
        <v>1334</v>
      </c>
      <c r="B219" s="315" t="s">
        <v>652</v>
      </c>
      <c r="C219" s="316" t="s">
        <v>1514</v>
      </c>
      <c r="D219" s="316" t="s">
        <v>1514</v>
      </c>
      <c r="E219" s="317">
        <v>12.241199999999999</v>
      </c>
      <c r="F219" s="317">
        <v>4.6100000000000004E-3</v>
      </c>
      <c r="G219" s="317">
        <v>4.6100000000000004E-3</v>
      </c>
      <c r="H219" s="317">
        <v>1.9293651999999999</v>
      </c>
      <c r="I219" s="318">
        <v>15.761242361859948</v>
      </c>
      <c r="J219" s="318">
        <v>79.082721017948501</v>
      </c>
      <c r="K219" s="319">
        <v>30.015670896718401</v>
      </c>
      <c r="L219" s="319">
        <v>14.254428534858453</v>
      </c>
      <c r="M219" s="319">
        <f t="shared" si="3"/>
        <v>14.254428534858453</v>
      </c>
      <c r="N219" s="317">
        <v>1.744913105809093</v>
      </c>
      <c r="O219" s="315" t="s">
        <v>1148</v>
      </c>
      <c r="P219" s="318">
        <v>260</v>
      </c>
      <c r="R219" s="320">
        <v>126.66666666666667</v>
      </c>
      <c r="S219" s="318">
        <v>33</v>
      </c>
      <c r="T219" s="318">
        <v>289</v>
      </c>
      <c r="U219" s="318">
        <v>58</v>
      </c>
      <c r="V219" s="315">
        <v>0.19</v>
      </c>
      <c r="W219" s="318">
        <v>96.372</v>
      </c>
      <c r="X219" s="315">
        <v>1</v>
      </c>
      <c r="Y219" s="315" t="s">
        <v>1149</v>
      </c>
      <c r="Z219" s="315">
        <v>0</v>
      </c>
      <c r="AA219" s="315" t="s">
        <v>1190</v>
      </c>
      <c r="AB219" s="315">
        <v>0.12830374753451679</v>
      </c>
      <c r="AC219" s="315">
        <v>3455</v>
      </c>
      <c r="AD219" s="315">
        <v>3455</v>
      </c>
      <c r="AE219" s="315">
        <v>0.5</v>
      </c>
      <c r="AF219" s="315">
        <v>1.4</v>
      </c>
      <c r="AG219" s="315">
        <v>0.36899999999999999</v>
      </c>
      <c r="AH219" s="315">
        <v>680</v>
      </c>
    </row>
    <row r="220" spans="1:34">
      <c r="A220" s="315" t="s">
        <v>1334</v>
      </c>
      <c r="B220" s="315" t="s">
        <v>652</v>
      </c>
      <c r="C220" s="316" t="s">
        <v>1515</v>
      </c>
      <c r="D220" s="316" t="s">
        <v>1515</v>
      </c>
      <c r="E220" s="317">
        <v>16.952999999999999</v>
      </c>
      <c r="F220" s="317">
        <v>2.6881626000000001</v>
      </c>
      <c r="G220" s="317">
        <v>3.0288716</v>
      </c>
      <c r="H220" s="317">
        <v>3.0288716</v>
      </c>
      <c r="I220" s="318">
        <v>17.866286792898013</v>
      </c>
      <c r="J220" s="318">
        <v>74.779276397274799</v>
      </c>
      <c r="K220" s="319">
        <v>31.170435210053</v>
      </c>
      <c r="L220" s="319">
        <v>13.304148417154988</v>
      </c>
      <c r="M220" s="319">
        <f t="shared" si="3"/>
        <v>13.304148417154988</v>
      </c>
      <c r="N220" s="317">
        <v>2.2554522811602848</v>
      </c>
      <c r="O220" s="315" t="s">
        <v>1148</v>
      </c>
      <c r="P220" s="318">
        <v>260</v>
      </c>
      <c r="R220" s="320">
        <v>126.66666666666667</v>
      </c>
      <c r="S220" s="318">
        <v>33</v>
      </c>
      <c r="T220" s="318">
        <v>283</v>
      </c>
      <c r="U220" s="318">
        <v>170</v>
      </c>
      <c r="V220" s="315">
        <v>0.21</v>
      </c>
      <c r="W220" s="318">
        <v>126</v>
      </c>
      <c r="X220" s="315">
        <v>2</v>
      </c>
      <c r="Y220" s="315" t="s">
        <v>1149</v>
      </c>
      <c r="Z220" s="315">
        <v>0</v>
      </c>
      <c r="AA220" s="315" t="s">
        <v>1190</v>
      </c>
      <c r="AB220" s="315">
        <v>0.15378787878787878</v>
      </c>
      <c r="AC220" s="315">
        <v>3455</v>
      </c>
      <c r="AD220" s="315">
        <v>3455</v>
      </c>
      <c r="AE220" s="315">
        <v>0.55000000000000004</v>
      </c>
      <c r="AF220" s="315">
        <v>1.4</v>
      </c>
      <c r="AG220" s="315">
        <v>0.36899999999999999</v>
      </c>
      <c r="AH220" s="315">
        <v>680</v>
      </c>
    </row>
    <row r="221" spans="1:34">
      <c r="A221" s="315" t="s">
        <v>1334</v>
      </c>
      <c r="B221" s="315" t="s">
        <v>660</v>
      </c>
      <c r="C221" s="316" t="s">
        <v>1516</v>
      </c>
      <c r="D221" s="316" t="s">
        <v>1516</v>
      </c>
      <c r="E221" s="317">
        <v>34.69</v>
      </c>
      <c r="F221" s="317">
        <v>6.7205589999999997</v>
      </c>
      <c r="G221" s="317">
        <v>8.2724499999999992</v>
      </c>
      <c r="H221" s="317">
        <v>8.2724499999999992</v>
      </c>
      <c r="I221" s="318">
        <v>23.846785817238398</v>
      </c>
      <c r="J221" s="318">
        <v>55.1851656863047</v>
      </c>
      <c r="K221" s="319">
        <v>38.573043705912305</v>
      </c>
      <c r="L221" s="319">
        <v>14.726257888673906</v>
      </c>
      <c r="M221" s="319">
        <f t="shared" si="3"/>
        <v>14.726257888673906</v>
      </c>
      <c r="N221" s="317">
        <v>5.1085388615809784</v>
      </c>
      <c r="O221" s="315" t="s">
        <v>1148</v>
      </c>
      <c r="P221" s="318">
        <v>182</v>
      </c>
      <c r="R221" s="320">
        <v>83.333333333333329</v>
      </c>
      <c r="S221" s="318">
        <v>36</v>
      </c>
      <c r="T221" s="318">
        <v>95.149000000000001</v>
      </c>
      <c r="U221" s="318">
        <v>300</v>
      </c>
      <c r="V221" s="315">
        <v>0.28000000000000003</v>
      </c>
      <c r="W221" s="318">
        <v>4406</v>
      </c>
      <c r="X221" s="315">
        <v>2</v>
      </c>
      <c r="Y221" s="315" t="s">
        <v>1149</v>
      </c>
      <c r="Z221" s="315">
        <v>0</v>
      </c>
      <c r="AA221" s="315" t="s">
        <v>1190</v>
      </c>
      <c r="AB221" s="315">
        <v>0</v>
      </c>
      <c r="AC221" s="315">
        <v>1420</v>
      </c>
      <c r="AD221" s="315">
        <v>1375</v>
      </c>
      <c r="AE221" s="315">
        <v>0.65999999999999992</v>
      </c>
      <c r="AF221" s="315">
        <v>1.28</v>
      </c>
      <c r="AG221" s="315">
        <v>0.5</v>
      </c>
      <c r="AH221" s="315">
        <v>446</v>
      </c>
    </row>
    <row r="222" spans="1:34">
      <c r="A222" s="315" t="s">
        <v>1517</v>
      </c>
      <c r="B222" s="315" t="s">
        <v>660</v>
      </c>
      <c r="C222" s="316" t="s">
        <v>1518</v>
      </c>
      <c r="D222" s="316" t="s">
        <v>1518</v>
      </c>
      <c r="E222" s="317">
        <v>0</v>
      </c>
      <c r="F222" s="317">
        <v>0</v>
      </c>
      <c r="G222" s="317">
        <v>0</v>
      </c>
      <c r="H222" s="317">
        <v>0</v>
      </c>
      <c r="I222" s="318">
        <v>0</v>
      </c>
      <c r="J222" s="318">
        <v>61.657133361172498</v>
      </c>
      <c r="K222" s="319">
        <v>32.853841637349404</v>
      </c>
      <c r="L222" s="319">
        <v>0</v>
      </c>
      <c r="M222" s="319">
        <f t="shared" si="3"/>
        <v>0</v>
      </c>
      <c r="N222" s="317">
        <v>0</v>
      </c>
      <c r="O222" s="315" t="s">
        <v>1168</v>
      </c>
      <c r="P222" s="318">
        <v>182</v>
      </c>
      <c r="R222" s="320">
        <v>83.333333333333329</v>
      </c>
      <c r="S222" s="318">
        <v>36</v>
      </c>
      <c r="T222" s="318">
        <v>31.497599999999998</v>
      </c>
      <c r="U222" s="318">
        <v>200</v>
      </c>
      <c r="V222" s="315">
        <v>0.28000000000000003</v>
      </c>
      <c r="W222" s="318">
        <v>3448</v>
      </c>
      <c r="X222" s="315">
        <v>2</v>
      </c>
      <c r="Y222" s="315" t="s">
        <v>1149</v>
      </c>
      <c r="Z222" s="315">
        <v>0</v>
      </c>
      <c r="AA222" s="315" t="s">
        <v>1190</v>
      </c>
      <c r="AB222" s="315">
        <v>0</v>
      </c>
      <c r="AC222" s="315">
        <v>1452</v>
      </c>
      <c r="AD222" s="315">
        <v>1375</v>
      </c>
      <c r="AE222" s="315">
        <v>0.56000000000000005</v>
      </c>
      <c r="AF222" s="315">
        <v>1.3</v>
      </c>
      <c r="AG222" s="315">
        <v>0.5</v>
      </c>
      <c r="AH222" s="315">
        <v>446</v>
      </c>
    </row>
    <row r="223" spans="1:34">
      <c r="A223" s="315" t="s">
        <v>1145</v>
      </c>
      <c r="B223" s="315" t="s">
        <v>1519</v>
      </c>
      <c r="C223" s="316" t="s">
        <v>1520</v>
      </c>
      <c r="D223" s="316" t="s">
        <v>1520</v>
      </c>
      <c r="E223" s="317">
        <v>3.677</v>
      </c>
      <c r="F223" s="317">
        <v>0</v>
      </c>
      <c r="G223" s="317">
        <v>0</v>
      </c>
      <c r="H223" s="317">
        <v>0</v>
      </c>
      <c r="I223" s="318">
        <v>0</v>
      </c>
      <c r="J223" s="318">
        <v>72.477179663476505</v>
      </c>
      <c r="K223" s="319">
        <v>33.652371109533306</v>
      </c>
      <c r="L223" s="319">
        <v>33.652371109533306</v>
      </c>
      <c r="M223" s="319">
        <f t="shared" si="3"/>
        <v>33.652371109533306</v>
      </c>
      <c r="N223" s="317">
        <v>1.2373976856975397</v>
      </c>
      <c r="O223" s="315" t="s">
        <v>1168</v>
      </c>
      <c r="P223" s="318">
        <v>193</v>
      </c>
      <c r="R223" s="320">
        <v>89.444444444444443</v>
      </c>
      <c r="S223" s="318">
        <v>39</v>
      </c>
      <c r="T223" s="318">
        <v>33</v>
      </c>
      <c r="U223" s="318">
        <v>273</v>
      </c>
      <c r="V223" s="315">
        <v>0.21</v>
      </c>
      <c r="W223" s="318">
        <v>170</v>
      </c>
      <c r="X223" s="315">
        <v>0</v>
      </c>
      <c r="Y223" s="315" t="s">
        <v>1149</v>
      </c>
      <c r="Z223" s="315">
        <v>0</v>
      </c>
      <c r="AA223" s="315" t="s">
        <v>1157</v>
      </c>
      <c r="AB223" s="315">
        <v>0</v>
      </c>
      <c r="AC223" s="315">
        <v>1700</v>
      </c>
      <c r="AD223" s="315">
        <v>1610</v>
      </c>
      <c r="AE223" s="315">
        <v>0.3</v>
      </c>
      <c r="AF223" s="315">
        <v>1.3169999999999999</v>
      </c>
      <c r="AG223" s="315">
        <v>0.49</v>
      </c>
      <c r="AH223" s="315">
        <v>490</v>
      </c>
    </row>
    <row r="224" spans="1:34">
      <c r="A224" s="315" t="s">
        <v>1521</v>
      </c>
      <c r="B224" s="315" t="s">
        <v>768</v>
      </c>
      <c r="C224" s="344" t="s">
        <v>1522</v>
      </c>
      <c r="D224" s="316" t="s">
        <v>1522</v>
      </c>
      <c r="E224" s="317">
        <v>20.763608399999999</v>
      </c>
      <c r="F224" s="317">
        <v>8.3959083999999997</v>
      </c>
      <c r="G224" s="317">
        <v>8.7383069999999989</v>
      </c>
      <c r="H224" s="317">
        <v>8.7383069999999989</v>
      </c>
      <c r="I224" s="318">
        <v>42.084722614976691</v>
      </c>
      <c r="J224" s="318">
        <v>61.709081174776699</v>
      </c>
      <c r="K224" s="319">
        <v>37.575565180148104</v>
      </c>
      <c r="L224" s="319">
        <v>-4.5091574348285874</v>
      </c>
      <c r="M224" s="319">
        <f t="shared" si="3"/>
        <v>0</v>
      </c>
      <c r="N224" s="317">
        <v>0</v>
      </c>
      <c r="O224" s="315" t="s">
        <v>1148</v>
      </c>
      <c r="P224" s="318">
        <v>184</v>
      </c>
      <c r="R224" s="320">
        <v>84.444444444444443</v>
      </c>
      <c r="S224" s="318">
        <v>40</v>
      </c>
      <c r="T224" s="318">
        <v>47.4</v>
      </c>
      <c r="U224" s="318">
        <v>40</v>
      </c>
      <c r="V224" s="315">
        <v>0.19600000000000001</v>
      </c>
      <c r="W224" s="318">
        <v>310</v>
      </c>
      <c r="X224" s="315">
        <v>3</v>
      </c>
      <c r="Y224" s="315" t="s">
        <v>1149</v>
      </c>
      <c r="Z224" s="315">
        <v>0</v>
      </c>
      <c r="AA224" s="315" t="s">
        <v>1157</v>
      </c>
      <c r="AB224" s="315">
        <v>0</v>
      </c>
      <c r="AC224" s="315">
        <v>2279</v>
      </c>
      <c r="AD224" s="315">
        <v>2344</v>
      </c>
      <c r="AE224" s="315">
        <v>0.6</v>
      </c>
      <c r="AF224" s="315">
        <v>1.44</v>
      </c>
      <c r="AG224" s="315">
        <v>0.373</v>
      </c>
      <c r="AH224" s="315">
        <v>700</v>
      </c>
    </row>
    <row r="225" spans="1:34">
      <c r="A225" s="315" t="s">
        <v>1145</v>
      </c>
      <c r="B225" s="315" t="s">
        <v>768</v>
      </c>
      <c r="C225" s="344" t="s">
        <v>1523</v>
      </c>
      <c r="D225" s="316" t="s">
        <v>1523</v>
      </c>
      <c r="E225" s="317">
        <v>19.0869699</v>
      </c>
      <c r="F225" s="317">
        <v>0</v>
      </c>
      <c r="G225" s="317">
        <v>0</v>
      </c>
      <c r="H225" s="317">
        <v>0</v>
      </c>
      <c r="I225" s="318">
        <v>0</v>
      </c>
      <c r="J225" s="318">
        <v>70.369153149812902</v>
      </c>
      <c r="K225" s="319">
        <v>33.045031230482202</v>
      </c>
      <c r="L225" s="319">
        <v>33.045031230482202</v>
      </c>
      <c r="M225" s="319">
        <f t="shared" si="3"/>
        <v>33.045031230482202</v>
      </c>
      <c r="N225" s="317">
        <v>6.3072951644077371</v>
      </c>
      <c r="O225" s="315" t="s">
        <v>1168</v>
      </c>
      <c r="P225" s="318">
        <v>184</v>
      </c>
      <c r="R225" s="320">
        <v>84.444444444444443</v>
      </c>
      <c r="S225" s="318">
        <v>40</v>
      </c>
      <c r="T225" s="318">
        <v>117</v>
      </c>
      <c r="U225" s="318">
        <v>38</v>
      </c>
      <c r="V225" s="315">
        <v>0.22</v>
      </c>
      <c r="W225" s="318">
        <v>550</v>
      </c>
      <c r="X225" s="315">
        <v>1</v>
      </c>
      <c r="Y225" s="315" t="s">
        <v>1149</v>
      </c>
      <c r="Z225" s="315">
        <v>0</v>
      </c>
      <c r="AA225" s="315" t="s">
        <v>1157</v>
      </c>
      <c r="AB225" s="315">
        <v>0.41249999999999998</v>
      </c>
      <c r="AC225" s="315">
        <v>2279</v>
      </c>
      <c r="AD225" s="315">
        <v>2344</v>
      </c>
      <c r="AE225" s="315">
        <v>0.46</v>
      </c>
      <c r="AF225" s="315">
        <v>1.44</v>
      </c>
      <c r="AG225" s="315">
        <v>0.373</v>
      </c>
      <c r="AH225" s="315">
        <v>700</v>
      </c>
    </row>
    <row r="226" spans="1:34">
      <c r="A226" s="315" t="s">
        <v>1145</v>
      </c>
      <c r="B226" s="315" t="s">
        <v>768</v>
      </c>
      <c r="C226" s="344" t="s">
        <v>1524</v>
      </c>
      <c r="D226" s="316" t="s">
        <v>1524</v>
      </c>
      <c r="E226" s="317">
        <v>55.9</v>
      </c>
      <c r="F226" s="317">
        <v>13.004777000000001</v>
      </c>
      <c r="G226" s="317">
        <v>13.004777000000001</v>
      </c>
      <c r="H226" s="317">
        <v>13.004777000000001</v>
      </c>
      <c r="I226" s="318">
        <v>23.264359570661899</v>
      </c>
      <c r="J226" s="318">
        <v>69.481321999706793</v>
      </c>
      <c r="K226" s="319">
        <v>34.418715822108794</v>
      </c>
      <c r="L226" s="319">
        <v>11.154356251446895</v>
      </c>
      <c r="M226" s="319">
        <f t="shared" si="3"/>
        <v>11.154356251446895</v>
      </c>
      <c r="N226" s="317">
        <v>6.235285144558814</v>
      </c>
      <c r="O226" s="315" t="s">
        <v>1148</v>
      </c>
      <c r="P226" s="318">
        <v>184</v>
      </c>
      <c r="R226" s="320">
        <v>84.444444444444443</v>
      </c>
      <c r="S226" s="318">
        <v>40</v>
      </c>
      <c r="T226" s="318">
        <v>200</v>
      </c>
      <c r="U226" s="318">
        <v>40</v>
      </c>
      <c r="V226" s="315">
        <v>0.19600000000000001</v>
      </c>
      <c r="W226" s="318">
        <v>310</v>
      </c>
      <c r="X226" s="315">
        <v>10</v>
      </c>
      <c r="Y226" s="315" t="s">
        <v>1149</v>
      </c>
      <c r="Z226" s="315">
        <v>0</v>
      </c>
      <c r="AA226" s="315" t="s">
        <v>1157</v>
      </c>
      <c r="AB226" s="315">
        <v>0.6</v>
      </c>
      <c r="AC226" s="315">
        <v>2279</v>
      </c>
      <c r="AD226" s="315">
        <v>2344</v>
      </c>
      <c r="AE226" s="315">
        <v>0.55000000000000004</v>
      </c>
      <c r="AF226" s="315">
        <v>1.44</v>
      </c>
      <c r="AG226" s="315">
        <v>0.373</v>
      </c>
      <c r="AH226" s="315">
        <v>821</v>
      </c>
    </row>
    <row r="227" spans="1:34">
      <c r="A227" s="315" t="s">
        <v>1525</v>
      </c>
      <c r="B227" s="315" t="s">
        <v>768</v>
      </c>
      <c r="C227" s="344" t="s">
        <v>1526</v>
      </c>
      <c r="D227" s="316" t="s">
        <v>1526</v>
      </c>
      <c r="E227" s="317">
        <v>90</v>
      </c>
      <c r="F227" s="317">
        <v>17.315297000000001</v>
      </c>
      <c r="G227" s="317">
        <v>17.315297000000001</v>
      </c>
      <c r="H227" s="317">
        <v>17.315297000000001</v>
      </c>
      <c r="I227" s="318">
        <v>19.239218888888889</v>
      </c>
      <c r="J227" s="318">
        <v>66.304732146783806</v>
      </c>
      <c r="K227" s="319">
        <v>35.804453479082298</v>
      </c>
      <c r="L227" s="319">
        <v>16.565234590193409</v>
      </c>
      <c r="M227" s="319">
        <f t="shared" si="3"/>
        <v>16.565234590193409</v>
      </c>
      <c r="N227" s="317">
        <v>14.908711131174067</v>
      </c>
      <c r="O227" s="315" t="s">
        <v>1148</v>
      </c>
      <c r="P227" s="318">
        <v>184</v>
      </c>
      <c r="R227" s="320">
        <v>84.444444444444443</v>
      </c>
      <c r="S227" s="318">
        <v>40</v>
      </c>
      <c r="T227" s="318">
        <v>200</v>
      </c>
      <c r="U227" s="318">
        <v>50</v>
      </c>
      <c r="V227" s="315">
        <v>0.19600000000000001</v>
      </c>
      <c r="W227" s="318">
        <v>310</v>
      </c>
      <c r="X227" s="315">
        <v>7</v>
      </c>
      <c r="Y227" s="315" t="s">
        <v>1440</v>
      </c>
      <c r="Z227" s="315">
        <v>4</v>
      </c>
      <c r="AA227" s="315" t="s">
        <v>1157</v>
      </c>
      <c r="AB227" s="315">
        <v>0.6</v>
      </c>
      <c r="AC227" s="315">
        <v>2279</v>
      </c>
      <c r="AD227" s="315">
        <v>2344</v>
      </c>
      <c r="AE227" s="315">
        <v>0.55000000000000004</v>
      </c>
      <c r="AF227" s="315">
        <v>1.44</v>
      </c>
      <c r="AG227" s="315">
        <v>0.373</v>
      </c>
      <c r="AH227" s="315">
        <v>821</v>
      </c>
    </row>
    <row r="228" spans="1:34">
      <c r="A228" s="315" t="s">
        <v>1145</v>
      </c>
      <c r="B228" s="315" t="s">
        <v>768</v>
      </c>
      <c r="C228" s="344" t="s">
        <v>1527</v>
      </c>
      <c r="D228" s="316" t="s">
        <v>1527</v>
      </c>
      <c r="E228" s="317">
        <v>19.135448699999998</v>
      </c>
      <c r="F228" s="317">
        <v>5.0380770999999998</v>
      </c>
      <c r="G228" s="317">
        <v>7.3458418999999999</v>
      </c>
      <c r="H228" s="317">
        <v>10.391889232735</v>
      </c>
      <c r="I228" s="318">
        <v>54.307005786255758</v>
      </c>
      <c r="J228" s="318">
        <v>64.790862307935697</v>
      </c>
      <c r="K228" s="319">
        <v>36.680071594680705</v>
      </c>
      <c r="L228" s="319">
        <v>-17.626934191575053</v>
      </c>
      <c r="M228" s="319">
        <f t="shared" si="3"/>
        <v>0</v>
      </c>
      <c r="N228" s="317">
        <v>0</v>
      </c>
      <c r="O228" s="315" t="s">
        <v>1148</v>
      </c>
      <c r="P228" s="318">
        <v>235</v>
      </c>
      <c r="R228" s="320">
        <v>112.77777777777777</v>
      </c>
      <c r="S228" s="318">
        <v>34.5</v>
      </c>
      <c r="T228" s="318">
        <v>132.30000000000001</v>
      </c>
      <c r="U228" s="318">
        <v>21</v>
      </c>
      <c r="V228" s="315">
        <v>0.2</v>
      </c>
      <c r="W228" s="318">
        <v>258</v>
      </c>
      <c r="X228" s="315">
        <v>5</v>
      </c>
      <c r="Y228" s="315" t="s">
        <v>1149</v>
      </c>
      <c r="Z228" s="315">
        <v>0</v>
      </c>
      <c r="AA228" s="315" t="s">
        <v>1157</v>
      </c>
      <c r="AB228" s="315">
        <v>0</v>
      </c>
      <c r="AC228" s="315">
        <v>2611</v>
      </c>
      <c r="AD228" s="315">
        <v>2580</v>
      </c>
      <c r="AE228" s="315">
        <v>0.55000000000000004</v>
      </c>
      <c r="AF228" s="315">
        <v>1.64</v>
      </c>
      <c r="AG228" s="315">
        <v>0.373</v>
      </c>
      <c r="AH228" s="315">
        <v>966</v>
      </c>
    </row>
    <row r="229" spans="1:34">
      <c r="A229" s="315" t="s">
        <v>1145</v>
      </c>
      <c r="B229" s="315" t="s">
        <v>768</v>
      </c>
      <c r="C229" s="344" t="s">
        <v>1528</v>
      </c>
      <c r="D229" s="316" t="s">
        <v>1528</v>
      </c>
      <c r="E229" s="317">
        <v>149.5</v>
      </c>
      <c r="F229" s="317">
        <v>48.155796000000002</v>
      </c>
      <c r="G229" s="317">
        <v>48.155796000000002</v>
      </c>
      <c r="H229" s="317">
        <v>48.155796000000002</v>
      </c>
      <c r="I229" s="318">
        <v>32.211234782608699</v>
      </c>
      <c r="J229" s="318">
        <v>68.993807326029795</v>
      </c>
      <c r="K229" s="319">
        <v>34.711213467002402</v>
      </c>
      <c r="L229" s="319">
        <v>2.4999786843937031</v>
      </c>
      <c r="M229" s="319">
        <f t="shared" si="3"/>
        <v>2.4999786843937031</v>
      </c>
      <c r="N229" s="317">
        <v>3.7374681331685862</v>
      </c>
      <c r="O229" s="315" t="s">
        <v>1148</v>
      </c>
      <c r="P229" s="318">
        <v>235</v>
      </c>
      <c r="R229" s="320">
        <v>112.77777777777777</v>
      </c>
      <c r="S229" s="318">
        <v>34.5</v>
      </c>
      <c r="T229" s="318">
        <v>200</v>
      </c>
      <c r="U229" s="318">
        <v>80</v>
      </c>
      <c r="V229" s="315">
        <v>0.19600000000000001</v>
      </c>
      <c r="W229" s="318">
        <v>310</v>
      </c>
      <c r="X229" s="315">
        <v>13</v>
      </c>
      <c r="Y229" s="315" t="s">
        <v>1440</v>
      </c>
      <c r="Z229" s="315">
        <v>4</v>
      </c>
      <c r="AA229" s="315" t="s">
        <v>1157</v>
      </c>
      <c r="AB229" s="315">
        <v>0</v>
      </c>
      <c r="AC229" s="315">
        <v>2611</v>
      </c>
      <c r="AD229" s="315">
        <v>2580</v>
      </c>
      <c r="AE229" s="315">
        <v>0.55000000000000004</v>
      </c>
      <c r="AF229" s="315">
        <v>1.64</v>
      </c>
      <c r="AG229" s="315">
        <v>0.373</v>
      </c>
      <c r="AH229" s="315">
        <v>966</v>
      </c>
    </row>
    <row r="230" spans="1:34">
      <c r="A230" s="315" t="s">
        <v>1145</v>
      </c>
      <c r="B230" s="315" t="s">
        <v>696</v>
      </c>
      <c r="C230" s="316" t="s">
        <v>1529</v>
      </c>
      <c r="D230" s="316" t="s">
        <v>1529</v>
      </c>
      <c r="E230" s="317">
        <v>7.98</v>
      </c>
      <c r="F230" s="317">
        <v>0.37204852026601398</v>
      </c>
      <c r="G230" s="317">
        <v>0.40079127745386856</v>
      </c>
      <c r="H230" s="317">
        <v>0.40079127745386856</v>
      </c>
      <c r="I230" s="318">
        <v>5.0224470858880768</v>
      </c>
      <c r="J230" s="318">
        <v>0</v>
      </c>
      <c r="K230" s="319">
        <v>0</v>
      </c>
      <c r="L230" s="319">
        <v>-5.0224470858880768</v>
      </c>
      <c r="M230" s="319">
        <f t="shared" si="3"/>
        <v>0</v>
      </c>
      <c r="N230" s="317">
        <v>0</v>
      </c>
      <c r="O230" s="315" t="s">
        <v>1148</v>
      </c>
      <c r="P230" s="318">
        <v>0</v>
      </c>
      <c r="R230" s="320">
        <v>96</v>
      </c>
      <c r="S230" s="318">
        <v>30</v>
      </c>
      <c r="T230" s="318">
        <v>286.5</v>
      </c>
      <c r="U230" s="318">
        <v>104</v>
      </c>
      <c r="V230" s="315">
        <v>0.01</v>
      </c>
      <c r="W230" s="318">
        <v>0.01</v>
      </c>
      <c r="X230" s="315">
        <v>0</v>
      </c>
      <c r="Y230" s="315" t="s">
        <v>1149</v>
      </c>
      <c r="Z230" s="315">
        <v>0</v>
      </c>
      <c r="AA230" s="315" t="s">
        <v>1435</v>
      </c>
      <c r="AB230" s="315">
        <v>0</v>
      </c>
      <c r="AC230" s="315">
        <v>0</v>
      </c>
      <c r="AD230" s="315">
        <v>1</v>
      </c>
      <c r="AE230" s="315">
        <v>0.01</v>
      </c>
      <c r="AF230" s="315">
        <v>1.24</v>
      </c>
      <c r="AG230" s="315">
        <v>0.01</v>
      </c>
      <c r="AH230" s="315">
        <v>1</v>
      </c>
    </row>
    <row r="231" spans="1:34">
      <c r="A231" s="315" t="s">
        <v>1145</v>
      </c>
      <c r="B231" s="315" t="s">
        <v>696</v>
      </c>
      <c r="C231" s="316" t="s">
        <v>1530</v>
      </c>
      <c r="D231" s="316" t="s">
        <v>1530</v>
      </c>
      <c r="E231" s="317">
        <v>0.9</v>
      </c>
      <c r="F231" s="317">
        <v>0</v>
      </c>
      <c r="G231" s="317">
        <v>0</v>
      </c>
      <c r="H231" s="317">
        <v>0</v>
      </c>
      <c r="I231" s="318">
        <v>0</v>
      </c>
      <c r="J231" s="318">
        <v>0</v>
      </c>
      <c r="K231" s="319">
        <v>0</v>
      </c>
      <c r="L231" s="319">
        <v>0</v>
      </c>
      <c r="M231" s="319">
        <f t="shared" si="3"/>
        <v>0</v>
      </c>
      <c r="N231" s="317">
        <v>0</v>
      </c>
      <c r="O231" s="315" t="s">
        <v>1168</v>
      </c>
      <c r="P231" s="318">
        <v>0</v>
      </c>
      <c r="R231" s="320">
        <v>96</v>
      </c>
      <c r="S231" s="318">
        <v>30</v>
      </c>
      <c r="T231" s="318">
        <v>111</v>
      </c>
      <c r="U231" s="318">
        <v>232</v>
      </c>
      <c r="V231" s="315">
        <v>0.01</v>
      </c>
      <c r="W231" s="318">
        <v>0.01</v>
      </c>
      <c r="X231" s="315">
        <v>2</v>
      </c>
      <c r="Y231" s="315" t="s">
        <v>1149</v>
      </c>
      <c r="Z231" s="315">
        <v>0</v>
      </c>
      <c r="AA231" s="315" t="s">
        <v>1435</v>
      </c>
      <c r="AB231" s="315">
        <v>0</v>
      </c>
      <c r="AC231" s="315">
        <v>0</v>
      </c>
      <c r="AD231" s="315">
        <v>1</v>
      </c>
      <c r="AE231" s="315">
        <v>0.01</v>
      </c>
      <c r="AF231" s="315">
        <v>1.26</v>
      </c>
      <c r="AG231" s="315">
        <v>0.01</v>
      </c>
      <c r="AH231" s="315">
        <v>1</v>
      </c>
    </row>
    <row r="232" spans="1:34">
      <c r="A232" s="315" t="s">
        <v>1145</v>
      </c>
      <c r="B232" s="315" t="s">
        <v>696</v>
      </c>
      <c r="C232" s="316" t="s">
        <v>1531</v>
      </c>
      <c r="D232" s="316" t="s">
        <v>1531</v>
      </c>
      <c r="E232" s="317">
        <v>12.5</v>
      </c>
      <c r="F232" s="317">
        <v>0</v>
      </c>
      <c r="G232" s="317">
        <v>0</v>
      </c>
      <c r="H232" s="317">
        <v>0.97934705834029323</v>
      </c>
      <c r="I232" s="318">
        <v>7.8347764667223458</v>
      </c>
      <c r="J232" s="318">
        <v>68.004089065406703</v>
      </c>
      <c r="K232" s="319">
        <v>32.583711919897503</v>
      </c>
      <c r="L232" s="319">
        <v>24.748935453175157</v>
      </c>
      <c r="M232" s="319">
        <f t="shared" si="3"/>
        <v>24.748935453175157</v>
      </c>
      <c r="N232" s="317">
        <v>3.0936169316468947</v>
      </c>
      <c r="O232" s="315" t="s">
        <v>1168</v>
      </c>
      <c r="P232" s="318">
        <v>194.7</v>
      </c>
      <c r="R232" s="320">
        <v>90.388888888888886</v>
      </c>
      <c r="S232" s="318">
        <v>36</v>
      </c>
      <c r="T232" s="318">
        <v>116</v>
      </c>
      <c r="U232" s="318">
        <v>17.716536000000001</v>
      </c>
      <c r="V232" s="315">
        <v>0.2</v>
      </c>
      <c r="W232" s="318">
        <v>40</v>
      </c>
      <c r="X232" s="315">
        <v>0</v>
      </c>
      <c r="Y232" s="315" t="s">
        <v>1149</v>
      </c>
      <c r="Z232" s="315">
        <v>0</v>
      </c>
      <c r="AA232" s="315" t="s">
        <v>1435</v>
      </c>
      <c r="AB232" s="315">
        <v>0</v>
      </c>
      <c r="AC232" s="315">
        <v>1707.8</v>
      </c>
      <c r="AD232" s="315">
        <v>1719.8</v>
      </c>
      <c r="AE232" s="315">
        <v>0.38</v>
      </c>
      <c r="AF232" s="315">
        <v>1.22</v>
      </c>
      <c r="AG232" s="315">
        <v>0.98</v>
      </c>
      <c r="AH232" s="315">
        <v>0.38400000000000001</v>
      </c>
    </row>
    <row r="233" spans="1:34">
      <c r="A233" s="315" t="s">
        <v>1145</v>
      </c>
      <c r="B233" s="315" t="s">
        <v>696</v>
      </c>
      <c r="C233" s="316" t="s">
        <v>1532</v>
      </c>
      <c r="D233" s="316" t="s">
        <v>1532</v>
      </c>
      <c r="E233" s="317">
        <v>0.9</v>
      </c>
      <c r="F233" s="317">
        <v>0</v>
      </c>
      <c r="G233" s="317">
        <v>0</v>
      </c>
      <c r="H233" s="317">
        <v>0</v>
      </c>
      <c r="I233" s="318">
        <v>0</v>
      </c>
      <c r="J233" s="318">
        <v>74.723981404534996</v>
      </c>
      <c r="K233" s="319">
        <v>29.619919816731301</v>
      </c>
      <c r="L233" s="319">
        <v>29.619919816731301</v>
      </c>
      <c r="M233" s="319">
        <f t="shared" si="3"/>
        <v>29.619919816731301</v>
      </c>
      <c r="N233" s="317">
        <v>0.26657927835058171</v>
      </c>
      <c r="O233" s="315" t="s">
        <v>1168</v>
      </c>
      <c r="P233" s="318">
        <v>196.1</v>
      </c>
      <c r="R233" s="320">
        <v>91.166666666666671</v>
      </c>
      <c r="S233" s="318">
        <v>36</v>
      </c>
      <c r="T233" s="318">
        <v>164.66666666666666</v>
      </c>
      <c r="U233" s="318">
        <v>75</v>
      </c>
      <c r="V233" s="315">
        <v>0.22</v>
      </c>
      <c r="W233" s="318">
        <v>60</v>
      </c>
      <c r="X233" s="315">
        <v>0</v>
      </c>
      <c r="Y233" s="315" t="s">
        <v>1149</v>
      </c>
      <c r="Z233" s="315">
        <v>0</v>
      </c>
      <c r="AA233" s="315" t="s">
        <v>1435</v>
      </c>
      <c r="AB233" s="315"/>
      <c r="AC233" s="315"/>
      <c r="AD233" s="315"/>
      <c r="AE233" s="315"/>
      <c r="AF233" s="315"/>
      <c r="AG233" s="315"/>
      <c r="AH233" s="315"/>
    </row>
    <row r="234" spans="1:34">
      <c r="A234" s="315" t="s">
        <v>1277</v>
      </c>
      <c r="B234" s="315" t="s">
        <v>696</v>
      </c>
      <c r="C234" s="316" t="s">
        <v>1533</v>
      </c>
      <c r="D234" s="316" t="s">
        <v>1533</v>
      </c>
      <c r="E234" s="317">
        <v>24.05</v>
      </c>
      <c r="F234" s="317">
        <v>8.4342824933965179</v>
      </c>
      <c r="G234" s="317">
        <v>9.0578518237438317</v>
      </c>
      <c r="H234" s="317">
        <v>9.0578518237438317</v>
      </c>
      <c r="I234" s="318">
        <v>37.662585545712396</v>
      </c>
      <c r="J234" s="318">
        <v>57.490523804396702</v>
      </c>
      <c r="K234" s="319">
        <v>36.596713166494702</v>
      </c>
      <c r="L234" s="319">
        <v>-1.0658723792176943</v>
      </c>
      <c r="M234" s="319">
        <f t="shared" si="3"/>
        <v>0</v>
      </c>
      <c r="N234" s="317">
        <v>0</v>
      </c>
      <c r="O234" s="315" t="s">
        <v>1148</v>
      </c>
      <c r="P234" s="318">
        <v>200</v>
      </c>
      <c r="R234" s="320">
        <v>93.333333333333329</v>
      </c>
      <c r="S234" s="318">
        <v>35.49</v>
      </c>
      <c r="T234" s="318">
        <v>150</v>
      </c>
      <c r="U234" s="318">
        <v>209.5</v>
      </c>
      <c r="V234" s="315">
        <v>0.22</v>
      </c>
      <c r="W234" s="318">
        <v>42</v>
      </c>
      <c r="X234" s="315">
        <v>22</v>
      </c>
      <c r="Y234" s="315" t="s">
        <v>1154</v>
      </c>
      <c r="Z234" s="315">
        <v>6</v>
      </c>
      <c r="AA234" s="315" t="s">
        <v>1435</v>
      </c>
      <c r="AB234" s="315">
        <v>6.0000000000000001E-3</v>
      </c>
      <c r="AC234" s="315">
        <v>1758</v>
      </c>
      <c r="AD234" s="315">
        <v>1400</v>
      </c>
      <c r="AE234" s="315">
        <v>0.5</v>
      </c>
      <c r="AF234" s="315">
        <v>1.26</v>
      </c>
      <c r="AG234" s="315">
        <v>0.6</v>
      </c>
      <c r="AH234" s="315">
        <v>420</v>
      </c>
    </row>
    <row r="235" spans="1:34">
      <c r="A235" s="315" t="s">
        <v>1334</v>
      </c>
      <c r="B235" s="315" t="s">
        <v>696</v>
      </c>
      <c r="C235" s="316" t="s">
        <v>1534</v>
      </c>
      <c r="D235" s="316" t="s">
        <v>1534</v>
      </c>
      <c r="E235" s="317">
        <v>22.65</v>
      </c>
      <c r="F235" s="317">
        <v>6.1316065301300942</v>
      </c>
      <c r="G235" s="317">
        <v>6.5913170305948388</v>
      </c>
      <c r="H235" s="317">
        <v>6.5913170305948388</v>
      </c>
      <c r="I235" s="318">
        <v>29.100737441919822</v>
      </c>
      <c r="J235" s="318">
        <v>47.493139771560102</v>
      </c>
      <c r="K235" s="319">
        <v>43.730722467973202</v>
      </c>
      <c r="L235" s="319">
        <v>14.629985026053379</v>
      </c>
      <c r="M235" s="319">
        <f t="shared" si="3"/>
        <v>14.629985026053379</v>
      </c>
      <c r="N235" s="317">
        <v>3.3136916084010903</v>
      </c>
      <c r="O235" s="315" t="s">
        <v>1148</v>
      </c>
      <c r="P235" s="318">
        <v>200</v>
      </c>
      <c r="R235" s="320">
        <v>93.333333333333329</v>
      </c>
      <c r="S235" s="318">
        <v>35</v>
      </c>
      <c r="T235" s="318">
        <v>399.33333333333331</v>
      </c>
      <c r="U235" s="318">
        <v>24</v>
      </c>
      <c r="V235" s="315">
        <v>0.24</v>
      </c>
      <c r="W235" s="318">
        <v>80</v>
      </c>
      <c r="X235" s="315">
        <v>10</v>
      </c>
      <c r="Y235" s="315" t="s">
        <v>1420</v>
      </c>
      <c r="Z235" s="315">
        <v>5</v>
      </c>
      <c r="AA235" s="315" t="s">
        <v>1435</v>
      </c>
      <c r="AB235" s="315">
        <v>0.24</v>
      </c>
      <c r="AC235" s="315">
        <v>1750</v>
      </c>
      <c r="AD235" s="315">
        <v>1600</v>
      </c>
      <c r="AE235" s="315">
        <v>0.6</v>
      </c>
      <c r="AF235" s="315">
        <v>1.2</v>
      </c>
      <c r="AG235" s="315">
        <v>0.6</v>
      </c>
      <c r="AH235" s="315">
        <v>410</v>
      </c>
    </row>
    <row r="236" spans="1:34">
      <c r="B236" s="315" t="s">
        <v>696</v>
      </c>
      <c r="C236" s="316" t="s">
        <v>1535</v>
      </c>
      <c r="D236" s="316" t="s">
        <v>1535</v>
      </c>
      <c r="E236" s="317">
        <v>7.38</v>
      </c>
      <c r="F236" s="317">
        <v>0</v>
      </c>
      <c r="G236" s="317">
        <v>0</v>
      </c>
      <c r="H236" s="317">
        <v>0.58967260484904538</v>
      </c>
      <c r="I236" s="318">
        <v>7.9901436971415372</v>
      </c>
      <c r="J236" s="318">
        <v>50.967298557669302</v>
      </c>
      <c r="K236" s="319">
        <v>43.292097158398001</v>
      </c>
      <c r="L236" s="319">
        <v>35.30195346125646</v>
      </c>
      <c r="M236" s="319">
        <f t="shared" si="3"/>
        <v>35.30195346125646</v>
      </c>
      <c r="N236" s="317">
        <v>2.6052841654407266</v>
      </c>
      <c r="O236" s="315" t="s">
        <v>1168</v>
      </c>
      <c r="P236" s="318">
        <v>200</v>
      </c>
      <c r="R236" s="320">
        <v>93.333333333333329</v>
      </c>
      <c r="S236" s="318">
        <v>36</v>
      </c>
      <c r="T236" s="318">
        <v>213</v>
      </c>
      <c r="U236" s="318">
        <v>85</v>
      </c>
      <c r="V236" s="315">
        <v>0.24</v>
      </c>
      <c r="W236" s="318">
        <v>90</v>
      </c>
      <c r="X236" s="315">
        <v>4</v>
      </c>
      <c r="Y236" s="315" t="s">
        <v>1154</v>
      </c>
      <c r="Z236" s="315">
        <v>2</v>
      </c>
      <c r="AA236" s="315" t="s">
        <v>1435</v>
      </c>
      <c r="AB236" s="315">
        <v>0</v>
      </c>
      <c r="AC236" s="315">
        <v>1750</v>
      </c>
      <c r="AD236" s="315">
        <v>1600</v>
      </c>
      <c r="AE236" s="315">
        <v>0.6</v>
      </c>
      <c r="AF236" s="315">
        <v>1.2</v>
      </c>
      <c r="AG236" s="315">
        <v>0.6</v>
      </c>
      <c r="AH236" s="315">
        <v>410</v>
      </c>
    </row>
    <row r="237" spans="1:34">
      <c r="A237" s="315" t="s">
        <v>1145</v>
      </c>
      <c r="B237" s="315" t="s">
        <v>696</v>
      </c>
      <c r="C237" s="316" t="s">
        <v>1536</v>
      </c>
      <c r="D237" s="316" t="s">
        <v>1536</v>
      </c>
      <c r="E237" s="317">
        <v>5.65</v>
      </c>
      <c r="F237" s="317">
        <v>0</v>
      </c>
      <c r="G237" s="317">
        <v>0</v>
      </c>
      <c r="H237" s="317">
        <v>0.29721714315770437</v>
      </c>
      <c r="I237" s="318">
        <v>5.2604804098708735</v>
      </c>
      <c r="J237" s="318">
        <v>48.596451069716103</v>
      </c>
      <c r="K237" s="319">
        <v>43.5294159248526</v>
      </c>
      <c r="L237" s="319">
        <v>38.268935514981727</v>
      </c>
      <c r="M237" s="319">
        <f t="shared" si="3"/>
        <v>38.268935514981727</v>
      </c>
      <c r="N237" s="317">
        <v>2.1621948565964679</v>
      </c>
      <c r="O237" s="315" t="s">
        <v>1168</v>
      </c>
      <c r="P237" s="318">
        <v>200</v>
      </c>
      <c r="R237" s="320">
        <v>93.333333333333329</v>
      </c>
      <c r="S237" s="318">
        <v>38.47</v>
      </c>
      <c r="T237" s="318">
        <v>318.33333333333331</v>
      </c>
      <c r="U237" s="318">
        <v>96</v>
      </c>
      <c r="V237" s="315">
        <v>0.23</v>
      </c>
      <c r="W237" s="318">
        <v>100</v>
      </c>
      <c r="X237" s="315">
        <v>0</v>
      </c>
      <c r="Y237" s="315" t="s">
        <v>1420</v>
      </c>
      <c r="Z237" s="315">
        <v>4</v>
      </c>
      <c r="AA237" s="315" t="s">
        <v>1435</v>
      </c>
      <c r="AB237" s="315">
        <v>0.28999999999999998</v>
      </c>
      <c r="AC237" s="315">
        <v>1741</v>
      </c>
      <c r="AD237" s="315">
        <v>1682</v>
      </c>
      <c r="AE237" s="315">
        <v>0.6</v>
      </c>
      <c r="AF237" s="315">
        <v>1.2</v>
      </c>
      <c r="AG237" s="315">
        <v>0.63500000000000001</v>
      </c>
      <c r="AH237" s="315">
        <v>410</v>
      </c>
    </row>
    <row r="238" spans="1:34">
      <c r="A238" s="315" t="s">
        <v>1145</v>
      </c>
      <c r="B238" s="315" t="s">
        <v>696</v>
      </c>
      <c r="C238" s="316" t="s">
        <v>1537</v>
      </c>
      <c r="D238" s="316" t="s">
        <v>1537</v>
      </c>
      <c r="E238" s="317">
        <v>20.63</v>
      </c>
      <c r="F238" s="317">
        <v>3.0305426941895299</v>
      </c>
      <c r="G238" s="317">
        <v>3.2559626982915009</v>
      </c>
      <c r="H238" s="317">
        <v>3.2559626982915009</v>
      </c>
      <c r="I238" s="318">
        <v>15.782659710574412</v>
      </c>
      <c r="J238" s="318">
        <v>48.389118761287897</v>
      </c>
      <c r="K238" s="319">
        <v>44.146613071843596</v>
      </c>
      <c r="L238" s="319">
        <v>28.363953361269182</v>
      </c>
      <c r="M238" s="319">
        <f t="shared" si="3"/>
        <v>28.363953361269182</v>
      </c>
      <c r="N238" s="317">
        <v>5.851483578429832</v>
      </c>
      <c r="O238" s="315" t="s">
        <v>1148</v>
      </c>
      <c r="P238" s="318">
        <v>200</v>
      </c>
      <c r="R238" s="320">
        <v>93.333333333333329</v>
      </c>
      <c r="S238" s="318">
        <v>36</v>
      </c>
      <c r="T238" s="318">
        <v>908.33333333333337</v>
      </c>
      <c r="U238" s="318">
        <v>96</v>
      </c>
      <c r="V238" s="315">
        <v>0.25</v>
      </c>
      <c r="W238" s="318">
        <v>100</v>
      </c>
      <c r="X238" s="315">
        <v>0</v>
      </c>
      <c r="Y238" s="315" t="s">
        <v>1420</v>
      </c>
      <c r="Z238" s="315">
        <v>4</v>
      </c>
      <c r="AA238" s="315" t="s">
        <v>1435</v>
      </c>
      <c r="AB238" s="315">
        <v>0.77</v>
      </c>
      <c r="AC238" s="315">
        <v>1750</v>
      </c>
      <c r="AD238" s="315">
        <v>1600</v>
      </c>
      <c r="AE238" s="315">
        <v>0.6</v>
      </c>
      <c r="AF238" s="315">
        <v>1.2</v>
      </c>
      <c r="AG238" s="315">
        <v>0.6</v>
      </c>
      <c r="AH238" s="315">
        <v>410</v>
      </c>
    </row>
    <row r="239" spans="1:34">
      <c r="A239" s="315" t="s">
        <v>1145</v>
      </c>
      <c r="B239" s="315" t="s">
        <v>696</v>
      </c>
      <c r="C239" s="316" t="s">
        <v>1538</v>
      </c>
      <c r="D239" s="316" t="s">
        <v>1538</v>
      </c>
      <c r="E239" s="317">
        <v>11.07</v>
      </c>
      <c r="F239" s="317">
        <v>0</v>
      </c>
      <c r="G239" s="317">
        <v>0</v>
      </c>
      <c r="H239" s="317">
        <v>0</v>
      </c>
      <c r="I239" s="318">
        <v>0</v>
      </c>
      <c r="J239" s="318">
        <v>49.405099369565399</v>
      </c>
      <c r="K239" s="319">
        <v>43.1181481032569</v>
      </c>
      <c r="L239" s="319">
        <v>43.1181481032569</v>
      </c>
      <c r="M239" s="319">
        <f t="shared" si="3"/>
        <v>43.1181481032569</v>
      </c>
      <c r="N239" s="317">
        <v>4.7731789950305386</v>
      </c>
      <c r="O239" s="315" t="s">
        <v>1168</v>
      </c>
      <c r="P239" s="318">
        <v>200</v>
      </c>
      <c r="R239" s="320">
        <v>93.333333333333329</v>
      </c>
      <c r="S239" s="318">
        <v>36</v>
      </c>
      <c r="T239" s="318">
        <v>472.66666666666669</v>
      </c>
      <c r="U239" s="318">
        <v>96</v>
      </c>
      <c r="V239" s="315">
        <v>0.24</v>
      </c>
      <c r="W239" s="318">
        <v>100</v>
      </c>
      <c r="X239" s="315">
        <v>0</v>
      </c>
      <c r="Y239" s="315" t="s">
        <v>1420</v>
      </c>
      <c r="Z239" s="315">
        <v>4</v>
      </c>
      <c r="AA239" s="315" t="s">
        <v>1435</v>
      </c>
      <c r="AB239" s="315">
        <v>0</v>
      </c>
      <c r="AC239" s="315">
        <v>1750</v>
      </c>
      <c r="AD239" s="315">
        <v>1600</v>
      </c>
      <c r="AE239" s="315">
        <v>0.6</v>
      </c>
      <c r="AF239" s="315">
        <v>1.2</v>
      </c>
      <c r="AG239" s="315">
        <v>0.6</v>
      </c>
      <c r="AH239" s="315">
        <v>410</v>
      </c>
    </row>
    <row r="240" spans="1:34">
      <c r="A240" s="315" t="s">
        <v>1145</v>
      </c>
      <c r="B240" s="315" t="s">
        <v>696</v>
      </c>
      <c r="C240" s="316" t="s">
        <v>1539</v>
      </c>
      <c r="D240" s="316" t="s">
        <v>1539</v>
      </c>
      <c r="E240" s="317">
        <v>26.97</v>
      </c>
      <c r="F240" s="317">
        <v>17.80895524353766</v>
      </c>
      <c r="G240" s="317">
        <v>19.125809829757177</v>
      </c>
      <c r="H240" s="317">
        <v>19.125809829757177</v>
      </c>
      <c r="I240" s="318">
        <v>70.915127288680679</v>
      </c>
      <c r="J240" s="318">
        <v>56.703161529337898</v>
      </c>
      <c r="K240" s="319">
        <v>39.290428412545999</v>
      </c>
      <c r="L240" s="319">
        <v>-31.62469887613468</v>
      </c>
      <c r="M240" s="319">
        <f t="shared" si="3"/>
        <v>0</v>
      </c>
      <c r="N240" s="317">
        <v>0</v>
      </c>
      <c r="O240" s="315" t="s">
        <v>1148</v>
      </c>
      <c r="P240" s="318">
        <v>200</v>
      </c>
      <c r="R240" s="320">
        <v>93.333333333333329</v>
      </c>
      <c r="S240" s="318">
        <v>36</v>
      </c>
      <c r="T240" s="318">
        <v>672.66666666666663</v>
      </c>
      <c r="U240" s="318">
        <v>30.433333333333334</v>
      </c>
      <c r="V240" s="315">
        <v>0.25</v>
      </c>
      <c r="W240" s="318">
        <v>54</v>
      </c>
      <c r="X240" s="315">
        <v>21</v>
      </c>
      <c r="Y240" s="315" t="s">
        <v>1154</v>
      </c>
      <c r="Z240" s="315">
        <v>6</v>
      </c>
      <c r="AA240" s="315" t="s">
        <v>1435</v>
      </c>
      <c r="AB240" s="315">
        <v>0.27</v>
      </c>
      <c r="AC240" s="315">
        <v>1750</v>
      </c>
      <c r="AD240" s="315">
        <v>1600</v>
      </c>
      <c r="AE240" s="315">
        <v>0.5</v>
      </c>
      <c r="AF240" s="315">
        <v>1.2</v>
      </c>
      <c r="AG240" s="315">
        <v>0.6</v>
      </c>
      <c r="AH240" s="315">
        <v>410</v>
      </c>
    </row>
    <row r="241" spans="1:34">
      <c r="A241" s="315" t="s">
        <v>1145</v>
      </c>
      <c r="B241" s="315" t="s">
        <v>696</v>
      </c>
      <c r="C241" s="316" t="s">
        <v>1540</v>
      </c>
      <c r="D241" s="316" t="s">
        <v>1540</v>
      </c>
      <c r="E241" s="317">
        <v>0.95</v>
      </c>
      <c r="F241" s="317">
        <v>0</v>
      </c>
      <c r="G241" s="317">
        <v>0</v>
      </c>
      <c r="H241" s="317">
        <v>0</v>
      </c>
      <c r="I241" s="318">
        <v>0</v>
      </c>
      <c r="J241" s="318">
        <v>51.818645644954003</v>
      </c>
      <c r="K241" s="319">
        <v>40.2376729702356</v>
      </c>
      <c r="L241" s="319">
        <v>40.2376729702356</v>
      </c>
      <c r="M241" s="319">
        <f t="shared" si="3"/>
        <v>40.2376729702356</v>
      </c>
      <c r="N241" s="317">
        <v>0.38225789321723819</v>
      </c>
      <c r="O241" s="315" t="s">
        <v>1168</v>
      </c>
      <c r="P241" s="318">
        <v>200</v>
      </c>
      <c r="R241" s="320">
        <v>93.333333333333329</v>
      </c>
      <c r="S241" s="318">
        <v>36</v>
      </c>
      <c r="T241" s="318">
        <v>231.66666666666666</v>
      </c>
      <c r="U241" s="318">
        <v>16</v>
      </c>
      <c r="V241" s="315">
        <v>0.25</v>
      </c>
      <c r="W241" s="318">
        <v>70</v>
      </c>
      <c r="X241" s="315">
        <v>3</v>
      </c>
      <c r="Y241" s="315" t="s">
        <v>1154</v>
      </c>
      <c r="Z241" s="315">
        <v>1</v>
      </c>
      <c r="AA241" s="315" t="s">
        <v>1435</v>
      </c>
      <c r="AB241" s="315">
        <v>0</v>
      </c>
      <c r="AC241" s="315">
        <v>1750</v>
      </c>
      <c r="AD241" s="315">
        <v>1600</v>
      </c>
      <c r="AE241" s="315">
        <v>0.6</v>
      </c>
      <c r="AF241" s="315">
        <v>1.2</v>
      </c>
      <c r="AG241" s="315">
        <v>0.6</v>
      </c>
      <c r="AH241" s="315">
        <v>410</v>
      </c>
    </row>
    <row r="242" spans="1:34">
      <c r="A242" s="315" t="s">
        <v>1145</v>
      </c>
      <c r="B242" s="315" t="s">
        <v>696</v>
      </c>
      <c r="C242" s="316" t="s">
        <v>1541</v>
      </c>
      <c r="D242" s="316" t="s">
        <v>1541</v>
      </c>
      <c r="E242" s="317">
        <v>3.99</v>
      </c>
      <c r="F242" s="317">
        <v>5.9986308514037416</v>
      </c>
      <c r="G242" s="317">
        <v>6.4421258634295349</v>
      </c>
      <c r="H242" s="317">
        <v>6.4421258634295349</v>
      </c>
      <c r="I242" s="318">
        <v>161.4567885571312</v>
      </c>
      <c r="J242" s="318">
        <v>50.937587379430198</v>
      </c>
      <c r="K242" s="319">
        <v>38.4329088676105</v>
      </c>
      <c r="L242" s="319">
        <v>-123.0238796895207</v>
      </c>
      <c r="M242" s="319">
        <f t="shared" si="3"/>
        <v>0</v>
      </c>
      <c r="N242" s="317">
        <v>0</v>
      </c>
      <c r="O242" s="315" t="s">
        <v>1148</v>
      </c>
      <c r="P242" s="318">
        <v>202</v>
      </c>
      <c r="R242" s="320">
        <v>94.444444444444443</v>
      </c>
      <c r="S242" s="318">
        <v>38</v>
      </c>
      <c r="T242" s="318">
        <v>331</v>
      </c>
      <c r="U242" s="318">
        <v>372</v>
      </c>
      <c r="V242" s="315">
        <v>0.23</v>
      </c>
      <c r="W242" s="318">
        <v>75</v>
      </c>
      <c r="X242" s="315">
        <v>10</v>
      </c>
      <c r="Y242" s="315" t="s">
        <v>1154</v>
      </c>
      <c r="Z242" s="315">
        <v>2</v>
      </c>
      <c r="AA242" s="315" t="s">
        <v>1435</v>
      </c>
      <c r="AB242" s="315">
        <v>7.0000000000000007E-2</v>
      </c>
      <c r="AC242" s="315">
        <v>1750</v>
      </c>
      <c r="AD242" s="315">
        <v>1400</v>
      </c>
      <c r="AE242" s="315">
        <v>0.6</v>
      </c>
      <c r="AF242" s="315">
        <v>1.26</v>
      </c>
      <c r="AG242" s="315">
        <v>0.6</v>
      </c>
      <c r="AH242" s="315">
        <v>420</v>
      </c>
    </row>
    <row r="243" spans="1:34">
      <c r="A243" s="315" t="s">
        <v>1145</v>
      </c>
      <c r="B243" s="315" t="s">
        <v>696</v>
      </c>
      <c r="C243" s="316" t="s">
        <v>1542</v>
      </c>
      <c r="D243" s="316" t="s">
        <v>1542</v>
      </c>
      <c r="E243" s="317">
        <v>8.91</v>
      </c>
      <c r="F243" s="317">
        <v>0.90843573782640707</v>
      </c>
      <c r="G243" s="317">
        <v>0.97559877331997191</v>
      </c>
      <c r="H243" s="317">
        <v>0.97559877331997191</v>
      </c>
      <c r="I243" s="318">
        <v>10.949481182042334</v>
      </c>
      <c r="J243" s="318">
        <v>47.438900003353403</v>
      </c>
      <c r="K243" s="319">
        <v>39.119113973744703</v>
      </c>
      <c r="L243" s="319">
        <v>28.169632791702369</v>
      </c>
      <c r="M243" s="319">
        <f t="shared" si="3"/>
        <v>28.169632791702369</v>
      </c>
      <c r="N243" s="317">
        <v>2.5099142817406812</v>
      </c>
      <c r="O243" s="315" t="s">
        <v>1148</v>
      </c>
      <c r="P243" s="318">
        <v>202</v>
      </c>
      <c r="R243" s="320">
        <v>94.444444444444443</v>
      </c>
      <c r="S243" s="318">
        <v>38.869999999999997</v>
      </c>
      <c r="T243" s="318">
        <v>205.5</v>
      </c>
      <c r="U243" s="318">
        <v>387</v>
      </c>
      <c r="V243" s="315">
        <v>0.22</v>
      </c>
      <c r="W243" s="318">
        <v>50</v>
      </c>
      <c r="X243" s="315">
        <v>4</v>
      </c>
      <c r="Y243" s="315" t="s">
        <v>1154</v>
      </c>
      <c r="Z243" s="315">
        <v>1</v>
      </c>
      <c r="AA243" s="315" t="s">
        <v>1435</v>
      </c>
      <c r="AB243" s="315">
        <v>0.03</v>
      </c>
      <c r="AC243" s="315">
        <v>1790</v>
      </c>
      <c r="AD243" s="315">
        <v>1753</v>
      </c>
      <c r="AE243" s="315">
        <v>0.7</v>
      </c>
      <c r="AF243" s="315">
        <v>1.26</v>
      </c>
      <c r="AG243" s="315">
        <v>0.5</v>
      </c>
      <c r="AH243" s="315">
        <v>420</v>
      </c>
    </row>
    <row r="244" spans="1:34">
      <c r="A244" s="315" t="s">
        <v>1145</v>
      </c>
      <c r="B244" s="315" t="s">
        <v>696</v>
      </c>
      <c r="C244" s="316" t="s">
        <v>1543</v>
      </c>
      <c r="D244" s="316" t="s">
        <v>1543</v>
      </c>
      <c r="E244" s="317">
        <v>1.83</v>
      </c>
      <c r="F244" s="317">
        <v>0</v>
      </c>
      <c r="G244" s="317">
        <v>0</v>
      </c>
      <c r="H244" s="317">
        <v>0</v>
      </c>
      <c r="I244" s="318">
        <v>0</v>
      </c>
      <c r="J244" s="318">
        <v>48.122322157975397</v>
      </c>
      <c r="K244" s="319">
        <v>42.476317743372</v>
      </c>
      <c r="L244" s="319">
        <v>42.476317743372</v>
      </c>
      <c r="M244" s="319">
        <f t="shared" si="3"/>
        <v>42.476317743372</v>
      </c>
      <c r="N244" s="317">
        <v>0.77731661470370761</v>
      </c>
      <c r="O244" s="315" t="s">
        <v>1168</v>
      </c>
      <c r="P244" s="318">
        <v>202</v>
      </c>
      <c r="R244" s="320">
        <v>94.444444444444443</v>
      </c>
      <c r="S244" s="318">
        <v>38</v>
      </c>
      <c r="T244" s="318">
        <v>246.5</v>
      </c>
      <c r="U244" s="318">
        <v>354</v>
      </c>
      <c r="V244" s="315">
        <v>0.2</v>
      </c>
      <c r="W244" s="318">
        <v>45</v>
      </c>
      <c r="X244" s="315">
        <v>0</v>
      </c>
      <c r="Y244" s="315" t="s">
        <v>1154</v>
      </c>
      <c r="Z244" s="315">
        <v>2</v>
      </c>
      <c r="AA244" s="315" t="s">
        <v>1435</v>
      </c>
      <c r="AB244" s="315">
        <v>0.1</v>
      </c>
      <c r="AC244" s="315">
        <v>1700</v>
      </c>
      <c r="AD244" s="315">
        <v>1400</v>
      </c>
      <c r="AE244" s="315">
        <v>0.7</v>
      </c>
      <c r="AF244" s="315">
        <v>1.26</v>
      </c>
      <c r="AG244" s="315">
        <v>0.6</v>
      </c>
      <c r="AH244" s="315">
        <v>420</v>
      </c>
    </row>
    <row r="245" spans="1:34">
      <c r="A245" s="315" t="s">
        <v>1209</v>
      </c>
      <c r="B245" s="315" t="s">
        <v>696</v>
      </c>
      <c r="C245" s="316" t="s">
        <v>1544</v>
      </c>
      <c r="D245" s="316" t="s">
        <v>1544</v>
      </c>
      <c r="E245" s="317">
        <v>6.96</v>
      </c>
      <c r="F245" s="317">
        <v>0</v>
      </c>
      <c r="G245" s="317">
        <v>2.2767554435947357E-3</v>
      </c>
      <c r="H245" s="317">
        <v>2.2767554435947357E-3</v>
      </c>
      <c r="I245" s="318">
        <v>3.2712003499924362E-2</v>
      </c>
      <c r="J245" s="318">
        <v>51.939267103343198</v>
      </c>
      <c r="K245" s="319">
        <v>37.602324788540095</v>
      </c>
      <c r="L245" s="319">
        <v>37.569612785040171</v>
      </c>
      <c r="M245" s="319">
        <f t="shared" si="3"/>
        <v>37.569612785040171</v>
      </c>
      <c r="N245" s="317">
        <v>2.6148450498387956</v>
      </c>
      <c r="O245" s="315" t="s">
        <v>1168</v>
      </c>
      <c r="P245" s="318">
        <v>202</v>
      </c>
      <c r="R245" s="320">
        <v>94.444444444444443</v>
      </c>
      <c r="S245" s="318">
        <v>38</v>
      </c>
      <c r="T245" s="318">
        <v>200</v>
      </c>
      <c r="U245" s="318">
        <v>354</v>
      </c>
      <c r="V245" s="315">
        <v>0.21</v>
      </c>
      <c r="W245" s="318">
        <v>55</v>
      </c>
      <c r="X245" s="315">
        <v>0</v>
      </c>
      <c r="Y245" s="315" t="s">
        <v>1154</v>
      </c>
      <c r="Z245" s="315">
        <v>2</v>
      </c>
      <c r="AA245" s="315" t="s">
        <v>1435</v>
      </c>
      <c r="AB245" s="315">
        <v>0</v>
      </c>
      <c r="AC245" s="315">
        <v>1700</v>
      </c>
      <c r="AD245" s="315">
        <v>1400</v>
      </c>
      <c r="AE245" s="315">
        <v>0.6</v>
      </c>
      <c r="AF245" s="315">
        <v>1.26</v>
      </c>
      <c r="AG245" s="315">
        <v>0.5</v>
      </c>
      <c r="AH245" s="315">
        <v>420</v>
      </c>
    </row>
    <row r="246" spans="1:34">
      <c r="A246" s="315" t="s">
        <v>1145</v>
      </c>
      <c r="B246" s="315" t="s">
        <v>696</v>
      </c>
      <c r="C246" s="316" t="s">
        <v>1545</v>
      </c>
      <c r="D246" s="316" t="s">
        <v>1545</v>
      </c>
      <c r="E246" s="317">
        <v>6.4</v>
      </c>
      <c r="F246" s="317">
        <v>1.5479719164546699</v>
      </c>
      <c r="G246" s="317">
        <v>1.6624176841093881</v>
      </c>
      <c r="H246" s="317">
        <v>1.6624176841093881</v>
      </c>
      <c r="I246" s="318">
        <v>25.975276314209189</v>
      </c>
      <c r="J246" s="318">
        <v>54.324913728831199</v>
      </c>
      <c r="K246" s="319">
        <v>37.152463206051898</v>
      </c>
      <c r="L246" s="319">
        <v>11.177186891842709</v>
      </c>
      <c r="M246" s="319">
        <f t="shared" si="3"/>
        <v>11.177186891842709</v>
      </c>
      <c r="N246" s="317">
        <v>0.71533996107793341</v>
      </c>
      <c r="O246" s="315" t="s">
        <v>1148</v>
      </c>
      <c r="P246" s="318">
        <v>202</v>
      </c>
      <c r="R246" s="320">
        <v>94.444444444444443</v>
      </c>
      <c r="S246" s="318">
        <v>38</v>
      </c>
      <c r="T246" s="318">
        <v>150</v>
      </c>
      <c r="U246" s="318">
        <v>200</v>
      </c>
      <c r="V246" s="315">
        <v>0.2</v>
      </c>
      <c r="W246" s="318">
        <v>20</v>
      </c>
      <c r="X246" s="315">
        <v>0</v>
      </c>
      <c r="Y246" s="315" t="s">
        <v>1154</v>
      </c>
      <c r="Z246" s="315">
        <v>2</v>
      </c>
      <c r="AA246" s="315" t="s">
        <v>1435</v>
      </c>
      <c r="AB246" s="315">
        <v>0</v>
      </c>
      <c r="AC246" s="315">
        <v>1700</v>
      </c>
      <c r="AD246" s="315">
        <v>1400</v>
      </c>
      <c r="AE246" s="315">
        <v>0.6</v>
      </c>
      <c r="AF246" s="315">
        <v>1.26</v>
      </c>
      <c r="AG246" s="315">
        <v>0.6</v>
      </c>
      <c r="AH246" s="315">
        <v>420</v>
      </c>
    </row>
    <row r="247" spans="1:34">
      <c r="A247" s="315" t="s">
        <v>1145</v>
      </c>
      <c r="B247" s="315" t="s">
        <v>696</v>
      </c>
      <c r="C247" s="316" t="s">
        <v>1546</v>
      </c>
      <c r="D247" s="316" t="s">
        <v>1546</v>
      </c>
      <c r="E247" s="317">
        <v>2.02</v>
      </c>
      <c r="F247" s="317">
        <v>0</v>
      </c>
      <c r="G247" s="317">
        <v>0</v>
      </c>
      <c r="H247" s="317">
        <v>0</v>
      </c>
      <c r="I247" s="318">
        <v>0</v>
      </c>
      <c r="J247" s="318">
        <v>58.160264444375002</v>
      </c>
      <c r="K247" s="319">
        <v>36.478671892442101</v>
      </c>
      <c r="L247" s="319">
        <v>36.478671892442101</v>
      </c>
      <c r="M247" s="319">
        <f t="shared" si="3"/>
        <v>36.478671892442101</v>
      </c>
      <c r="N247" s="317">
        <v>0.73686917222733039</v>
      </c>
      <c r="O247" s="315" t="s">
        <v>1168</v>
      </c>
      <c r="P247" s="318">
        <v>202</v>
      </c>
      <c r="R247" s="320">
        <v>94.444444444444443</v>
      </c>
      <c r="S247" s="318">
        <v>39</v>
      </c>
      <c r="T247" s="318">
        <v>100</v>
      </c>
      <c r="U247" s="318">
        <v>200</v>
      </c>
      <c r="V247" s="315">
        <v>0.22</v>
      </c>
      <c r="W247" s="318">
        <v>30</v>
      </c>
      <c r="X247" s="315">
        <v>6</v>
      </c>
      <c r="Y247" s="315" t="s">
        <v>1154</v>
      </c>
      <c r="Z247" s="315">
        <v>1</v>
      </c>
      <c r="AA247" s="315" t="s">
        <v>1435</v>
      </c>
      <c r="AB247" s="315">
        <v>0</v>
      </c>
      <c r="AC247" s="315">
        <v>1700</v>
      </c>
      <c r="AD247" s="315">
        <v>1400</v>
      </c>
      <c r="AE247" s="315">
        <v>0.5</v>
      </c>
      <c r="AF247" s="315">
        <v>1.26</v>
      </c>
      <c r="AG247" s="315">
        <v>0.6</v>
      </c>
      <c r="AH247" s="315">
        <v>420</v>
      </c>
    </row>
    <row r="248" spans="1:34">
      <c r="A248" s="315" t="s">
        <v>1209</v>
      </c>
      <c r="B248" s="315" t="s">
        <v>696</v>
      </c>
      <c r="C248" s="316" t="s">
        <v>1547</v>
      </c>
      <c r="D248" s="316" t="s">
        <v>1547</v>
      </c>
      <c r="E248" s="317">
        <v>0</v>
      </c>
      <c r="F248" s="317">
        <v>0</v>
      </c>
      <c r="G248" s="317">
        <v>0</v>
      </c>
      <c r="H248" s="317">
        <v>0</v>
      </c>
      <c r="I248" s="318">
        <v>0</v>
      </c>
      <c r="J248" s="318">
        <v>56.874527621524798</v>
      </c>
      <c r="K248" s="319">
        <v>40.192020551815098</v>
      </c>
      <c r="L248" s="319">
        <v>0</v>
      </c>
      <c r="M248" s="319">
        <f t="shared" si="3"/>
        <v>0</v>
      </c>
      <c r="N248" s="317">
        <v>0</v>
      </c>
      <c r="O248" s="315" t="s">
        <v>1168</v>
      </c>
      <c r="P248" s="318">
        <v>202</v>
      </c>
      <c r="R248" s="320">
        <v>94.444444444444443</v>
      </c>
      <c r="S248" s="318">
        <v>38</v>
      </c>
      <c r="T248" s="318">
        <v>150</v>
      </c>
      <c r="U248" s="318">
        <v>300</v>
      </c>
      <c r="V248" s="315">
        <v>0.2</v>
      </c>
      <c r="W248" s="318">
        <v>40</v>
      </c>
      <c r="X248" s="315">
        <v>0</v>
      </c>
      <c r="Y248" s="315" t="s">
        <v>1149</v>
      </c>
      <c r="Z248" s="315">
        <v>0</v>
      </c>
      <c r="AA248" s="315" t="s">
        <v>1435</v>
      </c>
      <c r="AB248" s="315">
        <v>0</v>
      </c>
      <c r="AC248" s="315">
        <v>1750</v>
      </c>
      <c r="AD248" s="315">
        <v>1400</v>
      </c>
      <c r="AE248" s="315">
        <v>0.5</v>
      </c>
      <c r="AF248" s="315">
        <v>1.26</v>
      </c>
      <c r="AG248" s="315">
        <v>0.5</v>
      </c>
      <c r="AH248" s="315">
        <v>420</v>
      </c>
    </row>
    <row r="249" spans="1:34">
      <c r="A249" s="315" t="s">
        <v>1145</v>
      </c>
      <c r="B249" s="315" t="s">
        <v>696</v>
      </c>
      <c r="C249" s="316" t="s">
        <v>1548</v>
      </c>
      <c r="D249" s="316" t="s">
        <v>1548</v>
      </c>
      <c r="E249" s="317">
        <v>6.5</v>
      </c>
      <c r="F249" s="317">
        <v>0</v>
      </c>
      <c r="G249" s="317">
        <v>0</v>
      </c>
      <c r="H249" s="317">
        <v>0.52685239351215996</v>
      </c>
      <c r="I249" s="318">
        <v>8.1054214386486141</v>
      </c>
      <c r="J249" s="318">
        <v>57.684265457763203</v>
      </c>
      <c r="K249" s="319">
        <v>36.591459300856897</v>
      </c>
      <c r="L249" s="319">
        <v>28.486037862208285</v>
      </c>
      <c r="M249" s="319">
        <f t="shared" si="3"/>
        <v>28.486037862208285</v>
      </c>
      <c r="N249" s="317">
        <v>1.8515924610435386</v>
      </c>
      <c r="O249" s="315" t="s">
        <v>1168</v>
      </c>
      <c r="P249" s="318">
        <v>202.9</v>
      </c>
      <c r="R249" s="320">
        <v>94.944444444444443</v>
      </c>
      <c r="S249" s="318">
        <v>36</v>
      </c>
      <c r="T249" s="318">
        <v>580</v>
      </c>
      <c r="U249" s="318">
        <v>88</v>
      </c>
      <c r="V249" s="315">
        <v>0.22</v>
      </c>
      <c r="W249" s="318">
        <v>60</v>
      </c>
      <c r="X249" s="315">
        <v>0</v>
      </c>
      <c r="Y249" s="315" t="s">
        <v>1149</v>
      </c>
      <c r="Z249" s="315">
        <v>0</v>
      </c>
      <c r="AA249" s="315" t="s">
        <v>1435</v>
      </c>
      <c r="AB249" s="315">
        <v>1</v>
      </c>
      <c r="AC249" s="315">
        <v>1785.6</v>
      </c>
      <c r="AD249" s="315">
        <v>1785.6</v>
      </c>
      <c r="AE249" s="315">
        <v>0.5</v>
      </c>
      <c r="AF249" s="315">
        <v>1.22</v>
      </c>
      <c r="AG249" s="315">
        <v>0.96</v>
      </c>
      <c r="AH249" s="315">
        <v>395</v>
      </c>
    </row>
    <row r="250" spans="1:34">
      <c r="A250" s="315" t="s">
        <v>1277</v>
      </c>
      <c r="B250" s="315" t="s">
        <v>696</v>
      </c>
      <c r="C250" s="316" t="s">
        <v>1549</v>
      </c>
      <c r="D250" s="316" t="s">
        <v>1549</v>
      </c>
      <c r="E250" s="317">
        <v>8.18</v>
      </c>
      <c r="F250" s="317">
        <v>0</v>
      </c>
      <c r="G250" s="317">
        <v>0</v>
      </c>
      <c r="H250" s="317">
        <v>0.51415259879150188</v>
      </c>
      <c r="I250" s="318">
        <v>6.2854840928056461</v>
      </c>
      <c r="J250" s="318">
        <v>56.6734451209215</v>
      </c>
      <c r="K250" s="319">
        <v>40.381519653489498</v>
      </c>
      <c r="L250" s="319">
        <v>34.096035560683852</v>
      </c>
      <c r="M250" s="319">
        <f t="shared" si="3"/>
        <v>34.096035560683852</v>
      </c>
      <c r="N250" s="317">
        <v>2.7890557088639389</v>
      </c>
      <c r="O250" s="315" t="s">
        <v>1168</v>
      </c>
      <c r="P250" s="318">
        <v>203</v>
      </c>
      <c r="R250" s="320">
        <v>95</v>
      </c>
      <c r="S250" s="318">
        <v>37.200000000000003</v>
      </c>
      <c r="T250" s="318">
        <v>120</v>
      </c>
      <c r="U250" s="318">
        <v>240</v>
      </c>
      <c r="V250" s="315">
        <v>0.28000000000000003</v>
      </c>
      <c r="W250" s="318">
        <v>71</v>
      </c>
      <c r="X250" s="315">
        <v>2</v>
      </c>
      <c r="Y250" s="315" t="s">
        <v>1154</v>
      </c>
      <c r="Z250" s="315">
        <v>4</v>
      </c>
      <c r="AA250" s="315" t="s">
        <v>1435</v>
      </c>
      <c r="AB250" s="315">
        <v>0.88</v>
      </c>
      <c r="AC250" s="315">
        <v>1701</v>
      </c>
      <c r="AD250" s="315">
        <v>1424</v>
      </c>
      <c r="AE250" s="315">
        <v>0.5</v>
      </c>
      <c r="AF250" s="315">
        <v>1.26</v>
      </c>
      <c r="AG250" s="315">
        <v>0.65</v>
      </c>
      <c r="AH250" s="315">
        <v>441</v>
      </c>
    </row>
    <row r="251" spans="1:34">
      <c r="A251" s="315" t="s">
        <v>1239</v>
      </c>
      <c r="B251" s="315" t="s">
        <v>696</v>
      </c>
      <c r="C251" s="316" t="s">
        <v>1550</v>
      </c>
      <c r="D251" s="316" t="s">
        <v>1550</v>
      </c>
      <c r="E251" s="317">
        <v>16.417999999999999</v>
      </c>
      <c r="F251" s="317">
        <v>2.1982152014219221</v>
      </c>
      <c r="G251" s="317">
        <v>2.629874677873314</v>
      </c>
      <c r="H251" s="317">
        <v>2.629874677873314</v>
      </c>
      <c r="I251" s="318">
        <v>16.01824021119085</v>
      </c>
      <c r="J251" s="318">
        <v>56.822327529237597</v>
      </c>
      <c r="K251" s="319">
        <v>36.243458618359597</v>
      </c>
      <c r="L251" s="319">
        <v>20.225218407168747</v>
      </c>
      <c r="M251" s="319">
        <f t="shared" si="3"/>
        <v>20.225218407168747</v>
      </c>
      <c r="N251" s="317">
        <v>3.3205763580889647</v>
      </c>
      <c r="O251" s="315" t="s">
        <v>1148</v>
      </c>
      <c r="P251" s="318">
        <v>203</v>
      </c>
      <c r="R251" s="320">
        <v>95</v>
      </c>
      <c r="S251" s="318">
        <v>34.97</v>
      </c>
      <c r="T251" s="318">
        <v>100</v>
      </c>
      <c r="U251" s="318">
        <v>120</v>
      </c>
      <c r="V251" s="315">
        <v>0.22</v>
      </c>
      <c r="W251" s="318">
        <v>42</v>
      </c>
      <c r="X251" s="315">
        <v>9</v>
      </c>
      <c r="Y251" s="315" t="s">
        <v>1154</v>
      </c>
      <c r="Z251" s="315">
        <v>6</v>
      </c>
      <c r="AA251" s="315" t="s">
        <v>1435</v>
      </c>
      <c r="AB251" s="315">
        <v>1.2</v>
      </c>
      <c r="AC251" s="315">
        <v>1789</v>
      </c>
      <c r="AD251" s="315">
        <v>1674</v>
      </c>
      <c r="AE251" s="315">
        <v>0.6</v>
      </c>
      <c r="AF251" s="315">
        <v>1.26</v>
      </c>
      <c r="AG251" s="315">
        <v>1.65</v>
      </c>
      <c r="AH251" s="315">
        <v>433</v>
      </c>
    </row>
    <row r="252" spans="1:34">
      <c r="A252" s="315" t="s">
        <v>1145</v>
      </c>
      <c r="B252" s="315" t="s">
        <v>696</v>
      </c>
      <c r="C252" s="316" t="s">
        <v>1551</v>
      </c>
      <c r="D252" s="316" t="s">
        <v>1551</v>
      </c>
      <c r="E252" s="317">
        <v>19.14</v>
      </c>
      <c r="F252" s="317">
        <v>2.1466649709023442</v>
      </c>
      <c r="G252" s="317">
        <v>2.3053737006318373</v>
      </c>
      <c r="H252" s="317">
        <v>2.4742015435123079</v>
      </c>
      <c r="I252" s="318">
        <v>12.926862818768589</v>
      </c>
      <c r="J252" s="318">
        <v>51.985032088979601</v>
      </c>
      <c r="K252" s="319">
        <v>43.535847010961298</v>
      </c>
      <c r="L252" s="319">
        <v>30.608984192192707</v>
      </c>
      <c r="M252" s="319">
        <f t="shared" si="3"/>
        <v>30.608984192192707</v>
      </c>
      <c r="N252" s="317">
        <v>5.8585595743856844</v>
      </c>
      <c r="O252" s="315" t="s">
        <v>1148</v>
      </c>
      <c r="P252" s="318">
        <v>203</v>
      </c>
      <c r="R252" s="320">
        <v>95</v>
      </c>
      <c r="S252" s="318">
        <v>37.200000000000003</v>
      </c>
      <c r="T252" s="318">
        <v>30847.64</v>
      </c>
      <c r="U252" s="318">
        <v>66.5</v>
      </c>
      <c r="V252" s="315">
        <v>0.26</v>
      </c>
      <c r="W252" s="318">
        <v>54</v>
      </c>
      <c r="X252" s="315">
        <v>6</v>
      </c>
      <c r="Y252" s="315" t="s">
        <v>1149</v>
      </c>
      <c r="Z252" s="315">
        <v>0</v>
      </c>
      <c r="AA252" s="315" t="s">
        <v>1435</v>
      </c>
      <c r="AB252" s="315">
        <v>0</v>
      </c>
      <c r="AC252" s="315">
        <v>1780</v>
      </c>
      <c r="AD252" s="315">
        <v>1608</v>
      </c>
      <c r="AE252" s="315">
        <v>0.6</v>
      </c>
      <c r="AF252" s="315">
        <v>1.26</v>
      </c>
      <c r="AG252" s="315">
        <v>0.65</v>
      </c>
      <c r="AH252" s="315">
        <v>441</v>
      </c>
    </row>
    <row r="253" spans="1:34">
      <c r="A253" s="315" t="s">
        <v>1552</v>
      </c>
      <c r="B253" s="315" t="s">
        <v>696</v>
      </c>
      <c r="C253" s="316" t="s">
        <v>1553</v>
      </c>
      <c r="D253" s="316" t="s">
        <v>1553</v>
      </c>
      <c r="E253" s="317">
        <v>0.82</v>
      </c>
      <c r="F253" s="317">
        <v>0</v>
      </c>
      <c r="G253" s="317">
        <v>0</v>
      </c>
      <c r="H253" s="317">
        <v>0</v>
      </c>
      <c r="I253" s="318">
        <v>0</v>
      </c>
      <c r="J253" s="318">
        <v>52.846788604687099</v>
      </c>
      <c r="K253" s="319">
        <v>43.558531763262401</v>
      </c>
      <c r="L253" s="319">
        <v>43.558531763262401</v>
      </c>
      <c r="M253" s="319">
        <f t="shared" si="3"/>
        <v>43.558531763262401</v>
      </c>
      <c r="N253" s="317">
        <v>0.35717996045875167</v>
      </c>
      <c r="O253" s="315" t="s">
        <v>1168</v>
      </c>
      <c r="P253" s="318">
        <v>203</v>
      </c>
      <c r="R253" s="320">
        <v>95</v>
      </c>
      <c r="S253" s="318">
        <v>36</v>
      </c>
      <c r="T253" s="318">
        <v>466</v>
      </c>
      <c r="U253" s="318">
        <v>100</v>
      </c>
      <c r="V253" s="315">
        <v>0.28000000000000003</v>
      </c>
      <c r="W253" s="318">
        <v>363</v>
      </c>
      <c r="X253" s="315">
        <v>1</v>
      </c>
      <c r="Y253" s="315" t="s">
        <v>1149</v>
      </c>
      <c r="Z253" s="315">
        <v>0</v>
      </c>
      <c r="AA253" s="315" t="s">
        <v>1435</v>
      </c>
      <c r="AB253" s="315">
        <v>0</v>
      </c>
      <c r="AC253" s="315">
        <v>1900</v>
      </c>
      <c r="AD253" s="315">
        <v>1600</v>
      </c>
      <c r="AE253" s="315">
        <v>0.5</v>
      </c>
      <c r="AF253" s="315">
        <v>1.26</v>
      </c>
      <c r="AG253" s="315">
        <v>0.65</v>
      </c>
      <c r="AH253" s="315">
        <v>441</v>
      </c>
    </row>
    <row r="254" spans="1:34">
      <c r="A254" s="315" t="s">
        <v>1145</v>
      </c>
      <c r="B254" s="315" t="s">
        <v>696</v>
      </c>
      <c r="C254" s="316" t="s">
        <v>1554</v>
      </c>
      <c r="D254" s="316" t="s">
        <v>1554</v>
      </c>
      <c r="E254" s="317">
        <v>9.5399999999999991</v>
      </c>
      <c r="F254" s="317">
        <v>2.1016678442624377</v>
      </c>
      <c r="G254" s="317">
        <v>2.2570498068976872</v>
      </c>
      <c r="H254" s="317">
        <v>2.2570498068976872</v>
      </c>
      <c r="I254" s="318">
        <v>23.658803007313285</v>
      </c>
      <c r="J254" s="318">
        <v>54.881952432139897</v>
      </c>
      <c r="K254" s="319">
        <v>42.515665620683698</v>
      </c>
      <c r="L254" s="319">
        <v>18.856862613370414</v>
      </c>
      <c r="M254" s="319">
        <f t="shared" si="3"/>
        <v>18.856862613370414</v>
      </c>
      <c r="N254" s="317">
        <v>1.7989446933155373</v>
      </c>
      <c r="O254" s="315" t="s">
        <v>1148</v>
      </c>
      <c r="P254" s="318">
        <v>203</v>
      </c>
      <c r="R254" s="320">
        <v>95</v>
      </c>
      <c r="S254" s="318">
        <v>37.200000000000003</v>
      </c>
      <c r="T254" s="318">
        <v>119</v>
      </c>
      <c r="U254" s="318">
        <v>100</v>
      </c>
      <c r="V254" s="315">
        <v>0.3</v>
      </c>
      <c r="W254" s="318">
        <v>210</v>
      </c>
      <c r="X254" s="315">
        <v>4</v>
      </c>
      <c r="Y254" s="315" t="s">
        <v>1149</v>
      </c>
      <c r="Z254" s="315">
        <v>0</v>
      </c>
      <c r="AA254" s="315" t="s">
        <v>1435</v>
      </c>
      <c r="AB254" s="315">
        <v>0</v>
      </c>
      <c r="AC254" s="315">
        <v>1800</v>
      </c>
      <c r="AD254" s="315">
        <v>1600</v>
      </c>
      <c r="AE254" s="315">
        <v>0.5</v>
      </c>
      <c r="AF254" s="315">
        <v>1.26</v>
      </c>
      <c r="AG254" s="315">
        <v>0.65</v>
      </c>
      <c r="AH254" s="315">
        <v>441</v>
      </c>
    </row>
    <row r="255" spans="1:34">
      <c r="A255" s="315" t="s">
        <v>1145</v>
      </c>
      <c r="B255" s="315" t="s">
        <v>696</v>
      </c>
      <c r="C255" s="316" t="s">
        <v>1555</v>
      </c>
      <c r="D255" s="316" t="s">
        <v>1555</v>
      </c>
      <c r="E255" s="317">
        <v>25.61</v>
      </c>
      <c r="F255" s="317">
        <v>36.803066788730185</v>
      </c>
      <c r="G255" s="317">
        <v>39.52435388975514</v>
      </c>
      <c r="H255" s="317">
        <v>39.52435388975514</v>
      </c>
      <c r="I255" s="318">
        <v>154.33172155312434</v>
      </c>
      <c r="J255" s="318">
        <v>50.628754049846698</v>
      </c>
      <c r="K255" s="319">
        <v>44.195893221686603</v>
      </c>
      <c r="L255" s="319">
        <v>-110.13582833143774</v>
      </c>
      <c r="M255" s="319">
        <f t="shared" si="3"/>
        <v>0</v>
      </c>
      <c r="N255" s="317">
        <v>0</v>
      </c>
      <c r="O255" s="315" t="s">
        <v>1148</v>
      </c>
      <c r="P255" s="318">
        <v>203</v>
      </c>
      <c r="R255" s="320">
        <v>95</v>
      </c>
      <c r="S255" s="318">
        <v>37.43</v>
      </c>
      <c r="T255" s="318">
        <v>700</v>
      </c>
      <c r="U255" s="318">
        <v>179.33333333333334</v>
      </c>
      <c r="V255" s="315">
        <v>0.21</v>
      </c>
      <c r="W255" s="318">
        <v>48</v>
      </c>
      <c r="X255" s="315">
        <v>22</v>
      </c>
      <c r="Y255" s="315" t="s">
        <v>1154</v>
      </c>
      <c r="Z255" s="315">
        <v>8</v>
      </c>
      <c r="AA255" s="315" t="s">
        <v>1435</v>
      </c>
      <c r="AB255" s="315">
        <v>0.1</v>
      </c>
      <c r="AC255" s="315">
        <v>1791</v>
      </c>
      <c r="AD255" s="315">
        <v>1782</v>
      </c>
      <c r="AE255" s="315">
        <v>0.6</v>
      </c>
      <c r="AF255" s="315">
        <v>1.29</v>
      </c>
      <c r="AG255" s="315">
        <v>0.6</v>
      </c>
      <c r="AH255" s="315">
        <v>420</v>
      </c>
    </row>
    <row r="256" spans="1:34">
      <c r="A256" s="315" t="s">
        <v>1158</v>
      </c>
      <c r="B256" s="315" t="s">
        <v>696</v>
      </c>
      <c r="C256" s="316" t="s">
        <v>1556</v>
      </c>
      <c r="D256" s="316" t="s">
        <v>1556</v>
      </c>
      <c r="E256" s="317">
        <v>20.7</v>
      </c>
      <c r="F256" s="317">
        <v>20.870038855808506</v>
      </c>
      <c r="G256" s="317">
        <v>22.413017389435161</v>
      </c>
      <c r="H256" s="317">
        <v>24.170237749900892</v>
      </c>
      <c r="I256" s="318">
        <v>116.76443357440046</v>
      </c>
      <c r="J256" s="318">
        <v>50.635866652591403</v>
      </c>
      <c r="K256" s="319">
        <v>44.268557159794</v>
      </c>
      <c r="L256" s="319">
        <v>-72.495876414606457</v>
      </c>
      <c r="M256" s="319">
        <f t="shared" si="3"/>
        <v>0</v>
      </c>
      <c r="N256" s="317">
        <v>0</v>
      </c>
      <c r="O256" s="315" t="s">
        <v>1148</v>
      </c>
      <c r="P256" s="318">
        <v>203</v>
      </c>
      <c r="R256" s="320">
        <v>95</v>
      </c>
      <c r="S256" s="318">
        <v>47.65</v>
      </c>
      <c r="T256" s="318">
        <v>717.33333333333337</v>
      </c>
      <c r="U256" s="318">
        <v>92.833333333333329</v>
      </c>
      <c r="V256" s="315">
        <v>0.28000000000000003</v>
      </c>
      <c r="W256" s="318">
        <v>60</v>
      </c>
      <c r="X256" s="315">
        <v>8</v>
      </c>
      <c r="Y256" s="315" t="s">
        <v>1420</v>
      </c>
      <c r="Z256" s="315">
        <v>7</v>
      </c>
      <c r="AA256" s="315" t="s">
        <v>1435</v>
      </c>
      <c r="AB256" s="315">
        <v>0.55000000000000004</v>
      </c>
      <c r="AC256" s="315">
        <v>1720</v>
      </c>
      <c r="AD256" s="315">
        <v>1539</v>
      </c>
      <c r="AE256" s="315">
        <v>0.5</v>
      </c>
      <c r="AF256" s="315">
        <v>1.28</v>
      </c>
      <c r="AG256" s="315">
        <v>0.65600000000000003</v>
      </c>
      <c r="AH256" s="315">
        <v>411</v>
      </c>
    </row>
    <row r="257" spans="1:34">
      <c r="A257" s="315" t="s">
        <v>1158</v>
      </c>
      <c r="B257" s="315" t="s">
        <v>696</v>
      </c>
      <c r="C257" s="316" t="s">
        <v>1557</v>
      </c>
      <c r="D257" s="316" t="s">
        <v>1557</v>
      </c>
      <c r="E257" s="317">
        <v>17.190000000000001</v>
      </c>
      <c r="F257" s="317">
        <v>0</v>
      </c>
      <c r="G257" s="317">
        <v>0</v>
      </c>
      <c r="H257" s="317">
        <v>0</v>
      </c>
      <c r="I257" s="318">
        <v>0</v>
      </c>
      <c r="J257" s="318">
        <v>52.105303577989602</v>
      </c>
      <c r="K257" s="319">
        <v>41.981878095353196</v>
      </c>
      <c r="L257" s="319">
        <v>41.981878095353196</v>
      </c>
      <c r="M257" s="319">
        <f t="shared" si="3"/>
        <v>41.981878095353196</v>
      </c>
      <c r="N257" s="317">
        <v>7.2166848445912155</v>
      </c>
      <c r="O257" s="315" t="s">
        <v>1168</v>
      </c>
      <c r="P257" s="318">
        <v>203</v>
      </c>
      <c r="R257" s="320">
        <v>95</v>
      </c>
      <c r="S257" s="318">
        <v>40</v>
      </c>
      <c r="T257" s="318">
        <v>288.66666666666669</v>
      </c>
      <c r="U257" s="318">
        <v>9</v>
      </c>
      <c r="V257" s="315">
        <v>0.22</v>
      </c>
      <c r="W257" s="318">
        <v>50</v>
      </c>
      <c r="X257" s="315">
        <v>0</v>
      </c>
      <c r="Y257" s="315" t="s">
        <v>1149</v>
      </c>
      <c r="Z257" s="315">
        <v>0</v>
      </c>
      <c r="AA257" s="315" t="s">
        <v>1435</v>
      </c>
      <c r="AB257" s="315">
        <v>0.3</v>
      </c>
      <c r="AC257" s="315">
        <v>1700</v>
      </c>
      <c r="AD257" s="315">
        <v>1700</v>
      </c>
      <c r="AE257" s="315">
        <v>0.6</v>
      </c>
      <c r="AF257" s="315">
        <v>1.27</v>
      </c>
      <c r="AG257" s="315">
        <v>0.8</v>
      </c>
      <c r="AH257" s="315">
        <v>420</v>
      </c>
    </row>
    <row r="258" spans="1:34">
      <c r="A258" s="315" t="s">
        <v>1158</v>
      </c>
      <c r="B258" s="315" t="s">
        <v>696</v>
      </c>
      <c r="C258" s="316" t="s">
        <v>1558</v>
      </c>
      <c r="D258" s="316" t="s">
        <v>1558</v>
      </c>
      <c r="E258" s="317">
        <v>11.563000000000001</v>
      </c>
      <c r="F258" s="317">
        <v>7.5632366777062803</v>
      </c>
      <c r="G258" s="317">
        <v>8.2573977783963191</v>
      </c>
      <c r="H258" s="317">
        <v>8.2573977783963191</v>
      </c>
      <c r="I258" s="318">
        <v>71.41224404044209</v>
      </c>
      <c r="J258" s="318">
        <v>54.001027981742403</v>
      </c>
      <c r="K258" s="319">
        <v>42.281214220214203</v>
      </c>
      <c r="L258" s="319">
        <v>-29.131029820227887</v>
      </c>
      <c r="M258" s="319">
        <f t="shared" ref="M258:M321" si="4">IF(L258&lt;0,0,L258)</f>
        <v>0</v>
      </c>
      <c r="N258" s="317">
        <v>0</v>
      </c>
      <c r="O258" s="315" t="s">
        <v>1148</v>
      </c>
      <c r="P258" s="318">
        <v>203</v>
      </c>
      <c r="R258" s="320">
        <v>95</v>
      </c>
      <c r="S258" s="318">
        <v>40</v>
      </c>
      <c r="T258" s="318">
        <v>248.33333333333334</v>
      </c>
      <c r="U258" s="318">
        <v>69.333333333333329</v>
      </c>
      <c r="V258" s="315">
        <v>0.22</v>
      </c>
      <c r="W258" s="318">
        <v>17</v>
      </c>
      <c r="X258" s="315">
        <v>13</v>
      </c>
      <c r="Y258" s="315" t="s">
        <v>1149</v>
      </c>
      <c r="Z258" s="315">
        <v>0</v>
      </c>
      <c r="AA258" s="315" t="s">
        <v>1435</v>
      </c>
      <c r="AB258" s="315">
        <v>0</v>
      </c>
      <c r="AC258" s="315">
        <v>1800</v>
      </c>
      <c r="AD258" s="315">
        <v>1550</v>
      </c>
      <c r="AE258" s="315">
        <v>0.6</v>
      </c>
      <c r="AF258" s="315">
        <v>1.27</v>
      </c>
      <c r="AG258" s="315">
        <v>0.6</v>
      </c>
      <c r="AH258" s="315">
        <v>420</v>
      </c>
    </row>
    <row r="259" spans="1:34">
      <c r="A259" s="315" t="s">
        <v>1158</v>
      </c>
      <c r="B259" s="315" t="s">
        <v>696</v>
      </c>
      <c r="C259" s="316" t="s">
        <v>1559</v>
      </c>
      <c r="D259" s="316" t="s">
        <v>1559</v>
      </c>
      <c r="E259" s="317">
        <v>9.98</v>
      </c>
      <c r="F259" s="317">
        <v>6.8071858300971728</v>
      </c>
      <c r="G259" s="317">
        <v>7.3104595506709824</v>
      </c>
      <c r="H259" s="317">
        <v>7.3104595506709824</v>
      </c>
      <c r="I259" s="318">
        <v>73.251097702114052</v>
      </c>
      <c r="J259" s="318">
        <v>51.379120781453999</v>
      </c>
      <c r="K259" s="319">
        <v>43.287891074253501</v>
      </c>
      <c r="L259" s="319">
        <v>-29.963206627860551</v>
      </c>
      <c r="M259" s="319">
        <f t="shared" si="4"/>
        <v>0</v>
      </c>
      <c r="N259" s="317">
        <v>0</v>
      </c>
      <c r="O259" s="315" t="s">
        <v>1148</v>
      </c>
      <c r="P259" s="318">
        <v>203</v>
      </c>
      <c r="R259" s="320">
        <v>95</v>
      </c>
      <c r="S259" s="318">
        <v>37.200000000000003</v>
      </c>
      <c r="T259" s="318">
        <v>1000</v>
      </c>
      <c r="U259" s="318">
        <v>15.666666666666666</v>
      </c>
      <c r="V259" s="315">
        <v>0.27</v>
      </c>
      <c r="W259" s="318">
        <v>82</v>
      </c>
      <c r="X259" s="315">
        <v>4</v>
      </c>
      <c r="Y259" s="315" t="s">
        <v>1420</v>
      </c>
      <c r="Z259" s="315">
        <v>3</v>
      </c>
      <c r="AA259" s="315" t="s">
        <v>1435</v>
      </c>
      <c r="AB259" s="315">
        <v>0</v>
      </c>
      <c r="AC259" s="315">
        <v>1690</v>
      </c>
      <c r="AD259" s="315">
        <v>1600</v>
      </c>
      <c r="AE259" s="315">
        <v>0.5</v>
      </c>
      <c r="AF259" s="315">
        <v>1.2</v>
      </c>
      <c r="AG259" s="315">
        <v>0.65</v>
      </c>
      <c r="AH259" s="315">
        <v>441</v>
      </c>
    </row>
    <row r="260" spans="1:34">
      <c r="A260" s="315" t="s">
        <v>1145</v>
      </c>
      <c r="B260" s="315" t="s">
        <v>696</v>
      </c>
      <c r="C260" s="316" t="s">
        <v>1560</v>
      </c>
      <c r="D260" s="316" t="s">
        <v>1560</v>
      </c>
      <c r="E260" s="317">
        <v>10.4</v>
      </c>
      <c r="F260" s="317">
        <v>0</v>
      </c>
      <c r="G260" s="317">
        <v>0</v>
      </c>
      <c r="H260" s="317">
        <v>0</v>
      </c>
      <c r="I260" s="318">
        <v>0</v>
      </c>
      <c r="J260" s="318">
        <v>55.189061176884998</v>
      </c>
      <c r="K260" s="319">
        <v>41.0321950099042</v>
      </c>
      <c r="L260" s="319">
        <v>41.0321950099042</v>
      </c>
      <c r="M260" s="319">
        <f t="shared" si="4"/>
        <v>41.0321950099042</v>
      </c>
      <c r="N260" s="317">
        <v>4.2673482810300367</v>
      </c>
      <c r="O260" s="315" t="s">
        <v>1168</v>
      </c>
      <c r="P260" s="318">
        <v>204</v>
      </c>
      <c r="R260" s="320">
        <v>95.555555555555557</v>
      </c>
      <c r="S260" s="318">
        <v>40</v>
      </c>
      <c r="T260" s="318">
        <v>250.66666666666666</v>
      </c>
      <c r="U260" s="318">
        <v>88</v>
      </c>
      <c r="V260" s="315">
        <v>0.21</v>
      </c>
      <c r="W260" s="318">
        <v>100</v>
      </c>
      <c r="X260" s="315">
        <v>5</v>
      </c>
      <c r="Y260" s="315" t="s">
        <v>1154</v>
      </c>
      <c r="Z260" s="315">
        <v>1</v>
      </c>
      <c r="AA260" s="315" t="s">
        <v>1435</v>
      </c>
      <c r="AB260" s="315">
        <v>0.3</v>
      </c>
      <c r="AC260" s="315">
        <v>1700</v>
      </c>
      <c r="AD260" s="315">
        <v>1700</v>
      </c>
      <c r="AE260" s="315">
        <v>0.6</v>
      </c>
      <c r="AF260" s="315">
        <v>1.27</v>
      </c>
      <c r="AG260" s="315">
        <v>0.8</v>
      </c>
      <c r="AH260" s="315">
        <v>420</v>
      </c>
    </row>
    <row r="261" spans="1:34">
      <c r="A261" s="315" t="s">
        <v>1145</v>
      </c>
      <c r="B261" s="315" t="s">
        <v>696</v>
      </c>
      <c r="C261" s="316" t="s">
        <v>1561</v>
      </c>
      <c r="D261" s="316" t="s">
        <v>1561</v>
      </c>
      <c r="E261" s="317">
        <v>7.5010000000000003</v>
      </c>
      <c r="F261" s="317">
        <v>6.3403582537185716</v>
      </c>
      <c r="G261" s="317">
        <v>6.8122138289592691</v>
      </c>
      <c r="H261" s="317">
        <v>6.8122138289592691</v>
      </c>
      <c r="I261" s="318">
        <v>90.817408731626031</v>
      </c>
      <c r="J261" s="318">
        <v>50.388137409673497</v>
      </c>
      <c r="K261" s="319">
        <v>42.395389532136903</v>
      </c>
      <c r="L261" s="319">
        <v>-48.422019199489128</v>
      </c>
      <c r="M261" s="319">
        <f t="shared" si="4"/>
        <v>0</v>
      </c>
      <c r="N261" s="317">
        <v>0</v>
      </c>
      <c r="O261" s="315" t="s">
        <v>1148</v>
      </c>
      <c r="P261" s="318">
        <v>205</v>
      </c>
      <c r="R261" s="320">
        <v>96.111111111111114</v>
      </c>
      <c r="S261" s="318">
        <v>37</v>
      </c>
      <c r="T261" s="318">
        <v>200</v>
      </c>
      <c r="U261" s="318">
        <v>100</v>
      </c>
      <c r="V261" s="315">
        <v>0.24</v>
      </c>
      <c r="W261" s="318">
        <v>100</v>
      </c>
      <c r="X261" s="315">
        <v>6</v>
      </c>
      <c r="Y261" s="315" t="s">
        <v>1154</v>
      </c>
      <c r="Z261" s="315">
        <v>3</v>
      </c>
      <c r="AA261" s="315" t="s">
        <v>1435</v>
      </c>
      <c r="AB261" s="315">
        <v>0.36</v>
      </c>
      <c r="AC261" s="315">
        <v>1825</v>
      </c>
      <c r="AD261" s="315">
        <v>1422</v>
      </c>
      <c r="AE261" s="315">
        <v>0.6</v>
      </c>
      <c r="AF261" s="315">
        <v>1.26</v>
      </c>
      <c r="AG261" s="315">
        <v>0.7</v>
      </c>
      <c r="AH261" s="315">
        <v>411</v>
      </c>
    </row>
    <row r="262" spans="1:34">
      <c r="A262" s="315" t="s">
        <v>1562</v>
      </c>
      <c r="B262" s="315" t="s">
        <v>696</v>
      </c>
      <c r="C262" s="316" t="s">
        <v>1563</v>
      </c>
      <c r="D262" s="316" t="s">
        <v>1563</v>
      </c>
      <c r="E262" s="317">
        <v>2.82</v>
      </c>
      <c r="F262" s="317">
        <v>0</v>
      </c>
      <c r="G262" s="317">
        <v>0</v>
      </c>
      <c r="H262" s="317">
        <v>0</v>
      </c>
      <c r="I262" s="318">
        <v>0</v>
      </c>
      <c r="J262" s="318">
        <v>48.872408167902002</v>
      </c>
      <c r="K262" s="319">
        <v>38.657076508573503</v>
      </c>
      <c r="L262" s="319">
        <v>38.657076508573503</v>
      </c>
      <c r="M262" s="319">
        <f t="shared" si="4"/>
        <v>38.657076508573503</v>
      </c>
      <c r="N262" s="317">
        <v>1.0901295575417727</v>
      </c>
      <c r="O262" s="315" t="s">
        <v>1168</v>
      </c>
      <c r="P262" s="318">
        <v>205</v>
      </c>
      <c r="R262" s="320">
        <v>96.111111111111114</v>
      </c>
      <c r="S262" s="318">
        <v>39.9</v>
      </c>
      <c r="T262" s="318">
        <v>300</v>
      </c>
      <c r="U262" s="318">
        <v>342.5</v>
      </c>
      <c r="V262" s="315">
        <v>0.20619999999999997</v>
      </c>
      <c r="W262" s="318">
        <v>25.477959999999999</v>
      </c>
      <c r="X262" s="315">
        <v>2</v>
      </c>
      <c r="Y262" s="315" t="s">
        <v>1154</v>
      </c>
      <c r="Z262" s="315">
        <v>3</v>
      </c>
      <c r="AA262" s="315" t="s">
        <v>1435</v>
      </c>
      <c r="AB262" s="315">
        <v>0</v>
      </c>
      <c r="AC262" s="315">
        <v>1645</v>
      </c>
      <c r="AD262" s="315">
        <v>1210</v>
      </c>
      <c r="AE262" s="315">
        <v>0.7</v>
      </c>
      <c r="AF262" s="315">
        <v>1.26</v>
      </c>
      <c r="AG262" s="315">
        <v>0.46</v>
      </c>
      <c r="AH262" s="315">
        <v>425</v>
      </c>
    </row>
    <row r="263" spans="1:34">
      <c r="A263" s="315" t="s">
        <v>1145</v>
      </c>
      <c r="B263" s="315" t="s">
        <v>696</v>
      </c>
      <c r="C263" s="316" t="s">
        <v>1564</v>
      </c>
      <c r="D263" s="316" t="s">
        <v>1564</v>
      </c>
      <c r="E263" s="317">
        <v>21.16</v>
      </c>
      <c r="F263" s="317">
        <v>8.7253560657224707</v>
      </c>
      <c r="G263" s="317">
        <v>9.3704452831583431</v>
      </c>
      <c r="H263" s="317">
        <v>9.3704452831583431</v>
      </c>
      <c r="I263" s="318">
        <v>44.283767878820143</v>
      </c>
      <c r="J263" s="318">
        <v>51.518320035233501</v>
      </c>
      <c r="K263" s="319">
        <v>38.060597591367703</v>
      </c>
      <c r="L263" s="319">
        <v>-6.2231702874524402</v>
      </c>
      <c r="M263" s="319">
        <f t="shared" si="4"/>
        <v>0</v>
      </c>
      <c r="N263" s="317">
        <v>0</v>
      </c>
      <c r="O263" s="315" t="s">
        <v>1148</v>
      </c>
      <c r="P263" s="318">
        <v>205</v>
      </c>
      <c r="R263" s="320">
        <v>96.111111111111114</v>
      </c>
      <c r="S263" s="318">
        <v>33</v>
      </c>
      <c r="T263" s="318">
        <v>355.4</v>
      </c>
      <c r="U263" s="318">
        <v>240</v>
      </c>
      <c r="V263" s="315">
        <v>0.22</v>
      </c>
      <c r="W263" s="318">
        <v>70</v>
      </c>
      <c r="X263" s="315">
        <v>7</v>
      </c>
      <c r="Y263" s="315" t="s">
        <v>1154</v>
      </c>
      <c r="Z263" s="315">
        <v>3</v>
      </c>
      <c r="AA263" s="315" t="s">
        <v>1435</v>
      </c>
      <c r="AB263" s="315">
        <v>0</v>
      </c>
      <c r="AC263" s="315">
        <v>1600</v>
      </c>
      <c r="AD263" s="315">
        <v>1400</v>
      </c>
      <c r="AE263" s="315">
        <v>0.6</v>
      </c>
      <c r="AF263" s="315">
        <v>1.27</v>
      </c>
      <c r="AG263" s="315">
        <v>0.6</v>
      </c>
      <c r="AH263" s="315">
        <v>350</v>
      </c>
    </row>
    <row r="264" spans="1:34">
      <c r="A264" s="315" t="s">
        <v>1145</v>
      </c>
      <c r="B264" s="315" t="s">
        <v>696</v>
      </c>
      <c r="C264" s="316" t="s">
        <v>1565</v>
      </c>
      <c r="D264" s="316" t="s">
        <v>1565</v>
      </c>
      <c r="E264" s="317">
        <v>22.1</v>
      </c>
      <c r="F264" s="317">
        <v>3.0924784308576978</v>
      </c>
      <c r="G264" s="317">
        <v>3.321113768711617</v>
      </c>
      <c r="H264" s="317">
        <v>3.321113768711617</v>
      </c>
      <c r="I264" s="318">
        <v>15.027664111817272</v>
      </c>
      <c r="J264" s="318">
        <v>56.329308811608001</v>
      </c>
      <c r="K264" s="319">
        <v>40.583728506092001</v>
      </c>
      <c r="L264" s="319">
        <v>25.556064394274728</v>
      </c>
      <c r="M264" s="319">
        <f t="shared" si="4"/>
        <v>25.556064394274728</v>
      </c>
      <c r="N264" s="317">
        <v>5.6478902311347161</v>
      </c>
      <c r="O264" s="315" t="s">
        <v>1148</v>
      </c>
      <c r="P264" s="318">
        <v>205</v>
      </c>
      <c r="R264" s="320">
        <v>96.111111111111114</v>
      </c>
      <c r="S264" s="318">
        <v>34</v>
      </c>
      <c r="T264" s="318">
        <v>314.39999999999998</v>
      </c>
      <c r="U264" s="318">
        <v>146.80000000000001</v>
      </c>
      <c r="V264" s="315">
        <v>0.22</v>
      </c>
      <c r="W264" s="318">
        <v>60</v>
      </c>
      <c r="X264" s="315">
        <v>3</v>
      </c>
      <c r="Y264" s="315" t="s">
        <v>1154</v>
      </c>
      <c r="Z264" s="315">
        <v>2</v>
      </c>
      <c r="AA264" s="315" t="s">
        <v>1435</v>
      </c>
      <c r="AB264" s="315">
        <v>0</v>
      </c>
      <c r="AC264" s="315">
        <v>1650</v>
      </c>
      <c r="AD264" s="315">
        <v>1400</v>
      </c>
      <c r="AE264" s="315">
        <v>0.5</v>
      </c>
      <c r="AF264" s="315">
        <v>1.26</v>
      </c>
      <c r="AG264" s="315">
        <v>0.6</v>
      </c>
      <c r="AH264" s="315">
        <v>350</v>
      </c>
    </row>
    <row r="265" spans="1:34">
      <c r="B265" s="315" t="s">
        <v>696</v>
      </c>
      <c r="C265" s="316" t="s">
        <v>1566</v>
      </c>
      <c r="D265" s="316" t="s">
        <v>1566</v>
      </c>
      <c r="E265" s="317">
        <v>22.1</v>
      </c>
      <c r="F265" s="317">
        <v>3.0924784308576978</v>
      </c>
      <c r="G265" s="317">
        <v>3.321113768711617</v>
      </c>
      <c r="H265" s="317">
        <v>3.321113768711617</v>
      </c>
      <c r="I265" s="318">
        <v>15.027664111817272</v>
      </c>
      <c r="J265" s="318">
        <v>57.790073075332899</v>
      </c>
      <c r="K265" s="319">
        <v>39.938429114772099</v>
      </c>
      <c r="L265" s="319">
        <v>24.910765002954825</v>
      </c>
      <c r="M265" s="319">
        <f t="shared" si="4"/>
        <v>24.910765002954825</v>
      </c>
      <c r="N265" s="317">
        <v>5.5052790656530171</v>
      </c>
      <c r="O265" s="315" t="s">
        <v>1148</v>
      </c>
      <c r="P265" s="318">
        <v>205</v>
      </c>
      <c r="R265" s="320">
        <v>96.111111111111114</v>
      </c>
      <c r="S265" s="318">
        <v>37.130000000000003</v>
      </c>
      <c r="T265" s="318">
        <v>256.8</v>
      </c>
      <c r="U265" s="318">
        <v>148.80000000000001</v>
      </c>
      <c r="V265" s="315">
        <v>0.22</v>
      </c>
      <c r="W265" s="318">
        <v>50</v>
      </c>
      <c r="X265" s="315">
        <v>0</v>
      </c>
      <c r="Y265" s="315" t="s">
        <v>1154</v>
      </c>
      <c r="Z265" s="315">
        <v>7</v>
      </c>
      <c r="AA265" s="315" t="s">
        <v>1435</v>
      </c>
      <c r="AB265" s="315">
        <v>0.14000000000000001</v>
      </c>
      <c r="AC265" s="315">
        <v>1794</v>
      </c>
      <c r="AD265" s="315">
        <v>1384</v>
      </c>
      <c r="AE265" s="315">
        <v>0.5</v>
      </c>
      <c r="AF265" s="315">
        <v>1.27</v>
      </c>
      <c r="AG265" s="315">
        <v>0.78500000000000003</v>
      </c>
      <c r="AH265" s="315">
        <v>328</v>
      </c>
    </row>
    <row r="266" spans="1:34">
      <c r="A266" s="315" t="s">
        <v>1145</v>
      </c>
      <c r="B266" s="315" t="s">
        <v>696</v>
      </c>
      <c r="C266" s="316" t="s">
        <v>1567</v>
      </c>
      <c r="D266" s="316" t="s">
        <v>1567</v>
      </c>
      <c r="E266" s="317">
        <v>27.79</v>
      </c>
      <c r="F266" s="317">
        <v>2.7789230452217093</v>
      </c>
      <c r="G266" s="317">
        <v>2.9848634556324294</v>
      </c>
      <c r="H266" s="317">
        <v>9.3824026283915671</v>
      </c>
      <c r="I266" s="318">
        <v>33.761794272729638</v>
      </c>
      <c r="J266" s="318">
        <v>57.374542578723798</v>
      </c>
      <c r="K266" s="319">
        <v>36.6114099116689</v>
      </c>
      <c r="L266" s="319">
        <v>2.8496156389392624</v>
      </c>
      <c r="M266" s="319">
        <f t="shared" si="4"/>
        <v>2.8496156389392624</v>
      </c>
      <c r="N266" s="317">
        <v>0.79190818606122104</v>
      </c>
      <c r="O266" s="315" t="s">
        <v>1148</v>
      </c>
      <c r="P266" s="318">
        <v>205</v>
      </c>
      <c r="R266" s="320">
        <v>96.111111111111114</v>
      </c>
      <c r="S266" s="318">
        <v>37</v>
      </c>
      <c r="T266" s="318">
        <v>440.8</v>
      </c>
      <c r="U266" s="318">
        <v>108.8</v>
      </c>
      <c r="V266" s="315">
        <v>0.22</v>
      </c>
      <c r="W266" s="318">
        <v>50</v>
      </c>
      <c r="X266" s="315">
        <v>0</v>
      </c>
      <c r="Y266" s="315" t="s">
        <v>1154</v>
      </c>
      <c r="Z266" s="315">
        <v>7</v>
      </c>
      <c r="AA266" s="315" t="s">
        <v>1435</v>
      </c>
      <c r="AB266" s="315">
        <v>0.64</v>
      </c>
      <c r="AC266" s="315">
        <v>1700</v>
      </c>
      <c r="AD266" s="315">
        <v>1350</v>
      </c>
      <c r="AE266" s="315">
        <v>0.5</v>
      </c>
      <c r="AF266" s="315">
        <v>1.26</v>
      </c>
      <c r="AG266" s="315">
        <v>0.7</v>
      </c>
      <c r="AH266" s="315">
        <v>350</v>
      </c>
    </row>
    <row r="267" spans="1:34">
      <c r="A267" s="315" t="s">
        <v>1239</v>
      </c>
      <c r="B267" s="315" t="s">
        <v>696</v>
      </c>
      <c r="C267" s="316" t="s">
        <v>1568</v>
      </c>
      <c r="D267" s="316" t="s">
        <v>1568</v>
      </c>
      <c r="E267" s="317">
        <v>27.79</v>
      </c>
      <c r="F267" s="317">
        <v>2.7789230452217093</v>
      </c>
      <c r="G267" s="317">
        <v>2.9848634556324294</v>
      </c>
      <c r="H267" s="317">
        <v>9.3824026283915671</v>
      </c>
      <c r="I267" s="318">
        <v>33.761794272729638</v>
      </c>
      <c r="J267" s="318">
        <v>51.695728016615902</v>
      </c>
      <c r="K267" s="319">
        <v>38.280572755571804</v>
      </c>
      <c r="L267" s="319">
        <v>4.5187784828421655</v>
      </c>
      <c r="M267" s="319">
        <f t="shared" si="4"/>
        <v>4.5187784828421655</v>
      </c>
      <c r="N267" s="317">
        <v>1.2557685403818377</v>
      </c>
      <c r="O267" s="315" t="s">
        <v>1148</v>
      </c>
      <c r="P267" s="318">
        <v>205</v>
      </c>
      <c r="R267" s="320">
        <v>96.111111111111114</v>
      </c>
      <c r="S267" s="318">
        <v>38</v>
      </c>
      <c r="T267" s="318">
        <v>381.8</v>
      </c>
      <c r="U267" s="318">
        <v>119.4</v>
      </c>
      <c r="V267" s="315">
        <v>0.22</v>
      </c>
      <c r="W267" s="318">
        <v>60</v>
      </c>
      <c r="X267" s="315">
        <v>0</v>
      </c>
      <c r="Y267" s="315" t="s">
        <v>1154</v>
      </c>
      <c r="Z267" s="315">
        <v>7</v>
      </c>
      <c r="AA267" s="315" t="s">
        <v>1435</v>
      </c>
      <c r="AB267" s="315">
        <v>0.5</v>
      </c>
      <c r="AC267" s="315">
        <v>1700</v>
      </c>
      <c r="AD267" s="315">
        <v>1300</v>
      </c>
      <c r="AE267" s="315">
        <v>0.6</v>
      </c>
      <c r="AF267" s="315">
        <v>1.26</v>
      </c>
      <c r="AG267" s="315">
        <v>0.7</v>
      </c>
      <c r="AH267" s="315">
        <v>390</v>
      </c>
    </row>
    <row r="268" spans="1:34">
      <c r="A268" s="315" t="s">
        <v>1569</v>
      </c>
      <c r="B268" s="315" t="s">
        <v>696</v>
      </c>
      <c r="C268" s="316" t="s">
        <v>1570</v>
      </c>
      <c r="D268" s="316" t="s">
        <v>1570</v>
      </c>
      <c r="E268" s="317">
        <v>12.58</v>
      </c>
      <c r="F268" s="317">
        <v>0</v>
      </c>
      <c r="G268" s="317">
        <v>0</v>
      </c>
      <c r="H268" s="317">
        <v>1.31</v>
      </c>
      <c r="I268" s="318">
        <v>10.413354531001589</v>
      </c>
      <c r="J268" s="318">
        <v>52.237509664499797</v>
      </c>
      <c r="K268" s="319">
        <v>38.167742427382301</v>
      </c>
      <c r="L268" s="319">
        <v>27.754387896380713</v>
      </c>
      <c r="M268" s="319">
        <f t="shared" si="4"/>
        <v>27.754387896380713</v>
      </c>
      <c r="N268" s="317">
        <v>3.4915019973646935</v>
      </c>
      <c r="O268" s="315" t="s">
        <v>1168</v>
      </c>
      <c r="P268" s="318">
        <v>205</v>
      </c>
      <c r="R268" s="320">
        <v>96.111111111111114</v>
      </c>
      <c r="S268" s="318">
        <v>38</v>
      </c>
      <c r="T268" s="318">
        <v>350</v>
      </c>
      <c r="U268" s="318">
        <v>120</v>
      </c>
      <c r="V268" s="315">
        <v>0.22</v>
      </c>
      <c r="W268" s="318">
        <v>50</v>
      </c>
      <c r="X268" s="315">
        <v>0</v>
      </c>
      <c r="Y268" s="315" t="s">
        <v>1154</v>
      </c>
      <c r="Z268" s="315">
        <v>7</v>
      </c>
      <c r="AA268" s="315" t="s">
        <v>1435</v>
      </c>
      <c r="AB268" s="315">
        <v>1.2</v>
      </c>
      <c r="AC268" s="315">
        <v>1700</v>
      </c>
      <c r="AD268" s="315">
        <v>1250</v>
      </c>
      <c r="AE268" s="315">
        <v>0.6</v>
      </c>
      <c r="AF268" s="315">
        <v>1.26</v>
      </c>
      <c r="AG268" s="315">
        <v>0.8</v>
      </c>
      <c r="AH268" s="315">
        <v>390</v>
      </c>
    </row>
    <row r="269" spans="1:34">
      <c r="A269" s="315" t="s">
        <v>1571</v>
      </c>
      <c r="B269" s="315" t="s">
        <v>696</v>
      </c>
      <c r="C269" s="316" t="s">
        <v>1572</v>
      </c>
      <c r="D269" s="316" t="s">
        <v>1572</v>
      </c>
      <c r="E269" s="317">
        <v>49.94</v>
      </c>
      <c r="F269" s="317">
        <v>18.748412699730036</v>
      </c>
      <c r="G269" s="317">
        <v>20.134533685314551</v>
      </c>
      <c r="H269" s="317">
        <v>24.495662510727456</v>
      </c>
      <c r="I269" s="318">
        <v>49.050185243747414</v>
      </c>
      <c r="J269" s="318">
        <v>55.841552928803402</v>
      </c>
      <c r="K269" s="319">
        <v>42.8816612228349</v>
      </c>
      <c r="L269" s="319">
        <v>-6.1685240209125141</v>
      </c>
      <c r="M269" s="319">
        <f t="shared" si="4"/>
        <v>0</v>
      </c>
      <c r="N269" s="317">
        <v>0</v>
      </c>
      <c r="O269" s="315" t="s">
        <v>1148</v>
      </c>
      <c r="P269" s="318">
        <v>205</v>
      </c>
      <c r="R269" s="320">
        <v>96.111111111111114</v>
      </c>
      <c r="S269" s="318">
        <v>38.1</v>
      </c>
      <c r="T269" s="318">
        <v>600</v>
      </c>
      <c r="U269" s="318">
        <v>300</v>
      </c>
      <c r="V269" s="315">
        <v>0.27</v>
      </c>
      <c r="W269" s="318">
        <v>83</v>
      </c>
      <c r="X269" s="315">
        <v>11</v>
      </c>
      <c r="Y269" s="315" t="s">
        <v>1154</v>
      </c>
      <c r="Z269" s="315">
        <v>6</v>
      </c>
      <c r="AA269" s="315" t="s">
        <v>1435</v>
      </c>
      <c r="AB269" s="315">
        <v>0.06</v>
      </c>
      <c r="AC269" s="315">
        <v>1797</v>
      </c>
      <c r="AD269" s="315">
        <v>1607</v>
      </c>
      <c r="AE269" s="315">
        <v>0.5</v>
      </c>
      <c r="AF269" s="315">
        <v>1.27</v>
      </c>
      <c r="AG269" s="315">
        <v>0.65</v>
      </c>
      <c r="AH269" s="315">
        <v>441</v>
      </c>
    </row>
    <row r="270" spans="1:34">
      <c r="A270" s="315" t="s">
        <v>1145</v>
      </c>
      <c r="B270" s="315" t="s">
        <v>696</v>
      </c>
      <c r="C270" s="316" t="s">
        <v>1573</v>
      </c>
      <c r="D270" s="316" t="s">
        <v>1573</v>
      </c>
      <c r="E270" s="317">
        <v>43.84</v>
      </c>
      <c r="F270" s="317">
        <v>20.609369801483112</v>
      </c>
      <c r="G270" s="317">
        <v>22.133076425800336</v>
      </c>
      <c r="H270" s="317">
        <v>22.133076425800336</v>
      </c>
      <c r="I270" s="318">
        <v>50.486031993157695</v>
      </c>
      <c r="J270" s="318">
        <v>46.842048799574002</v>
      </c>
      <c r="K270" s="319">
        <v>43.949357759230999</v>
      </c>
      <c r="L270" s="319">
        <v>-6.5366742339266963</v>
      </c>
      <c r="M270" s="319">
        <f t="shared" si="4"/>
        <v>0</v>
      </c>
      <c r="N270" s="317">
        <v>0</v>
      </c>
      <c r="O270" s="315" t="s">
        <v>1148</v>
      </c>
      <c r="P270" s="318">
        <v>205</v>
      </c>
      <c r="R270" s="320">
        <v>96.111111111111114</v>
      </c>
      <c r="S270" s="318">
        <v>39.9</v>
      </c>
      <c r="T270" s="318">
        <v>300</v>
      </c>
      <c r="U270" s="318">
        <v>180</v>
      </c>
      <c r="V270" s="315">
        <v>0.23730000000000001</v>
      </c>
      <c r="W270" s="318">
        <v>90.170231884057955</v>
      </c>
      <c r="X270" s="315">
        <v>4</v>
      </c>
      <c r="Y270" s="315" t="s">
        <v>1154</v>
      </c>
      <c r="Z270" s="315">
        <v>4</v>
      </c>
      <c r="AA270" s="315" t="s">
        <v>1435</v>
      </c>
      <c r="AB270" s="315">
        <v>0</v>
      </c>
      <c r="AC270" s="315">
        <v>1715</v>
      </c>
      <c r="AD270" s="315">
        <v>1245</v>
      </c>
      <c r="AE270" s="315">
        <v>0.7</v>
      </c>
      <c r="AF270" s="315">
        <v>1.26</v>
      </c>
      <c r="AG270" s="315">
        <v>0.46</v>
      </c>
      <c r="AH270" s="315">
        <v>442</v>
      </c>
    </row>
    <row r="271" spans="1:34">
      <c r="A271" s="315" t="s">
        <v>1145</v>
      </c>
      <c r="B271" s="315" t="s">
        <v>696</v>
      </c>
      <c r="C271" s="316" t="s">
        <v>1574</v>
      </c>
      <c r="D271" s="316" t="s">
        <v>1574</v>
      </c>
      <c r="E271" s="317">
        <v>14.29</v>
      </c>
      <c r="F271" s="317">
        <v>3.4306753310823441</v>
      </c>
      <c r="G271" s="317">
        <v>3.6847235574358823</v>
      </c>
      <c r="H271" s="317">
        <v>5.0512013226920587</v>
      </c>
      <c r="I271" s="318">
        <v>35.347804917369203</v>
      </c>
      <c r="J271" s="318">
        <v>49.234486946012296</v>
      </c>
      <c r="K271" s="319">
        <v>42.150706320381495</v>
      </c>
      <c r="L271" s="319">
        <v>6.8029014030122923</v>
      </c>
      <c r="M271" s="319">
        <f t="shared" si="4"/>
        <v>6.8029014030122923</v>
      </c>
      <c r="N271" s="317">
        <v>0.97213461049045646</v>
      </c>
      <c r="O271" s="315" t="s">
        <v>1148</v>
      </c>
      <c r="P271" s="318">
        <v>205</v>
      </c>
      <c r="R271" s="320">
        <v>96.111111111111114</v>
      </c>
      <c r="S271" s="318">
        <v>36</v>
      </c>
      <c r="T271" s="318">
        <v>169</v>
      </c>
      <c r="U271" s="318">
        <v>120</v>
      </c>
      <c r="V271" s="315">
        <v>0.23</v>
      </c>
      <c r="W271" s="318">
        <v>70</v>
      </c>
      <c r="X271" s="315">
        <v>3</v>
      </c>
      <c r="Y271" s="315" t="s">
        <v>1154</v>
      </c>
      <c r="Z271" s="315">
        <v>1</v>
      </c>
      <c r="AA271" s="315" t="s">
        <v>1435</v>
      </c>
      <c r="AB271" s="315">
        <v>0.53</v>
      </c>
      <c r="AC271" s="315">
        <v>1700</v>
      </c>
      <c r="AD271" s="315">
        <v>14000</v>
      </c>
      <c r="AE271" s="315">
        <v>0.7</v>
      </c>
      <c r="AF271" s="315">
        <v>1.27</v>
      </c>
      <c r="AG271" s="315">
        <v>0.9</v>
      </c>
      <c r="AH271" s="315">
        <v>425</v>
      </c>
    </row>
    <row r="272" spans="1:34">
      <c r="A272" s="315" t="s">
        <v>1575</v>
      </c>
      <c r="B272" s="315" t="s">
        <v>696</v>
      </c>
      <c r="C272" s="316" t="s">
        <v>1576</v>
      </c>
      <c r="D272" s="316" t="s">
        <v>1576</v>
      </c>
      <c r="E272" s="317">
        <v>13.1</v>
      </c>
      <c r="F272" s="317">
        <v>0.73432723474795392</v>
      </c>
      <c r="G272" s="317">
        <v>0.78861799759737505</v>
      </c>
      <c r="H272" s="317">
        <v>10.865080648302001</v>
      </c>
      <c r="I272" s="318">
        <v>82.939546933603069</v>
      </c>
      <c r="J272" s="318">
        <v>53.0863914902245</v>
      </c>
      <c r="K272" s="319">
        <v>37.7368173835169</v>
      </c>
      <c r="L272" s="319">
        <v>-45.202729550086168</v>
      </c>
      <c r="M272" s="319">
        <f t="shared" si="4"/>
        <v>0</v>
      </c>
      <c r="N272" s="317">
        <v>0</v>
      </c>
      <c r="O272" s="315" t="s">
        <v>1148</v>
      </c>
      <c r="P272" s="318">
        <v>205</v>
      </c>
      <c r="R272" s="320">
        <v>96.111111111111114</v>
      </c>
      <c r="S272" s="318">
        <v>36</v>
      </c>
      <c r="T272" s="318">
        <v>221.4</v>
      </c>
      <c r="U272" s="318">
        <v>150</v>
      </c>
      <c r="V272" s="315">
        <v>0.23</v>
      </c>
      <c r="W272" s="318">
        <v>60</v>
      </c>
      <c r="X272" s="315">
        <v>3</v>
      </c>
      <c r="Y272" s="315" t="s">
        <v>1149</v>
      </c>
      <c r="Z272" s="315">
        <v>0</v>
      </c>
      <c r="AA272" s="315" t="s">
        <v>1435</v>
      </c>
      <c r="AB272" s="315">
        <v>0.48</v>
      </c>
      <c r="AC272" s="315">
        <v>1700</v>
      </c>
      <c r="AD272" s="315">
        <v>1400</v>
      </c>
      <c r="AE272" s="315">
        <v>0.6</v>
      </c>
      <c r="AF272" s="315">
        <v>1.27</v>
      </c>
      <c r="AG272" s="315">
        <v>0.9</v>
      </c>
      <c r="AH272" s="315">
        <v>400</v>
      </c>
    </row>
    <row r="273" spans="1:34">
      <c r="A273" s="315" t="s">
        <v>1575</v>
      </c>
      <c r="B273" s="315" t="s">
        <v>696</v>
      </c>
      <c r="C273" s="316" t="s">
        <v>1577</v>
      </c>
      <c r="D273" s="316" t="s">
        <v>1577</v>
      </c>
      <c r="E273" s="317">
        <v>3.39</v>
      </c>
      <c r="F273" s="317">
        <v>0</v>
      </c>
      <c r="G273" s="317">
        <v>0</v>
      </c>
      <c r="H273" s="317">
        <v>0</v>
      </c>
      <c r="I273" s="318">
        <v>0</v>
      </c>
      <c r="J273" s="318">
        <v>47.914041783898497</v>
      </c>
      <c r="K273" s="319">
        <v>38.734903315021</v>
      </c>
      <c r="L273" s="319">
        <v>38.734903315021</v>
      </c>
      <c r="M273" s="319">
        <f t="shared" si="4"/>
        <v>38.734903315021</v>
      </c>
      <c r="N273" s="317">
        <v>1.3131132223792119</v>
      </c>
      <c r="O273" s="315" t="s">
        <v>1168</v>
      </c>
      <c r="P273" s="318">
        <v>205</v>
      </c>
      <c r="R273" s="320">
        <v>96.111111111111114</v>
      </c>
      <c r="S273" s="318">
        <v>39.9</v>
      </c>
      <c r="T273" s="318">
        <v>350</v>
      </c>
      <c r="U273" s="318">
        <v>226</v>
      </c>
      <c r="V273" s="315">
        <v>0.21365217391304347</v>
      </c>
      <c r="W273" s="318">
        <v>50.231681818181819</v>
      </c>
      <c r="X273" s="315">
        <v>1</v>
      </c>
      <c r="Y273" s="315" t="s">
        <v>1149</v>
      </c>
      <c r="Z273" s="315">
        <v>0</v>
      </c>
      <c r="AA273" s="315" t="s">
        <v>1435</v>
      </c>
      <c r="AB273" s="315">
        <v>0</v>
      </c>
      <c r="AC273" s="315">
        <v>1780</v>
      </c>
      <c r="AD273" s="315">
        <v>1220</v>
      </c>
      <c r="AE273" s="315">
        <v>0.7</v>
      </c>
      <c r="AF273" s="315">
        <v>1.24</v>
      </c>
      <c r="AG273" s="315">
        <v>0.46</v>
      </c>
      <c r="AH273" s="315">
        <v>456</v>
      </c>
    </row>
    <row r="274" spans="1:34">
      <c r="A274" s="315" t="s">
        <v>1575</v>
      </c>
      <c r="B274" s="315" t="s">
        <v>696</v>
      </c>
      <c r="C274" s="316" t="s">
        <v>1578</v>
      </c>
      <c r="D274" s="316" t="s">
        <v>1578</v>
      </c>
      <c r="E274" s="317">
        <v>1.25</v>
      </c>
      <c r="F274" s="317">
        <v>0</v>
      </c>
      <c r="G274" s="317">
        <v>0</v>
      </c>
      <c r="H274" s="317">
        <v>0</v>
      </c>
      <c r="I274" s="318">
        <v>0</v>
      </c>
      <c r="J274" s="318">
        <v>46.908099661970098</v>
      </c>
      <c r="K274" s="319">
        <v>39.136033915778398</v>
      </c>
      <c r="L274" s="319">
        <v>39.136033915778398</v>
      </c>
      <c r="M274" s="319">
        <f t="shared" si="4"/>
        <v>39.136033915778398</v>
      </c>
      <c r="N274" s="317">
        <v>0.48920042394723001</v>
      </c>
      <c r="O274" s="315" t="s">
        <v>1168</v>
      </c>
      <c r="P274" s="318">
        <v>205</v>
      </c>
      <c r="R274" s="320">
        <v>96.111111111111114</v>
      </c>
      <c r="S274" s="318">
        <v>39.9</v>
      </c>
      <c r="T274" s="318">
        <v>500</v>
      </c>
      <c r="U274" s="318">
        <v>164</v>
      </c>
      <c r="V274" s="315">
        <v>0.21852380952380951</v>
      </c>
      <c r="W274" s="318">
        <v>77.727857142857133</v>
      </c>
      <c r="X274" s="315">
        <v>2</v>
      </c>
      <c r="Y274" s="315" t="s">
        <v>1149</v>
      </c>
      <c r="Z274" s="315">
        <v>0</v>
      </c>
      <c r="AA274" s="315" t="s">
        <v>1435</v>
      </c>
      <c r="AB274" s="315">
        <v>0</v>
      </c>
      <c r="AC274" s="315">
        <v>1815</v>
      </c>
      <c r="AD274" s="315">
        <v>1240</v>
      </c>
      <c r="AE274" s="315">
        <v>0.7</v>
      </c>
      <c r="AF274" s="315">
        <v>1.26</v>
      </c>
      <c r="AG274" s="315">
        <v>0.46</v>
      </c>
      <c r="AH274" s="315">
        <v>456</v>
      </c>
    </row>
    <row r="275" spans="1:34">
      <c r="A275" s="315" t="s">
        <v>1575</v>
      </c>
      <c r="B275" s="315" t="s">
        <v>696</v>
      </c>
      <c r="C275" s="316" t="s">
        <v>1579</v>
      </c>
      <c r="D275" s="316" t="s">
        <v>1579</v>
      </c>
      <c r="E275" s="317">
        <v>5.77</v>
      </c>
      <c r="F275" s="317">
        <v>0</v>
      </c>
      <c r="G275" s="317">
        <v>0</v>
      </c>
      <c r="H275" s="317">
        <v>0</v>
      </c>
      <c r="I275" s="318">
        <v>0</v>
      </c>
      <c r="J275" s="318">
        <v>46.3196986086</v>
      </c>
      <c r="K275" s="319">
        <v>44.428358140808001</v>
      </c>
      <c r="L275" s="319">
        <v>44.428358140808001</v>
      </c>
      <c r="M275" s="319">
        <f t="shared" si="4"/>
        <v>44.428358140808001</v>
      </c>
      <c r="N275" s="317">
        <v>2.5635162647246212</v>
      </c>
      <c r="O275" s="315" t="s">
        <v>1168</v>
      </c>
      <c r="P275" s="318">
        <v>205</v>
      </c>
      <c r="R275" s="320">
        <v>96.111111111111114</v>
      </c>
      <c r="S275" s="318">
        <v>39.9</v>
      </c>
      <c r="T275" s="318">
        <v>300</v>
      </c>
      <c r="U275" s="318">
        <v>73.5</v>
      </c>
      <c r="V275" s="315">
        <v>0.2424705882352941</v>
      </c>
      <c r="W275" s="318">
        <v>83.59258823529413</v>
      </c>
      <c r="X275" s="315">
        <v>2</v>
      </c>
      <c r="Y275" s="315" t="s">
        <v>1149</v>
      </c>
      <c r="Z275" s="315">
        <v>0</v>
      </c>
      <c r="AA275" s="315" t="s">
        <v>1435</v>
      </c>
      <c r="AB275" s="315">
        <v>0</v>
      </c>
      <c r="AC275" s="315">
        <v>1835</v>
      </c>
      <c r="AD275" s="315">
        <v>1276</v>
      </c>
      <c r="AE275" s="315">
        <v>0.7</v>
      </c>
      <c r="AF275" s="315">
        <v>1.26</v>
      </c>
      <c r="AG275" s="315">
        <v>0.46</v>
      </c>
      <c r="AH275" s="315">
        <v>456</v>
      </c>
    </row>
    <row r="276" spans="1:34">
      <c r="A276" s="315" t="s">
        <v>1575</v>
      </c>
      <c r="B276" s="315" t="s">
        <v>696</v>
      </c>
      <c r="C276" s="316" t="s">
        <v>1580</v>
      </c>
      <c r="D276" s="316" t="s">
        <v>1580</v>
      </c>
      <c r="E276" s="317">
        <v>15.41</v>
      </c>
      <c r="F276" s="317">
        <v>4.0999411273116015</v>
      </c>
      <c r="G276" s="317">
        <v>4.4030858193480773</v>
      </c>
      <c r="H276" s="317">
        <v>4.4030858193480773</v>
      </c>
      <c r="I276" s="318">
        <v>28.572912520104332</v>
      </c>
      <c r="J276" s="318">
        <v>47.067388857759703</v>
      </c>
      <c r="K276" s="319">
        <v>43.095486307702501</v>
      </c>
      <c r="L276" s="319">
        <v>14.522573787598169</v>
      </c>
      <c r="M276" s="319">
        <f t="shared" si="4"/>
        <v>14.522573787598169</v>
      </c>
      <c r="N276" s="317">
        <v>2.2379286206688778</v>
      </c>
      <c r="O276" s="315" t="s">
        <v>1148</v>
      </c>
      <c r="P276" s="318">
        <v>205</v>
      </c>
      <c r="R276" s="320">
        <v>96.111111111111114</v>
      </c>
      <c r="S276" s="318">
        <v>39</v>
      </c>
      <c r="T276" s="318">
        <v>719.66666666666663</v>
      </c>
      <c r="U276" s="318">
        <v>158.33333333333334</v>
      </c>
      <c r="V276" s="315">
        <v>0.23</v>
      </c>
      <c r="W276" s="318">
        <v>90</v>
      </c>
      <c r="X276" s="315">
        <v>0</v>
      </c>
      <c r="Y276" s="315" t="s">
        <v>1420</v>
      </c>
      <c r="Z276" s="315">
        <v>3</v>
      </c>
      <c r="AA276" s="315" t="s">
        <v>1435</v>
      </c>
      <c r="AB276" s="315">
        <v>0.24</v>
      </c>
      <c r="AC276" s="315">
        <v>1700</v>
      </c>
      <c r="AD276" s="315">
        <v>1300</v>
      </c>
      <c r="AE276" s="315">
        <v>0.6</v>
      </c>
      <c r="AF276" s="315">
        <v>1.28</v>
      </c>
      <c r="AG276" s="315">
        <v>0.4</v>
      </c>
      <c r="AH276" s="315">
        <v>420</v>
      </c>
    </row>
    <row r="277" spans="1:34">
      <c r="A277" s="315" t="s">
        <v>1575</v>
      </c>
      <c r="B277" s="315" t="s">
        <v>696</v>
      </c>
      <c r="C277" s="316" t="s">
        <v>1581</v>
      </c>
      <c r="D277" s="316" t="s">
        <v>1581</v>
      </c>
      <c r="E277" s="317">
        <v>8.11</v>
      </c>
      <c r="F277" s="317">
        <v>0</v>
      </c>
      <c r="G277" s="317">
        <v>0</v>
      </c>
      <c r="H277" s="317">
        <v>0</v>
      </c>
      <c r="I277" s="318">
        <v>0</v>
      </c>
      <c r="J277" s="318">
        <v>47.592195623819897</v>
      </c>
      <c r="K277" s="319">
        <v>42.785434223035601</v>
      </c>
      <c r="L277" s="319">
        <v>0</v>
      </c>
      <c r="M277" s="319">
        <f t="shared" si="4"/>
        <v>0</v>
      </c>
      <c r="N277" s="317">
        <v>0</v>
      </c>
      <c r="O277" s="315" t="s">
        <v>1148</v>
      </c>
      <c r="P277" s="318">
        <v>205</v>
      </c>
      <c r="R277" s="320">
        <v>96.111111111111114</v>
      </c>
      <c r="S277" s="318">
        <v>40</v>
      </c>
      <c r="T277" s="318">
        <v>386.66666666666669</v>
      </c>
      <c r="U277" s="318">
        <v>158.33333333333334</v>
      </c>
      <c r="V277" s="315">
        <v>0.23</v>
      </c>
      <c r="W277" s="318">
        <v>100</v>
      </c>
      <c r="X277" s="315">
        <v>0</v>
      </c>
      <c r="Y277" s="315" t="s">
        <v>1420</v>
      </c>
      <c r="Z277" s="315">
        <v>3</v>
      </c>
      <c r="AA277" s="315" t="s">
        <v>1435</v>
      </c>
      <c r="AB277" s="315">
        <v>1</v>
      </c>
      <c r="AC277" s="315">
        <v>1700</v>
      </c>
      <c r="AD277" s="315">
        <v>1300</v>
      </c>
      <c r="AE277" s="315">
        <v>0.6</v>
      </c>
      <c r="AF277" s="315">
        <v>1.25</v>
      </c>
      <c r="AG277" s="315">
        <v>0.5</v>
      </c>
      <c r="AH277" s="315">
        <v>420</v>
      </c>
    </row>
    <row r="278" spans="1:34">
      <c r="A278" s="315" t="s">
        <v>1575</v>
      </c>
      <c r="B278" s="315" t="s">
        <v>696</v>
      </c>
      <c r="C278" s="316" t="s">
        <v>1582</v>
      </c>
      <c r="D278" s="316" t="s">
        <v>1582</v>
      </c>
      <c r="E278" s="317">
        <v>19.87</v>
      </c>
      <c r="F278" s="317">
        <v>5.9686161336339572</v>
      </c>
      <c r="G278" s="317">
        <v>6.4098920676151376</v>
      </c>
      <c r="H278" s="317">
        <v>8.179580379552533</v>
      </c>
      <c r="I278" s="318">
        <v>41.16547750152256</v>
      </c>
      <c r="J278" s="318">
        <v>46.655380207120899</v>
      </c>
      <c r="K278" s="319">
        <v>43.6541793673982</v>
      </c>
      <c r="L278" s="319">
        <v>2.4887018658756404</v>
      </c>
      <c r="M278" s="319">
        <f t="shared" si="4"/>
        <v>2.4887018658756404</v>
      </c>
      <c r="N278" s="317">
        <v>0.49450506074948974</v>
      </c>
      <c r="O278" s="315" t="s">
        <v>1148</v>
      </c>
      <c r="P278" s="318">
        <v>205</v>
      </c>
      <c r="R278" s="320">
        <v>96.111111111111114</v>
      </c>
      <c r="S278" s="318">
        <v>39.9</v>
      </c>
      <c r="T278" s="318">
        <v>200</v>
      </c>
      <c r="U278" s="318">
        <v>361.66666666666669</v>
      </c>
      <c r="V278" s="315">
        <v>0.23279166666666659</v>
      </c>
      <c r="W278" s="318">
        <v>119.71695833333331</v>
      </c>
      <c r="X278" s="315">
        <v>4</v>
      </c>
      <c r="Y278" s="315" t="s">
        <v>1154</v>
      </c>
      <c r="Z278" s="315">
        <v>7</v>
      </c>
      <c r="AA278" s="315" t="s">
        <v>1435</v>
      </c>
      <c r="AB278" s="315">
        <v>0</v>
      </c>
      <c r="AC278" s="315">
        <v>1685</v>
      </c>
      <c r="AD278" s="315">
        <v>1200</v>
      </c>
      <c r="AE278" s="315">
        <v>0.7</v>
      </c>
      <c r="AF278" s="315">
        <v>1.27</v>
      </c>
      <c r="AG278" s="315">
        <v>0.46</v>
      </c>
      <c r="AH278" s="315">
        <v>425</v>
      </c>
    </row>
    <row r="279" spans="1:34">
      <c r="A279" s="315" t="s">
        <v>1575</v>
      </c>
      <c r="B279" s="315" t="s">
        <v>696</v>
      </c>
      <c r="C279" s="316" t="s">
        <v>1583</v>
      </c>
      <c r="D279" s="316" t="s">
        <v>1583</v>
      </c>
      <c r="E279" s="317">
        <v>1.57</v>
      </c>
      <c r="F279" s="317">
        <v>0</v>
      </c>
      <c r="G279" s="317">
        <v>0</v>
      </c>
      <c r="H279" s="317">
        <v>0</v>
      </c>
      <c r="I279" s="318">
        <v>0</v>
      </c>
      <c r="J279" s="318">
        <v>39.566902992438798</v>
      </c>
      <c r="K279" s="319">
        <v>46.081340326235697</v>
      </c>
      <c r="L279" s="319">
        <v>46.081340326235697</v>
      </c>
      <c r="M279" s="319">
        <f t="shared" si="4"/>
        <v>46.081340326235697</v>
      </c>
      <c r="N279" s="317">
        <v>0.72347704312190053</v>
      </c>
      <c r="O279" s="315" t="s">
        <v>1168</v>
      </c>
      <c r="P279" s="318">
        <v>205</v>
      </c>
      <c r="R279" s="320">
        <v>96.111111111111114</v>
      </c>
      <c r="S279" s="318">
        <v>39.9</v>
      </c>
      <c r="T279" s="318">
        <v>4234</v>
      </c>
      <c r="U279" s="318">
        <v>20</v>
      </c>
      <c r="V279" s="315">
        <v>0.23851111111111112</v>
      </c>
      <c r="W279" s="318">
        <v>102.22580000000002</v>
      </c>
      <c r="X279" s="315">
        <v>0</v>
      </c>
      <c r="Y279" s="315" t="s">
        <v>1149</v>
      </c>
      <c r="Z279" s="315">
        <v>0</v>
      </c>
      <c r="AA279" s="315" t="s">
        <v>1435</v>
      </c>
      <c r="AB279" s="315">
        <v>18.5</v>
      </c>
      <c r="AC279" s="315">
        <v>1708</v>
      </c>
      <c r="AD279" s="315">
        <v>1152</v>
      </c>
      <c r="AE279" s="315">
        <v>0.7</v>
      </c>
      <c r="AF279" s="315">
        <v>1.2</v>
      </c>
      <c r="AG279" s="315">
        <v>0.46</v>
      </c>
      <c r="AH279" s="315">
        <v>425</v>
      </c>
    </row>
    <row r="280" spans="1:34">
      <c r="A280" s="315" t="s">
        <v>1145</v>
      </c>
      <c r="B280" s="315" t="s">
        <v>696</v>
      </c>
      <c r="C280" s="316" t="s">
        <v>1584</v>
      </c>
      <c r="D280" s="316" t="s">
        <v>1584</v>
      </c>
      <c r="E280" s="317">
        <v>51.17</v>
      </c>
      <c r="F280" s="317">
        <v>16.580530716266459</v>
      </c>
      <c r="G280" s="317">
        <v>17.80688837792135</v>
      </c>
      <c r="H280" s="317">
        <v>17.80688837792135</v>
      </c>
      <c r="I280" s="318">
        <v>34.799469177098594</v>
      </c>
      <c r="J280" s="318">
        <v>57.367195129770103</v>
      </c>
      <c r="K280" s="319">
        <v>37.048815952904505</v>
      </c>
      <c r="L280" s="319">
        <v>2.2493467758059111</v>
      </c>
      <c r="M280" s="319">
        <f t="shared" si="4"/>
        <v>2.2493467758059111</v>
      </c>
      <c r="N280" s="317">
        <v>1.1509907451798849</v>
      </c>
      <c r="O280" s="315" t="s">
        <v>1148</v>
      </c>
      <c r="P280" s="318">
        <v>206</v>
      </c>
      <c r="R280" s="320">
        <v>96.666666666666671</v>
      </c>
      <c r="S280" s="318">
        <v>36.07</v>
      </c>
      <c r="T280" s="318">
        <v>1082</v>
      </c>
      <c r="U280" s="318">
        <v>92.8</v>
      </c>
      <c r="V280" s="315">
        <v>0.25</v>
      </c>
      <c r="W280" s="318">
        <v>59</v>
      </c>
      <c r="X280" s="315">
        <v>14</v>
      </c>
      <c r="Y280" s="315" t="s">
        <v>1154</v>
      </c>
      <c r="Z280" s="315">
        <v>8</v>
      </c>
      <c r="AA280" s="315" t="s">
        <v>1435</v>
      </c>
      <c r="AB280" s="315">
        <v>0</v>
      </c>
      <c r="AC280" s="315">
        <v>1826</v>
      </c>
      <c r="AD280" s="315">
        <v>1714</v>
      </c>
      <c r="AE280" s="315">
        <v>0.5</v>
      </c>
      <c r="AF280" s="315">
        <v>1.27</v>
      </c>
      <c r="AG280" s="315">
        <v>0.86</v>
      </c>
      <c r="AH280" s="315">
        <v>395</v>
      </c>
    </row>
    <row r="281" spans="1:34">
      <c r="A281" s="315" t="s">
        <v>1145</v>
      </c>
      <c r="B281" s="315" t="s">
        <v>696</v>
      </c>
      <c r="C281" s="316" t="s">
        <v>1585</v>
      </c>
      <c r="D281" s="316" t="s">
        <v>1585</v>
      </c>
      <c r="E281" s="317">
        <v>85.168999999999997</v>
      </c>
      <c r="F281" s="317">
        <v>48.693249928143345</v>
      </c>
      <c r="G281" s="317">
        <v>55.85037319104817</v>
      </c>
      <c r="H281" s="317">
        <v>55.85037319104817</v>
      </c>
      <c r="I281" s="318">
        <v>65.575941000890197</v>
      </c>
      <c r="J281" s="318">
        <v>50.388473643446801</v>
      </c>
      <c r="K281" s="319">
        <v>44.766973628785998</v>
      </c>
      <c r="L281" s="319">
        <v>-20.808967372104199</v>
      </c>
      <c r="M281" s="319">
        <f t="shared" si="4"/>
        <v>0</v>
      </c>
      <c r="N281" s="317">
        <v>0</v>
      </c>
      <c r="O281" s="315" t="s">
        <v>1148</v>
      </c>
      <c r="P281" s="318">
        <v>206.6</v>
      </c>
      <c r="R281" s="320">
        <v>97</v>
      </c>
      <c r="S281" s="318">
        <v>33</v>
      </c>
      <c r="T281" s="318">
        <v>200</v>
      </c>
      <c r="U281" s="318">
        <v>328</v>
      </c>
      <c r="V281" s="315">
        <v>0.25</v>
      </c>
      <c r="W281" s="318">
        <v>159</v>
      </c>
      <c r="X281" s="315">
        <v>20</v>
      </c>
      <c r="Y281" s="315" t="s">
        <v>1154</v>
      </c>
      <c r="Z281" s="315">
        <v>9</v>
      </c>
      <c r="AA281" s="315" t="s">
        <v>1435</v>
      </c>
      <c r="AB281" s="315">
        <v>0.11</v>
      </c>
      <c r="AC281" s="315">
        <v>1921</v>
      </c>
      <c r="AD281" s="315">
        <v>1400</v>
      </c>
      <c r="AE281" s="315">
        <v>0.7</v>
      </c>
      <c r="AF281" s="315">
        <v>1.26</v>
      </c>
      <c r="AG281" s="315">
        <v>1.35</v>
      </c>
      <c r="AH281" s="315">
        <v>400</v>
      </c>
    </row>
    <row r="282" spans="1:34">
      <c r="A282" s="315" t="s">
        <v>1145</v>
      </c>
      <c r="B282" s="315" t="s">
        <v>696</v>
      </c>
      <c r="C282" s="316" t="s">
        <v>1586</v>
      </c>
      <c r="D282" s="316" t="s">
        <v>1586</v>
      </c>
      <c r="E282" s="317">
        <v>115.85</v>
      </c>
      <c r="F282" s="317">
        <v>40.910643820562512</v>
      </c>
      <c r="G282" s="317">
        <v>45.54504781153215</v>
      </c>
      <c r="H282" s="317">
        <v>45.54504781153215</v>
      </c>
      <c r="I282" s="318">
        <v>39.313809073398495</v>
      </c>
      <c r="J282" s="318">
        <v>51.087424695045399</v>
      </c>
      <c r="K282" s="319">
        <v>44.617278338283597</v>
      </c>
      <c r="L282" s="319">
        <v>5.3034692648851021</v>
      </c>
      <c r="M282" s="319">
        <f t="shared" si="4"/>
        <v>5.3034692648851021</v>
      </c>
      <c r="N282" s="317">
        <v>6.144069143369391</v>
      </c>
      <c r="O282" s="315" t="s">
        <v>1148</v>
      </c>
      <c r="P282" s="318">
        <v>206.6</v>
      </c>
      <c r="R282" s="320">
        <v>97</v>
      </c>
      <c r="S282" s="318">
        <v>33</v>
      </c>
      <c r="T282" s="318">
        <v>500</v>
      </c>
      <c r="U282" s="318">
        <v>100</v>
      </c>
      <c r="V282" s="315">
        <v>0.24</v>
      </c>
      <c r="W282" s="318">
        <v>100</v>
      </c>
      <c r="X282" s="315">
        <v>15</v>
      </c>
      <c r="Y282" s="315" t="s">
        <v>1154</v>
      </c>
      <c r="Z282" s="315">
        <v>8</v>
      </c>
      <c r="AA282" s="315" t="s">
        <v>1435</v>
      </c>
      <c r="AB282" s="315">
        <v>0.02</v>
      </c>
      <c r="AC282" s="315">
        <v>1914</v>
      </c>
      <c r="AD282" s="315">
        <v>1700</v>
      </c>
      <c r="AE282" s="315">
        <v>0.7</v>
      </c>
      <c r="AF282" s="315">
        <v>1.26</v>
      </c>
      <c r="AG282" s="315">
        <v>1.35</v>
      </c>
      <c r="AH282" s="315">
        <v>450</v>
      </c>
    </row>
    <row r="283" spans="1:34">
      <c r="A283" s="315" t="s">
        <v>1145</v>
      </c>
      <c r="B283" s="315" t="s">
        <v>696</v>
      </c>
      <c r="C283" s="316" t="s">
        <v>1587</v>
      </c>
      <c r="D283" s="316" t="s">
        <v>1587</v>
      </c>
      <c r="E283" s="317">
        <v>8.4</v>
      </c>
      <c r="F283" s="317">
        <v>0</v>
      </c>
      <c r="G283" s="317">
        <v>0</v>
      </c>
      <c r="H283" s="317">
        <v>0</v>
      </c>
      <c r="I283" s="318">
        <v>0</v>
      </c>
      <c r="J283" s="318">
        <v>54.2060279429747</v>
      </c>
      <c r="K283" s="319">
        <v>37.2257492049226</v>
      </c>
      <c r="L283" s="319">
        <v>37.2257492049226</v>
      </c>
      <c r="M283" s="319">
        <f t="shared" si="4"/>
        <v>37.2257492049226</v>
      </c>
      <c r="N283" s="317">
        <v>3.1269629332134983</v>
      </c>
      <c r="O283" s="315" t="s">
        <v>1168</v>
      </c>
      <c r="P283" s="318">
        <v>207</v>
      </c>
      <c r="R283" s="320">
        <v>97.222222222222229</v>
      </c>
      <c r="S283" s="318">
        <v>36.35</v>
      </c>
      <c r="T283" s="318">
        <v>255.5</v>
      </c>
      <c r="U283" s="318">
        <v>124.5</v>
      </c>
      <c r="V283" s="315">
        <v>0.21</v>
      </c>
      <c r="W283" s="318">
        <v>50</v>
      </c>
      <c r="X283" s="315">
        <v>2</v>
      </c>
      <c r="Y283" s="315" t="s">
        <v>1149</v>
      </c>
      <c r="Z283" s="315">
        <v>0</v>
      </c>
      <c r="AA283" s="315" t="s">
        <v>1435</v>
      </c>
      <c r="AB283" s="315">
        <v>0</v>
      </c>
      <c r="AC283" s="315">
        <v>1871</v>
      </c>
      <c r="AD283" s="315">
        <v>1584</v>
      </c>
      <c r="AE283" s="315">
        <v>0.6</v>
      </c>
      <c r="AF283" s="315">
        <v>1.24</v>
      </c>
      <c r="AG283" s="315">
        <v>0.98</v>
      </c>
      <c r="AH283" s="315">
        <v>411</v>
      </c>
    </row>
    <row r="284" spans="1:34">
      <c r="A284" s="315" t="s">
        <v>1575</v>
      </c>
      <c r="B284" s="315" t="s">
        <v>696</v>
      </c>
      <c r="C284" s="316" t="s">
        <v>1588</v>
      </c>
      <c r="D284" s="316" t="s">
        <v>1588</v>
      </c>
      <c r="E284" s="317">
        <v>5.8</v>
      </c>
      <c r="F284" s="317">
        <v>0</v>
      </c>
      <c r="G284" s="317">
        <v>0</v>
      </c>
      <c r="H284" s="317">
        <v>1.1643234877257378</v>
      </c>
      <c r="I284" s="318">
        <v>20.074542891823064</v>
      </c>
      <c r="J284" s="318">
        <v>58.554502947084501</v>
      </c>
      <c r="K284" s="319">
        <v>39.6028750342617</v>
      </c>
      <c r="L284" s="319">
        <v>19.528332142438636</v>
      </c>
      <c r="M284" s="319">
        <f t="shared" si="4"/>
        <v>19.528332142438636</v>
      </c>
      <c r="N284" s="317">
        <v>1.1326432642614408</v>
      </c>
      <c r="O284" s="315" t="s">
        <v>1168</v>
      </c>
      <c r="P284" s="318">
        <v>208.7</v>
      </c>
      <c r="R284" s="320">
        <v>98.166666666666671</v>
      </c>
      <c r="S284" s="318">
        <v>36</v>
      </c>
      <c r="T284" s="318">
        <v>211</v>
      </c>
      <c r="U284" s="318">
        <v>95</v>
      </c>
      <c r="V284" s="315">
        <v>0.2</v>
      </c>
      <c r="W284" s="318">
        <v>40</v>
      </c>
      <c r="X284" s="315">
        <v>0</v>
      </c>
      <c r="Y284" s="315" t="s">
        <v>1149</v>
      </c>
      <c r="Z284" s="315">
        <v>0</v>
      </c>
      <c r="AA284" s="315" t="s">
        <v>1435</v>
      </c>
      <c r="AB284" s="315">
        <v>0</v>
      </c>
      <c r="AC284" s="315">
        <v>1867.9</v>
      </c>
      <c r="AD284" s="315">
        <v>1867.9</v>
      </c>
      <c r="AE284" s="315">
        <v>0.5</v>
      </c>
      <c r="AF284" s="315">
        <v>1.23</v>
      </c>
      <c r="AG284" s="315">
        <v>0.91</v>
      </c>
      <c r="AH284" s="315">
        <v>399</v>
      </c>
    </row>
    <row r="285" spans="1:34">
      <c r="A285" s="315" t="s">
        <v>1575</v>
      </c>
      <c r="B285" s="315" t="s">
        <v>696</v>
      </c>
      <c r="C285" s="316" t="s">
        <v>1589</v>
      </c>
      <c r="D285" s="316" t="s">
        <v>1589</v>
      </c>
      <c r="E285" s="317">
        <v>22.06</v>
      </c>
      <c r="F285" s="317">
        <v>1.4560350620247677</v>
      </c>
      <c r="G285" s="317">
        <v>1.5674040405801188</v>
      </c>
      <c r="H285" s="317">
        <v>1.5674040405801188</v>
      </c>
      <c r="I285" s="318">
        <v>7.1051860407077019</v>
      </c>
      <c r="J285" s="318">
        <v>56.011654546423898</v>
      </c>
      <c r="K285" s="319">
        <v>42.085093254491099</v>
      </c>
      <c r="L285" s="319">
        <v>34.979907213783399</v>
      </c>
      <c r="M285" s="319">
        <f t="shared" si="4"/>
        <v>34.979907213783399</v>
      </c>
      <c r="N285" s="317">
        <v>7.7165675313606181</v>
      </c>
      <c r="O285" s="315" t="s">
        <v>1148</v>
      </c>
      <c r="P285" s="318">
        <v>209</v>
      </c>
      <c r="R285" s="320">
        <v>98.333333333333329</v>
      </c>
      <c r="S285" s="318">
        <v>36</v>
      </c>
      <c r="T285" s="318">
        <v>516</v>
      </c>
      <c r="U285" s="318">
        <v>118.5</v>
      </c>
      <c r="V285" s="315">
        <v>0.21</v>
      </c>
      <c r="W285" s="318">
        <v>80</v>
      </c>
      <c r="X285" s="315">
        <v>5</v>
      </c>
      <c r="Y285" s="315" t="s">
        <v>1149</v>
      </c>
      <c r="Z285" s="315">
        <v>0</v>
      </c>
      <c r="AA285" s="315" t="s">
        <v>1435</v>
      </c>
      <c r="AB285" s="315">
        <v>0</v>
      </c>
      <c r="AC285" s="315">
        <v>1903</v>
      </c>
      <c r="AD285" s="315">
        <v>2794</v>
      </c>
      <c r="AE285" s="315">
        <v>0.5</v>
      </c>
      <c r="AF285" s="315">
        <v>1.24</v>
      </c>
      <c r="AG285" s="315">
        <v>0.8</v>
      </c>
      <c r="AH285" s="315">
        <v>411</v>
      </c>
    </row>
    <row r="286" spans="1:34">
      <c r="A286" s="315" t="s">
        <v>1575</v>
      </c>
      <c r="B286" s="315" t="s">
        <v>696</v>
      </c>
      <c r="C286" s="316" t="s">
        <v>1590</v>
      </c>
      <c r="D286" s="316" t="s">
        <v>1590</v>
      </c>
      <c r="E286" s="317">
        <v>0.5</v>
      </c>
      <c r="F286" s="317">
        <v>1.0575190260890392</v>
      </c>
      <c r="G286" s="317">
        <v>1.1357330635258525</v>
      </c>
      <c r="H286" s="317">
        <v>2.0978152698327999</v>
      </c>
      <c r="I286" s="318">
        <v>419.56305396655995</v>
      </c>
      <c r="J286" s="318">
        <v>57.070625654708898</v>
      </c>
      <c r="K286" s="319">
        <v>40.537103815845697</v>
      </c>
      <c r="L286" s="319">
        <v>-379.02595015071427</v>
      </c>
      <c r="M286" s="319">
        <f t="shared" si="4"/>
        <v>0</v>
      </c>
      <c r="N286" s="317">
        <v>0</v>
      </c>
      <c r="O286" s="315" t="s">
        <v>1148</v>
      </c>
      <c r="P286" s="318">
        <v>209</v>
      </c>
      <c r="R286" s="320">
        <v>98.333333333333329</v>
      </c>
      <c r="S286" s="318">
        <v>36</v>
      </c>
      <c r="T286" s="318">
        <v>217</v>
      </c>
      <c r="U286" s="318">
        <v>104</v>
      </c>
      <c r="V286" s="315">
        <v>0.21</v>
      </c>
      <c r="W286" s="318">
        <v>50</v>
      </c>
      <c r="X286" s="315">
        <v>5</v>
      </c>
      <c r="Y286" s="315" t="s">
        <v>1149</v>
      </c>
      <c r="Z286" s="315">
        <v>0</v>
      </c>
      <c r="AA286" s="315" t="s">
        <v>1435</v>
      </c>
      <c r="AB286" s="315">
        <v>0.03</v>
      </c>
      <c r="AC286" s="315">
        <v>2500</v>
      </c>
      <c r="AD286" s="315">
        <v>2500</v>
      </c>
      <c r="AE286" s="315">
        <v>0.5</v>
      </c>
      <c r="AF286" s="315">
        <v>1.26</v>
      </c>
      <c r="AG286" s="315">
        <v>0.8</v>
      </c>
      <c r="AH286" s="315">
        <v>411</v>
      </c>
    </row>
    <row r="287" spans="1:34">
      <c r="A287" s="315" t="s">
        <v>1145</v>
      </c>
      <c r="B287" s="315" t="s">
        <v>696</v>
      </c>
      <c r="C287" s="316" t="s">
        <v>1591</v>
      </c>
      <c r="D287" s="316" t="s">
        <v>1591</v>
      </c>
      <c r="E287" s="317">
        <v>14.5</v>
      </c>
      <c r="F287" s="317">
        <v>0.56067073193710115</v>
      </c>
      <c r="G287" s="317">
        <v>0.60212262179999687</v>
      </c>
      <c r="H287" s="317">
        <v>0.60212262179999687</v>
      </c>
      <c r="I287" s="318">
        <v>4.1525698055172198</v>
      </c>
      <c r="J287" s="318">
        <v>52.178209089211798</v>
      </c>
      <c r="K287" s="319">
        <v>41.864403809575002</v>
      </c>
      <c r="L287" s="319">
        <v>37.711834004057785</v>
      </c>
      <c r="M287" s="319">
        <f t="shared" si="4"/>
        <v>37.711834004057785</v>
      </c>
      <c r="N287" s="317">
        <v>5.4682159305883795</v>
      </c>
      <c r="O287" s="315" t="s">
        <v>1148</v>
      </c>
      <c r="P287" s="318">
        <v>210</v>
      </c>
      <c r="R287" s="320">
        <v>98.888888888888886</v>
      </c>
      <c r="S287" s="318">
        <v>35</v>
      </c>
      <c r="T287" s="318">
        <v>363.5</v>
      </c>
      <c r="U287" s="318">
        <v>104.5</v>
      </c>
      <c r="V287" s="315">
        <v>0.24</v>
      </c>
      <c r="W287" s="318">
        <v>60</v>
      </c>
      <c r="X287" s="315">
        <v>0</v>
      </c>
      <c r="Y287" s="315" t="s">
        <v>1154</v>
      </c>
      <c r="Z287" s="315">
        <v>1</v>
      </c>
      <c r="AA287" s="315" t="s">
        <v>1435</v>
      </c>
      <c r="AB287" s="315">
        <v>0.35</v>
      </c>
      <c r="AC287" s="315">
        <v>1900</v>
      </c>
      <c r="AD287" s="315">
        <v>1700</v>
      </c>
      <c r="AE287" s="315">
        <v>0.6</v>
      </c>
      <c r="AF287" s="315">
        <v>1.26</v>
      </c>
      <c r="AG287" s="315">
        <v>0.8</v>
      </c>
      <c r="AH287" s="315">
        <v>400</v>
      </c>
    </row>
    <row r="288" spans="1:34">
      <c r="A288" s="315" t="s">
        <v>1145</v>
      </c>
      <c r="B288" s="315" t="s">
        <v>696</v>
      </c>
      <c r="C288" s="316" t="s">
        <v>1592</v>
      </c>
      <c r="D288" s="316" t="s">
        <v>1592</v>
      </c>
      <c r="E288" s="317">
        <v>4.68</v>
      </c>
      <c r="F288" s="317">
        <v>0.53</v>
      </c>
      <c r="G288" s="317">
        <v>0.53</v>
      </c>
      <c r="H288" s="317">
        <v>0.53</v>
      </c>
      <c r="I288" s="318">
        <v>11.324786324786325</v>
      </c>
      <c r="J288" s="318">
        <v>50.866152914297103</v>
      </c>
      <c r="K288" s="319">
        <v>44.221067896931196</v>
      </c>
      <c r="L288" s="319">
        <v>32.896281572144872</v>
      </c>
      <c r="M288" s="319">
        <f t="shared" si="4"/>
        <v>32.896281572144872</v>
      </c>
      <c r="N288" s="317">
        <v>1.5395459775763798</v>
      </c>
      <c r="O288" s="315" t="s">
        <v>1148</v>
      </c>
      <c r="P288" s="318">
        <v>210</v>
      </c>
      <c r="R288" s="320">
        <v>98.888888888888886</v>
      </c>
      <c r="S288" s="318">
        <v>35</v>
      </c>
      <c r="T288" s="318">
        <v>300</v>
      </c>
      <c r="U288" s="318">
        <v>100</v>
      </c>
      <c r="V288" s="315">
        <v>0.25</v>
      </c>
      <c r="W288" s="318">
        <v>86</v>
      </c>
      <c r="X288" s="315">
        <v>1</v>
      </c>
      <c r="Y288" s="315" t="s">
        <v>1149</v>
      </c>
      <c r="Z288" s="315">
        <v>0</v>
      </c>
      <c r="AA288" s="315" t="s">
        <v>1435</v>
      </c>
      <c r="AB288" s="315">
        <v>0</v>
      </c>
      <c r="AC288" s="315">
        <v>1900</v>
      </c>
      <c r="AD288" s="315">
        <v>1600</v>
      </c>
      <c r="AE288" s="315">
        <v>0.6</v>
      </c>
      <c r="AF288" s="315">
        <v>1.26</v>
      </c>
      <c r="AG288" s="315">
        <v>0.7</v>
      </c>
      <c r="AH288" s="315">
        <v>430</v>
      </c>
    </row>
    <row r="289" spans="1:34">
      <c r="A289" s="315" t="s">
        <v>1145</v>
      </c>
      <c r="B289" s="315" t="s">
        <v>696</v>
      </c>
      <c r="C289" s="316" t="s">
        <v>1593</v>
      </c>
      <c r="D289" s="316" t="s">
        <v>1593</v>
      </c>
      <c r="E289" s="317">
        <v>8.83</v>
      </c>
      <c r="F289" s="317">
        <v>0</v>
      </c>
      <c r="G289" s="317">
        <v>0</v>
      </c>
      <c r="H289" s="317">
        <v>2.5595378486630436</v>
      </c>
      <c r="I289" s="318">
        <v>28.986838603205477</v>
      </c>
      <c r="J289" s="318">
        <v>51.626899613278802</v>
      </c>
      <c r="K289" s="319">
        <v>41.993377862537699</v>
      </c>
      <c r="L289" s="319">
        <v>13.006539259332222</v>
      </c>
      <c r="M289" s="319">
        <f t="shared" si="4"/>
        <v>13.006539259332222</v>
      </c>
      <c r="N289" s="317">
        <v>1.1484774165990352</v>
      </c>
      <c r="O289" s="315" t="s">
        <v>1168</v>
      </c>
      <c r="P289" s="318">
        <v>210</v>
      </c>
      <c r="R289" s="320">
        <v>98.888888888888886</v>
      </c>
      <c r="S289" s="318">
        <v>35</v>
      </c>
      <c r="T289" s="318">
        <v>687</v>
      </c>
      <c r="U289" s="318">
        <v>104.5</v>
      </c>
      <c r="V289" s="315">
        <v>0.23</v>
      </c>
      <c r="W289" s="318">
        <v>50</v>
      </c>
      <c r="X289" s="315">
        <v>4</v>
      </c>
      <c r="Y289" s="315" t="s">
        <v>1149</v>
      </c>
      <c r="Z289" s="315">
        <v>0</v>
      </c>
      <c r="AA289" s="315" t="s">
        <v>1435</v>
      </c>
      <c r="AB289" s="315">
        <v>0</v>
      </c>
      <c r="AC289" s="315">
        <v>1900</v>
      </c>
      <c r="AD289" s="315">
        <v>1600</v>
      </c>
      <c r="AE289" s="315">
        <v>0.6</v>
      </c>
      <c r="AF289" s="315">
        <v>1.26</v>
      </c>
      <c r="AG289" s="315">
        <v>0.6</v>
      </c>
      <c r="AH289" s="315">
        <v>425</v>
      </c>
    </row>
    <row r="290" spans="1:34">
      <c r="A290" s="315" t="s">
        <v>1145</v>
      </c>
      <c r="B290" s="315" t="s">
        <v>696</v>
      </c>
      <c r="C290" s="316" t="s">
        <v>1594</v>
      </c>
      <c r="D290" s="316" t="s">
        <v>1594</v>
      </c>
      <c r="E290" s="317">
        <v>0.62</v>
      </c>
      <c r="F290" s="317">
        <v>0</v>
      </c>
      <c r="G290" s="317">
        <v>0</v>
      </c>
      <c r="H290" s="317">
        <v>0</v>
      </c>
      <c r="I290" s="318">
        <v>0</v>
      </c>
      <c r="J290" s="318">
        <v>48.788490394928097</v>
      </c>
      <c r="K290" s="319">
        <v>44.614316007308702</v>
      </c>
      <c r="L290" s="319">
        <v>44.614316007308702</v>
      </c>
      <c r="M290" s="319">
        <f t="shared" si="4"/>
        <v>44.614316007308702</v>
      </c>
      <c r="N290" s="317">
        <v>0.27660875924531397</v>
      </c>
      <c r="O290" s="315" t="s">
        <v>1168</v>
      </c>
      <c r="P290" s="318">
        <v>210</v>
      </c>
      <c r="R290" s="320">
        <v>98.888888888888886</v>
      </c>
      <c r="S290" s="318">
        <v>39</v>
      </c>
      <c r="T290" s="318">
        <v>279.33333333333331</v>
      </c>
      <c r="U290" s="318">
        <v>194.33333333333334</v>
      </c>
      <c r="V290" s="315">
        <v>0.22</v>
      </c>
      <c r="W290" s="318">
        <v>80</v>
      </c>
      <c r="X290" s="315">
        <v>7</v>
      </c>
      <c r="Y290" s="315" t="s">
        <v>1154</v>
      </c>
      <c r="Z290" s="315">
        <v>3</v>
      </c>
      <c r="AA290" s="315" t="s">
        <v>1435</v>
      </c>
      <c r="AB290" s="315">
        <v>0</v>
      </c>
      <c r="AC290" s="315">
        <v>1900</v>
      </c>
      <c r="AD290" s="315">
        <v>1400</v>
      </c>
      <c r="AE290" s="315">
        <v>0.6</v>
      </c>
      <c r="AF290" s="315">
        <v>1.27</v>
      </c>
      <c r="AG290" s="315">
        <v>0.4</v>
      </c>
      <c r="AH290" s="315">
        <v>420</v>
      </c>
    </row>
    <row r="291" spans="1:34">
      <c r="A291" s="315" t="s">
        <v>1145</v>
      </c>
      <c r="B291" s="315" t="s">
        <v>696</v>
      </c>
      <c r="C291" s="316" t="s">
        <v>1595</v>
      </c>
      <c r="D291" s="316" t="s">
        <v>1595</v>
      </c>
      <c r="E291" s="317">
        <v>4.68</v>
      </c>
      <c r="F291" s="317">
        <v>0</v>
      </c>
      <c r="G291" s="317">
        <v>0</v>
      </c>
      <c r="H291" s="317">
        <v>0</v>
      </c>
      <c r="I291" s="318">
        <v>0</v>
      </c>
      <c r="J291" s="318">
        <v>48.710480154932597</v>
      </c>
      <c r="K291" s="319">
        <v>44.611265701318999</v>
      </c>
      <c r="L291" s="319">
        <v>44.611265701318999</v>
      </c>
      <c r="M291" s="319">
        <f t="shared" si="4"/>
        <v>44.611265701318999</v>
      </c>
      <c r="N291" s="317">
        <v>2.0878072348217289</v>
      </c>
      <c r="O291" s="315" t="s">
        <v>1168</v>
      </c>
      <c r="P291" s="318">
        <v>210</v>
      </c>
      <c r="R291" s="320">
        <v>98.888888888888886</v>
      </c>
      <c r="S291" s="318">
        <v>38</v>
      </c>
      <c r="T291" s="318">
        <v>300</v>
      </c>
      <c r="U291" s="318">
        <v>195.66666666666666</v>
      </c>
      <c r="V291" s="315">
        <v>0.22</v>
      </c>
      <c r="W291" s="318">
        <v>70</v>
      </c>
      <c r="X291" s="315">
        <v>3</v>
      </c>
      <c r="Y291" s="315" t="s">
        <v>1149</v>
      </c>
      <c r="Z291" s="315">
        <v>0</v>
      </c>
      <c r="AA291" s="315" t="s">
        <v>1435</v>
      </c>
      <c r="AB291" s="315">
        <v>0.67</v>
      </c>
      <c r="AC291" s="315">
        <v>1900</v>
      </c>
      <c r="AD291" s="315">
        <v>1400</v>
      </c>
      <c r="AE291" s="315">
        <v>0.6</v>
      </c>
      <c r="AF291" s="315">
        <v>1.26</v>
      </c>
      <c r="AG291" s="315">
        <v>0.4</v>
      </c>
      <c r="AH291" s="315">
        <v>420</v>
      </c>
    </row>
    <row r="292" spans="1:34">
      <c r="A292" s="315" t="s">
        <v>1596</v>
      </c>
      <c r="B292" s="315" t="s">
        <v>696</v>
      </c>
      <c r="C292" s="316" t="s">
        <v>1597</v>
      </c>
      <c r="D292" s="316" t="s">
        <v>1597</v>
      </c>
      <c r="E292" s="317">
        <v>5.4</v>
      </c>
      <c r="F292" s="317">
        <v>0</v>
      </c>
      <c r="G292" s="317">
        <v>0</v>
      </c>
      <c r="H292" s="317">
        <v>0.38393230564094283</v>
      </c>
      <c r="I292" s="318">
        <v>7.1098575118693113</v>
      </c>
      <c r="J292" s="318">
        <v>43.166015759203503</v>
      </c>
      <c r="K292" s="319">
        <v>46.078666675226899</v>
      </c>
      <c r="L292" s="319">
        <v>38.968809163357591</v>
      </c>
      <c r="M292" s="319">
        <f t="shared" si="4"/>
        <v>38.968809163357591</v>
      </c>
      <c r="N292" s="317">
        <v>2.10431569482131</v>
      </c>
      <c r="O292" s="315" t="s">
        <v>1168</v>
      </c>
      <c r="P292" s="318">
        <v>210</v>
      </c>
      <c r="R292" s="320">
        <v>98.888888888888886</v>
      </c>
      <c r="S292" s="318">
        <v>38</v>
      </c>
      <c r="T292" s="318">
        <v>282</v>
      </c>
      <c r="U292" s="318">
        <v>158.33333333333334</v>
      </c>
      <c r="V292" s="315">
        <v>0.22</v>
      </c>
      <c r="W292" s="318">
        <v>80</v>
      </c>
      <c r="X292" s="315">
        <v>0</v>
      </c>
      <c r="Y292" s="315" t="s">
        <v>1420</v>
      </c>
      <c r="Z292" s="315">
        <v>3</v>
      </c>
      <c r="AA292" s="315" t="s">
        <v>1435</v>
      </c>
      <c r="AB292" s="315">
        <v>0.2</v>
      </c>
      <c r="AC292" s="315">
        <v>1960</v>
      </c>
      <c r="AD292" s="315">
        <v>1400</v>
      </c>
      <c r="AE292" s="315">
        <v>0.7</v>
      </c>
      <c r="AF292" s="315">
        <v>1.28</v>
      </c>
      <c r="AG292" s="315">
        <v>0.4</v>
      </c>
      <c r="AH292" s="315">
        <v>420</v>
      </c>
    </row>
    <row r="293" spans="1:34">
      <c r="A293" s="315" t="s">
        <v>1598</v>
      </c>
      <c r="B293" s="315" t="s">
        <v>696</v>
      </c>
      <c r="C293" s="316" t="s">
        <v>1599</v>
      </c>
      <c r="D293" s="316" t="s">
        <v>1599</v>
      </c>
      <c r="E293" s="317">
        <v>1.357</v>
      </c>
      <c r="F293" s="317">
        <v>0.21491222723571543</v>
      </c>
      <c r="G293" s="317">
        <v>0.23080127002740256</v>
      </c>
      <c r="H293" s="317">
        <v>0.23080127002740256</v>
      </c>
      <c r="I293" s="318">
        <v>17.008199707251478</v>
      </c>
      <c r="J293" s="318">
        <v>49.044217209022101</v>
      </c>
      <c r="K293" s="319">
        <v>43.665451058983301</v>
      </c>
      <c r="L293" s="319">
        <v>26.657251351731823</v>
      </c>
      <c r="M293" s="319">
        <f t="shared" si="4"/>
        <v>26.657251351731823</v>
      </c>
      <c r="N293" s="317">
        <v>0.36173890084300087</v>
      </c>
      <c r="O293" s="315" t="s">
        <v>1148</v>
      </c>
      <c r="P293" s="318">
        <v>211</v>
      </c>
      <c r="R293" s="320">
        <v>99.444444444444443</v>
      </c>
      <c r="S293" s="318">
        <v>39</v>
      </c>
      <c r="T293" s="318">
        <v>167.33333333333334</v>
      </c>
      <c r="U293" s="318">
        <v>30.333333333333332</v>
      </c>
      <c r="V293" s="315">
        <v>0.21</v>
      </c>
      <c r="W293" s="318">
        <v>100</v>
      </c>
      <c r="X293" s="315">
        <v>4</v>
      </c>
      <c r="Y293" s="315" t="s">
        <v>1154</v>
      </c>
      <c r="Z293" s="315">
        <v>3</v>
      </c>
      <c r="AA293" s="315" t="s">
        <v>1435</v>
      </c>
      <c r="AB293" s="315">
        <v>0.2</v>
      </c>
      <c r="AC293" s="315">
        <v>1909</v>
      </c>
      <c r="AD293" s="315">
        <v>1695</v>
      </c>
      <c r="AE293" s="315">
        <v>0.6</v>
      </c>
      <c r="AF293" s="315">
        <v>1.27</v>
      </c>
      <c r="AG293" s="315">
        <v>0.4</v>
      </c>
      <c r="AH293" s="315">
        <v>420</v>
      </c>
    </row>
    <row r="294" spans="1:34">
      <c r="A294" s="315" t="s">
        <v>1145</v>
      </c>
      <c r="B294" s="315" t="s">
        <v>696</v>
      </c>
      <c r="C294" s="316" t="s">
        <v>1600</v>
      </c>
      <c r="D294" s="316" t="s">
        <v>1600</v>
      </c>
      <c r="E294" s="317">
        <v>1.9</v>
      </c>
      <c r="F294" s="317">
        <v>0</v>
      </c>
      <c r="G294" s="317">
        <v>0</v>
      </c>
      <c r="H294" s="317">
        <v>0.15536306389358456</v>
      </c>
      <c r="I294" s="318">
        <v>8.1770033628202405</v>
      </c>
      <c r="J294" s="318">
        <v>58.257695815051598</v>
      </c>
      <c r="K294" s="319">
        <v>36.522785134556301</v>
      </c>
      <c r="L294" s="319">
        <v>28.345781771736061</v>
      </c>
      <c r="M294" s="319">
        <f t="shared" si="4"/>
        <v>28.345781771736061</v>
      </c>
      <c r="N294" s="317">
        <v>0.53856985366298515</v>
      </c>
      <c r="O294" s="315" t="s">
        <v>1168</v>
      </c>
      <c r="P294" s="318">
        <v>213.9</v>
      </c>
      <c r="R294" s="320">
        <v>101.05555555555556</v>
      </c>
      <c r="S294" s="318">
        <v>36</v>
      </c>
      <c r="T294" s="318">
        <v>250</v>
      </c>
      <c r="U294" s="318">
        <v>52</v>
      </c>
      <c r="V294" s="315">
        <v>0.2</v>
      </c>
      <c r="W294" s="318">
        <v>40</v>
      </c>
      <c r="X294" s="315">
        <v>0</v>
      </c>
      <c r="Y294" s="315" t="s">
        <v>1149</v>
      </c>
      <c r="Z294" s="315">
        <v>0</v>
      </c>
      <c r="AA294" s="315" t="s">
        <v>1435</v>
      </c>
      <c r="AB294" s="315">
        <v>0</v>
      </c>
      <c r="AC294" s="315">
        <v>1947.6</v>
      </c>
      <c r="AD294" s="315">
        <v>1947.6</v>
      </c>
      <c r="AE294" s="315">
        <v>0.5</v>
      </c>
      <c r="AF294" s="315">
        <v>1.24</v>
      </c>
      <c r="AG294" s="315">
        <v>0.88</v>
      </c>
      <c r="AH294" s="315">
        <v>424</v>
      </c>
    </row>
    <row r="295" spans="1:34">
      <c r="A295" s="315" t="s">
        <v>1145</v>
      </c>
      <c r="B295" s="315" t="s">
        <v>696</v>
      </c>
      <c r="C295" s="316" t="s">
        <v>1601</v>
      </c>
      <c r="D295" s="316" t="s">
        <v>1601</v>
      </c>
      <c r="E295" s="317">
        <v>4.7</v>
      </c>
      <c r="F295" s="317">
        <v>0</v>
      </c>
      <c r="G295" s="317">
        <v>0</v>
      </c>
      <c r="H295" s="317">
        <v>0</v>
      </c>
      <c r="I295" s="318">
        <v>0</v>
      </c>
      <c r="J295" s="318">
        <v>58.140344781389103</v>
      </c>
      <c r="K295" s="319">
        <v>36.618446726163299</v>
      </c>
      <c r="L295" s="319">
        <v>36.618446726163299</v>
      </c>
      <c r="M295" s="319">
        <f t="shared" si="4"/>
        <v>36.618446726163299</v>
      </c>
      <c r="N295" s="317">
        <v>1.7210669961296752</v>
      </c>
      <c r="O295" s="315" t="s">
        <v>1168</v>
      </c>
      <c r="P295" s="318">
        <v>214.1</v>
      </c>
      <c r="R295" s="320">
        <v>101.16666666666667</v>
      </c>
      <c r="S295" s="318">
        <v>36</v>
      </c>
      <c r="T295" s="318">
        <v>377</v>
      </c>
      <c r="U295" s="318">
        <v>29</v>
      </c>
      <c r="V295" s="315">
        <v>0.2</v>
      </c>
      <c r="W295" s="318">
        <v>40</v>
      </c>
      <c r="X295" s="315">
        <v>0</v>
      </c>
      <c r="Y295" s="315" t="s">
        <v>1149</v>
      </c>
      <c r="Z295" s="315">
        <v>0</v>
      </c>
      <c r="AA295" s="315" t="s">
        <v>1435</v>
      </c>
      <c r="AB295" s="315">
        <v>0</v>
      </c>
      <c r="AC295" s="315">
        <v>1933.9</v>
      </c>
      <c r="AD295" s="315">
        <v>1933.9</v>
      </c>
      <c r="AE295" s="315">
        <v>0.5</v>
      </c>
      <c r="AF295" s="315">
        <v>1.24</v>
      </c>
      <c r="AG295" s="315">
        <v>0.88</v>
      </c>
      <c r="AH295" s="315">
        <v>421</v>
      </c>
    </row>
    <row r="296" spans="1:34">
      <c r="B296" s="315" t="s">
        <v>696</v>
      </c>
      <c r="C296" s="316" t="s">
        <v>1602</v>
      </c>
      <c r="D296" s="316" t="s">
        <v>1602</v>
      </c>
      <c r="E296" s="317">
        <v>5.0999999999999996</v>
      </c>
      <c r="F296" s="317">
        <v>0</v>
      </c>
      <c r="G296" s="317">
        <v>0</v>
      </c>
      <c r="H296" s="317">
        <v>1.0249536612909054</v>
      </c>
      <c r="I296" s="318">
        <v>20.097130613547165</v>
      </c>
      <c r="J296" s="318">
        <v>66.684477265910203</v>
      </c>
      <c r="K296" s="319">
        <v>36.745316005542001</v>
      </c>
      <c r="L296" s="319">
        <v>16.648185391994836</v>
      </c>
      <c r="M296" s="319">
        <f t="shared" si="4"/>
        <v>16.648185391994836</v>
      </c>
      <c r="N296" s="317">
        <v>0.84905745499173657</v>
      </c>
      <c r="O296" s="315" t="s">
        <v>1168</v>
      </c>
      <c r="P296" s="318">
        <v>216.2</v>
      </c>
      <c r="R296" s="320">
        <v>102.33333333333333</v>
      </c>
      <c r="S296" s="318">
        <v>36</v>
      </c>
      <c r="T296" s="318">
        <v>199</v>
      </c>
      <c r="U296" s="318">
        <v>72</v>
      </c>
      <c r="V296" s="315">
        <v>0.22</v>
      </c>
      <c r="W296" s="318">
        <v>50</v>
      </c>
      <c r="X296" s="315">
        <v>0</v>
      </c>
      <c r="Y296" s="315" t="s">
        <v>1149</v>
      </c>
      <c r="Z296" s="315">
        <v>0</v>
      </c>
      <c r="AA296" s="315" t="s">
        <v>1435</v>
      </c>
      <c r="AB296" s="315">
        <v>0</v>
      </c>
      <c r="AC296" s="315">
        <v>1978.8</v>
      </c>
      <c r="AD296" s="315">
        <v>1978.8</v>
      </c>
      <c r="AE296" s="315">
        <v>0.38</v>
      </c>
      <c r="AF296" s="315">
        <v>1.24</v>
      </c>
      <c r="AG296" s="315">
        <v>0.89</v>
      </c>
      <c r="AH296" s="315">
        <v>429</v>
      </c>
    </row>
    <row r="297" spans="1:34">
      <c r="A297" s="315" t="s">
        <v>1145</v>
      </c>
      <c r="B297" s="315" t="s">
        <v>696</v>
      </c>
      <c r="C297" s="316" t="s">
        <v>1603</v>
      </c>
      <c r="D297" s="316" t="s">
        <v>1603</v>
      </c>
      <c r="E297" s="317">
        <v>5.34</v>
      </c>
      <c r="F297" s="317">
        <v>4.6270513393796762</v>
      </c>
      <c r="G297" s="317">
        <v>4.9691418547016113</v>
      </c>
      <c r="H297" s="317">
        <v>4.9691418547016113</v>
      </c>
      <c r="I297" s="318">
        <v>93.055090912015189</v>
      </c>
      <c r="J297" s="318">
        <v>52.750174115136303</v>
      </c>
      <c r="K297" s="319">
        <v>41.651098265928802</v>
      </c>
      <c r="L297" s="319">
        <v>-51.403992646086387</v>
      </c>
      <c r="M297" s="319">
        <f t="shared" si="4"/>
        <v>0</v>
      </c>
      <c r="N297" s="317">
        <v>0</v>
      </c>
      <c r="O297" s="315" t="s">
        <v>1148</v>
      </c>
      <c r="P297" s="318">
        <v>218</v>
      </c>
      <c r="R297" s="320">
        <v>103.33333333333333</v>
      </c>
      <c r="S297" s="318">
        <v>35</v>
      </c>
      <c r="T297" s="318">
        <v>210.5</v>
      </c>
      <c r="U297" s="318">
        <v>148</v>
      </c>
      <c r="V297" s="315">
        <v>0.22</v>
      </c>
      <c r="W297" s="318">
        <v>50</v>
      </c>
      <c r="X297" s="315">
        <v>3</v>
      </c>
      <c r="Y297" s="315" t="s">
        <v>1149</v>
      </c>
      <c r="Z297" s="315">
        <v>0</v>
      </c>
      <c r="AA297" s="315" t="s">
        <v>1435</v>
      </c>
      <c r="AB297" s="315">
        <v>0</v>
      </c>
      <c r="AC297" s="315">
        <v>1900</v>
      </c>
      <c r="AD297" s="315">
        <v>1700</v>
      </c>
      <c r="AE297" s="315">
        <v>0.6</v>
      </c>
      <c r="AF297" s="315">
        <v>1.26</v>
      </c>
      <c r="AG297" s="315">
        <v>0.8</v>
      </c>
      <c r="AH297" s="315">
        <v>380</v>
      </c>
    </row>
    <row r="298" spans="1:34">
      <c r="A298" s="315" t="s">
        <v>1145</v>
      </c>
      <c r="B298" s="315" t="s">
        <v>696</v>
      </c>
      <c r="C298" s="316" t="s">
        <v>1604</v>
      </c>
      <c r="D298" s="316" t="s">
        <v>1604</v>
      </c>
      <c r="E298" s="317">
        <v>15.32</v>
      </c>
      <c r="F298" s="317">
        <v>2.6342090595458605</v>
      </c>
      <c r="G298" s="317">
        <v>2.8289633326254071</v>
      </c>
      <c r="H298" s="317">
        <v>5.4733210322142627</v>
      </c>
      <c r="I298" s="318">
        <v>35.726638591476913</v>
      </c>
      <c r="J298" s="318">
        <v>52.881692623224097</v>
      </c>
      <c r="K298" s="319">
        <v>41.619233203363102</v>
      </c>
      <c r="L298" s="319">
        <v>5.8925946118861887</v>
      </c>
      <c r="M298" s="319">
        <f t="shared" si="4"/>
        <v>5.8925946118861887</v>
      </c>
      <c r="N298" s="317">
        <v>0.90274549454096409</v>
      </c>
      <c r="O298" s="315" t="s">
        <v>1148</v>
      </c>
      <c r="P298" s="318">
        <v>218</v>
      </c>
      <c r="R298" s="320">
        <v>103.33333333333333</v>
      </c>
      <c r="S298" s="318">
        <v>35.700000000000003</v>
      </c>
      <c r="T298" s="318">
        <v>490.5</v>
      </c>
      <c r="U298" s="318">
        <v>88.5</v>
      </c>
      <c r="V298" s="315">
        <v>0.23</v>
      </c>
      <c r="W298" s="318">
        <v>60</v>
      </c>
      <c r="X298" s="315">
        <v>0</v>
      </c>
      <c r="Y298" s="315" t="s">
        <v>1154</v>
      </c>
      <c r="Z298" s="315">
        <v>1</v>
      </c>
      <c r="AA298" s="315" t="s">
        <v>1435</v>
      </c>
      <c r="AB298" s="315">
        <v>0</v>
      </c>
      <c r="AC298" s="315">
        <v>1912</v>
      </c>
      <c r="AD298" s="315">
        <v>1839</v>
      </c>
      <c r="AE298" s="315">
        <v>0.6</v>
      </c>
      <c r="AF298" s="315">
        <v>1.26</v>
      </c>
      <c r="AG298" s="315">
        <v>0.88100000000000001</v>
      </c>
      <c r="AH298" s="315">
        <v>381</v>
      </c>
    </row>
    <row r="299" spans="1:34">
      <c r="A299" s="315" t="s">
        <v>1145</v>
      </c>
      <c r="B299" s="315" t="s">
        <v>696</v>
      </c>
      <c r="C299" s="316" t="s">
        <v>1605</v>
      </c>
      <c r="D299" s="316" t="s">
        <v>1605</v>
      </c>
      <c r="E299" s="317">
        <v>14.7</v>
      </c>
      <c r="F299" s="317">
        <v>0</v>
      </c>
      <c r="G299" s="317">
        <v>0</v>
      </c>
      <c r="H299" s="317">
        <v>1.21278462230069</v>
      </c>
      <c r="I299" s="318">
        <v>8.2502355258550342</v>
      </c>
      <c r="J299" s="318">
        <v>75.637610676981396</v>
      </c>
      <c r="K299" s="319">
        <v>33.405604815237098</v>
      </c>
      <c r="L299" s="319">
        <v>25.155369289382065</v>
      </c>
      <c r="M299" s="319">
        <f t="shared" si="4"/>
        <v>25.155369289382065</v>
      </c>
      <c r="N299" s="317">
        <v>3.697839285539164</v>
      </c>
      <c r="O299" s="315" t="s">
        <v>1168</v>
      </c>
      <c r="P299" s="318">
        <v>220.4</v>
      </c>
      <c r="R299" s="320">
        <v>104.66666666666667</v>
      </c>
      <c r="S299" s="318">
        <v>36</v>
      </c>
      <c r="T299" s="318">
        <v>401.33333333333331</v>
      </c>
      <c r="U299" s="318">
        <v>100.66666666666667</v>
      </c>
      <c r="V299" s="315">
        <v>0.24</v>
      </c>
      <c r="W299" s="318">
        <v>90</v>
      </c>
      <c r="X299" s="315">
        <v>0</v>
      </c>
      <c r="Y299" s="315" t="s">
        <v>1149</v>
      </c>
      <c r="Z299" s="315">
        <v>0</v>
      </c>
      <c r="AA299" s="315" t="s">
        <v>1435</v>
      </c>
      <c r="AB299" s="315">
        <v>0</v>
      </c>
      <c r="AC299" s="315">
        <v>2016.1</v>
      </c>
      <c r="AD299" s="315">
        <v>2016.1</v>
      </c>
      <c r="AE299" s="315">
        <v>0.23</v>
      </c>
      <c r="AF299" s="315">
        <v>1.24</v>
      </c>
      <c r="AG299" s="315">
        <v>0.89</v>
      </c>
      <c r="AH299" s="315">
        <v>0.434</v>
      </c>
    </row>
    <row r="300" spans="1:34">
      <c r="A300" s="315" t="s">
        <v>1209</v>
      </c>
      <c r="B300" s="315" t="s">
        <v>696</v>
      </c>
      <c r="C300" s="316" t="s">
        <v>1606</v>
      </c>
      <c r="D300" s="316" t="s">
        <v>1606</v>
      </c>
      <c r="E300" s="317">
        <v>18.7</v>
      </c>
      <c r="F300" s="317">
        <v>0</v>
      </c>
      <c r="G300" s="317">
        <v>0</v>
      </c>
      <c r="H300" s="317">
        <v>2.7895586283924949</v>
      </c>
      <c r="I300" s="318">
        <v>14.917425820280721</v>
      </c>
      <c r="J300" s="318">
        <v>59.562251452543798</v>
      </c>
      <c r="K300" s="319">
        <v>41.414145201109797</v>
      </c>
      <c r="L300" s="319">
        <v>26.496719380829077</v>
      </c>
      <c r="M300" s="319">
        <f t="shared" si="4"/>
        <v>26.496719380829077</v>
      </c>
      <c r="N300" s="317">
        <v>4.9548865242150368</v>
      </c>
      <c r="O300" s="315" t="s">
        <v>1168</v>
      </c>
      <c r="P300" s="318">
        <v>224.4</v>
      </c>
      <c r="R300" s="320">
        <v>106.88888888888889</v>
      </c>
      <c r="S300" s="318">
        <v>36</v>
      </c>
      <c r="T300" s="318">
        <v>291</v>
      </c>
      <c r="U300" s="318">
        <v>181</v>
      </c>
      <c r="V300" s="315">
        <v>0.24</v>
      </c>
      <c r="W300" s="318">
        <v>150</v>
      </c>
      <c r="X300" s="315">
        <v>0</v>
      </c>
      <c r="Y300" s="315" t="s">
        <v>1149</v>
      </c>
      <c r="Z300" s="315">
        <v>0</v>
      </c>
      <c r="AA300" s="315" t="s">
        <v>1435</v>
      </c>
      <c r="AB300" s="315">
        <v>0</v>
      </c>
      <c r="AC300" s="315">
        <v>2066.8000000000002</v>
      </c>
      <c r="AD300" s="315">
        <v>1996.7</v>
      </c>
      <c r="AE300" s="315">
        <v>0.43</v>
      </c>
      <c r="AF300" s="315">
        <v>1.26</v>
      </c>
      <c r="AG300" s="315">
        <v>0.84</v>
      </c>
      <c r="AH300" s="315">
        <v>427</v>
      </c>
    </row>
    <row r="301" spans="1:34">
      <c r="A301" s="315" t="s">
        <v>1277</v>
      </c>
      <c r="B301" s="315" t="s">
        <v>696</v>
      </c>
      <c r="C301" s="316" t="s">
        <v>1607</v>
      </c>
      <c r="D301" s="316" t="s">
        <v>1607</v>
      </c>
      <c r="E301" s="317">
        <v>8.98</v>
      </c>
      <c r="F301" s="317">
        <v>0</v>
      </c>
      <c r="G301" s="317">
        <v>0</v>
      </c>
      <c r="H301" s="317">
        <v>0</v>
      </c>
      <c r="I301" s="318">
        <v>0</v>
      </c>
      <c r="J301" s="318">
        <v>56.840588696459903</v>
      </c>
      <c r="K301" s="319">
        <v>40.535936435035502</v>
      </c>
      <c r="L301" s="319">
        <v>40.535936435035502</v>
      </c>
      <c r="M301" s="319">
        <f t="shared" si="4"/>
        <v>40.535936435035502</v>
      </c>
      <c r="N301" s="317">
        <v>3.6401270918661881</v>
      </c>
      <c r="O301" s="315" t="s">
        <v>1168</v>
      </c>
      <c r="P301" s="318">
        <v>225</v>
      </c>
      <c r="R301" s="320">
        <v>107.22222222222223</v>
      </c>
      <c r="S301" s="318">
        <v>36</v>
      </c>
      <c r="T301" s="318">
        <v>212</v>
      </c>
      <c r="U301" s="318">
        <v>239</v>
      </c>
      <c r="V301" s="315">
        <v>0.25</v>
      </c>
      <c r="W301" s="318">
        <v>80</v>
      </c>
      <c r="X301" s="315">
        <v>0</v>
      </c>
      <c r="Y301" s="315" t="s">
        <v>1149</v>
      </c>
      <c r="Z301" s="315">
        <v>0</v>
      </c>
      <c r="AA301" s="315" t="s">
        <v>1435</v>
      </c>
      <c r="AB301" s="315">
        <v>0</v>
      </c>
      <c r="AC301" s="315">
        <v>2100</v>
      </c>
      <c r="AD301" s="315">
        <v>1900</v>
      </c>
      <c r="AE301" s="315">
        <v>0.5</v>
      </c>
      <c r="AF301" s="315">
        <v>1.26</v>
      </c>
      <c r="AG301" s="315">
        <v>0.84</v>
      </c>
      <c r="AH301" s="315">
        <v>420</v>
      </c>
    </row>
    <row r="302" spans="1:34">
      <c r="A302" s="315" t="s">
        <v>1277</v>
      </c>
      <c r="B302" s="315" t="s">
        <v>696</v>
      </c>
      <c r="C302" s="316" t="s">
        <v>1608</v>
      </c>
      <c r="D302" s="316" t="s">
        <v>1608</v>
      </c>
      <c r="E302" s="317">
        <v>6</v>
      </c>
      <c r="F302" s="317">
        <v>0</v>
      </c>
      <c r="G302" s="317">
        <v>0</v>
      </c>
      <c r="H302" s="317">
        <v>0</v>
      </c>
      <c r="I302" s="318">
        <v>0</v>
      </c>
      <c r="J302" s="318">
        <v>0</v>
      </c>
      <c r="K302" s="319">
        <v>0</v>
      </c>
      <c r="L302" s="319">
        <v>0</v>
      </c>
      <c r="M302" s="319">
        <f t="shared" si="4"/>
        <v>0</v>
      </c>
      <c r="N302" s="317">
        <v>0</v>
      </c>
      <c r="O302" s="315" t="s">
        <v>1168</v>
      </c>
      <c r="P302" s="318">
        <v>225</v>
      </c>
      <c r="R302" s="320">
        <v>107.22222222222223</v>
      </c>
      <c r="S302" s="318">
        <v>36</v>
      </c>
      <c r="T302" s="318">
        <v>85</v>
      </c>
      <c r="U302" s="318">
        <v>150</v>
      </c>
      <c r="V302" s="315">
        <v>0.25</v>
      </c>
      <c r="W302" s="318">
        <v>100</v>
      </c>
      <c r="X302" s="315">
        <v>0</v>
      </c>
      <c r="Y302" s="315" t="s">
        <v>1149</v>
      </c>
      <c r="Z302" s="315">
        <v>0</v>
      </c>
      <c r="AA302" s="315" t="s">
        <v>1435</v>
      </c>
      <c r="AB302" s="315">
        <v>0</v>
      </c>
      <c r="AC302" s="315">
        <v>2100</v>
      </c>
      <c r="AD302" s="315">
        <v>1900</v>
      </c>
      <c r="AE302" s="315">
        <v>0.5</v>
      </c>
      <c r="AF302" s="315">
        <v>1.26</v>
      </c>
      <c r="AG302" s="315">
        <v>0.84</v>
      </c>
      <c r="AH302" s="315">
        <v>420</v>
      </c>
    </row>
    <row r="303" spans="1:34">
      <c r="A303" s="315" t="s">
        <v>1145</v>
      </c>
      <c r="B303" s="315" t="s">
        <v>696</v>
      </c>
      <c r="C303" s="316" t="s">
        <v>1609</v>
      </c>
      <c r="D303" s="316" t="s">
        <v>1609</v>
      </c>
      <c r="E303" s="317">
        <v>8.1</v>
      </c>
      <c r="F303" s="317">
        <v>0</v>
      </c>
      <c r="G303" s="317">
        <v>0</v>
      </c>
      <c r="H303" s="317">
        <v>0.67797356180913426</v>
      </c>
      <c r="I303" s="318">
        <v>8.3700439729522742</v>
      </c>
      <c r="J303" s="318">
        <v>73.287054600279106</v>
      </c>
      <c r="K303" s="319">
        <v>34.965140085319405</v>
      </c>
      <c r="L303" s="319">
        <v>26.595096112367131</v>
      </c>
      <c r="M303" s="319">
        <f t="shared" si="4"/>
        <v>26.595096112367131</v>
      </c>
      <c r="N303" s="317">
        <v>2.1542027851017371</v>
      </c>
      <c r="O303" s="315" t="s">
        <v>1168</v>
      </c>
      <c r="P303" s="318">
        <v>229.6</v>
      </c>
      <c r="R303" s="320">
        <v>109.77777777777777</v>
      </c>
      <c r="S303" s="318">
        <v>36</v>
      </c>
      <c r="T303" s="318">
        <v>284.45</v>
      </c>
      <c r="U303" s="318">
        <v>136</v>
      </c>
      <c r="V303" s="315">
        <v>0.24</v>
      </c>
      <c r="W303" s="318">
        <v>200</v>
      </c>
      <c r="X303" s="315">
        <v>0</v>
      </c>
      <c r="Y303" s="315" t="s">
        <v>1149</v>
      </c>
      <c r="Z303" s="315">
        <v>0</v>
      </c>
      <c r="AA303" s="315" t="s">
        <v>1435</v>
      </c>
      <c r="AB303" s="315">
        <v>0</v>
      </c>
      <c r="AC303" s="315">
        <v>2261.1</v>
      </c>
      <c r="AD303" s="315">
        <v>2261.1</v>
      </c>
      <c r="AE303" s="315">
        <v>0.28000000000000003</v>
      </c>
      <c r="AF303" s="315">
        <v>1.27</v>
      </c>
      <c r="AG303" s="315">
        <v>0.8</v>
      </c>
      <c r="AH303" s="315">
        <v>446</v>
      </c>
    </row>
    <row r="304" spans="1:34">
      <c r="A304" s="315" t="s">
        <v>1145</v>
      </c>
      <c r="B304" s="315" t="s">
        <v>1610</v>
      </c>
      <c r="C304" s="344" t="s">
        <v>1611</v>
      </c>
      <c r="D304" s="316" t="s">
        <v>1611</v>
      </c>
      <c r="E304" s="317">
        <v>28.58</v>
      </c>
      <c r="F304" s="317">
        <v>11.605791999999999</v>
      </c>
      <c r="G304" s="317">
        <v>11.605791999999999</v>
      </c>
      <c r="H304" s="317">
        <v>11.605791999999999</v>
      </c>
      <c r="I304" s="318">
        <v>40.608089573128062</v>
      </c>
      <c r="J304" s="318">
        <v>45.375587951553698</v>
      </c>
      <c r="K304" s="319">
        <v>43.398288079265001</v>
      </c>
      <c r="L304" s="319">
        <v>2.7901985061369388</v>
      </c>
      <c r="M304" s="319">
        <f t="shared" si="4"/>
        <v>2.7901985061369388</v>
      </c>
      <c r="N304" s="317">
        <v>0.79743873305393698</v>
      </c>
      <c r="O304" s="315" t="s">
        <v>1148</v>
      </c>
      <c r="P304" s="318">
        <v>180</v>
      </c>
      <c r="R304" s="320">
        <v>82.222222222222229</v>
      </c>
      <c r="S304" s="318">
        <v>35</v>
      </c>
      <c r="T304" s="318">
        <v>65</v>
      </c>
      <c r="U304" s="318">
        <v>137</v>
      </c>
      <c r="V304" s="315">
        <v>0.21</v>
      </c>
      <c r="W304" s="318">
        <v>500</v>
      </c>
      <c r="X304" s="315">
        <v>2</v>
      </c>
      <c r="Y304" s="315" t="s">
        <v>1149</v>
      </c>
      <c r="Z304" s="315">
        <v>0</v>
      </c>
      <c r="AA304" s="315" t="s">
        <v>1157</v>
      </c>
      <c r="AB304" s="315">
        <v>2</v>
      </c>
      <c r="AC304" s="315">
        <v>3075</v>
      </c>
      <c r="AD304" s="315">
        <v>3075</v>
      </c>
      <c r="AE304" s="315">
        <v>0.8</v>
      </c>
      <c r="AF304" s="315">
        <v>1.28</v>
      </c>
      <c r="AG304" s="315">
        <v>0.48</v>
      </c>
      <c r="AH304" s="315">
        <v>570</v>
      </c>
    </row>
    <row r="305" spans="1:34">
      <c r="A305" s="315" t="s">
        <v>1145</v>
      </c>
      <c r="B305" s="315" t="s">
        <v>1610</v>
      </c>
      <c r="C305" s="344" t="s">
        <v>1612</v>
      </c>
      <c r="D305" s="316" t="s">
        <v>1612</v>
      </c>
      <c r="E305" s="317">
        <v>4.71</v>
      </c>
      <c r="F305" s="317">
        <v>1.2435510000000001</v>
      </c>
      <c r="G305" s="317">
        <v>1.2435510000000001</v>
      </c>
      <c r="H305" s="317">
        <v>1.2435510000000001</v>
      </c>
      <c r="I305" s="318">
        <v>26.402356687898092</v>
      </c>
      <c r="J305" s="318">
        <v>45.5732382486947</v>
      </c>
      <c r="K305" s="319">
        <v>43.038739111987802</v>
      </c>
      <c r="L305" s="319">
        <v>16.63638242408971</v>
      </c>
      <c r="M305" s="319">
        <f t="shared" si="4"/>
        <v>16.63638242408971</v>
      </c>
      <c r="N305" s="317">
        <v>0.78357361217462529</v>
      </c>
      <c r="O305" s="315" t="s">
        <v>1148</v>
      </c>
      <c r="P305" s="318">
        <v>180</v>
      </c>
      <c r="R305" s="320">
        <v>82.222222222222229</v>
      </c>
      <c r="S305" s="318">
        <v>35</v>
      </c>
      <c r="T305" s="318">
        <v>48</v>
      </c>
      <c r="U305" s="318">
        <v>137</v>
      </c>
      <c r="V305" s="315">
        <v>0.21</v>
      </c>
      <c r="W305" s="318">
        <v>500</v>
      </c>
      <c r="X305" s="315">
        <v>1</v>
      </c>
      <c r="Y305" s="315" t="s">
        <v>1149</v>
      </c>
      <c r="Z305" s="315">
        <v>0</v>
      </c>
      <c r="AA305" s="315" t="s">
        <v>1157</v>
      </c>
      <c r="AB305" s="315">
        <v>2</v>
      </c>
      <c r="AC305" s="315">
        <v>3075</v>
      </c>
      <c r="AD305" s="315">
        <v>3075</v>
      </c>
      <c r="AE305" s="315">
        <v>0.8</v>
      </c>
      <c r="AF305" s="315">
        <v>1.28</v>
      </c>
      <c r="AG305" s="315">
        <v>0.48</v>
      </c>
      <c r="AH305" s="315">
        <v>570</v>
      </c>
    </row>
    <row r="306" spans="1:34">
      <c r="A306" s="315" t="s">
        <v>1145</v>
      </c>
      <c r="B306" s="315" t="s">
        <v>1610</v>
      </c>
      <c r="C306" s="344" t="s">
        <v>1613</v>
      </c>
      <c r="D306" s="316" t="s">
        <v>1613</v>
      </c>
      <c r="E306" s="317">
        <v>2.92</v>
      </c>
      <c r="F306" s="317">
        <v>1.0206010000000001</v>
      </c>
      <c r="G306" s="317">
        <v>1.0206010000000001</v>
      </c>
      <c r="H306" s="317">
        <v>1.0206010000000001</v>
      </c>
      <c r="I306" s="318">
        <v>34.952089041095896</v>
      </c>
      <c r="J306" s="318">
        <v>45.5732382486947</v>
      </c>
      <c r="K306" s="319">
        <v>43.445525112446397</v>
      </c>
      <c r="L306" s="319">
        <v>8.4934360713505015</v>
      </c>
      <c r="M306" s="319">
        <f t="shared" si="4"/>
        <v>8.4934360713505015</v>
      </c>
      <c r="N306" s="317">
        <v>0.24800833328343466</v>
      </c>
      <c r="O306" s="315" t="s">
        <v>1148</v>
      </c>
      <c r="P306" s="318">
        <v>180</v>
      </c>
      <c r="R306" s="320">
        <v>82.222222222222229</v>
      </c>
      <c r="S306" s="318">
        <v>35</v>
      </c>
      <c r="T306" s="318">
        <v>38</v>
      </c>
      <c r="U306" s="318">
        <v>137</v>
      </c>
      <c r="V306" s="315">
        <v>0.21</v>
      </c>
      <c r="W306" s="318">
        <v>500</v>
      </c>
      <c r="X306" s="315">
        <v>1</v>
      </c>
      <c r="Y306" s="315" t="s">
        <v>1149</v>
      </c>
      <c r="Z306" s="315">
        <v>0</v>
      </c>
      <c r="AA306" s="315" t="s">
        <v>1157</v>
      </c>
      <c r="AB306" s="315">
        <v>2</v>
      </c>
      <c r="AC306" s="315">
        <v>3075</v>
      </c>
      <c r="AD306" s="315">
        <v>3075</v>
      </c>
      <c r="AE306" s="315">
        <v>0.8</v>
      </c>
      <c r="AF306" s="315">
        <v>1.28</v>
      </c>
      <c r="AG306" s="315">
        <v>0.48</v>
      </c>
      <c r="AH306" s="315">
        <v>570</v>
      </c>
    </row>
    <row r="307" spans="1:34">
      <c r="A307" s="315" t="s">
        <v>1145</v>
      </c>
      <c r="B307" s="315" t="s">
        <v>1610</v>
      </c>
      <c r="C307" s="344" t="s">
        <v>1614</v>
      </c>
      <c r="D307" s="316" t="s">
        <v>1614</v>
      </c>
      <c r="E307" s="317">
        <v>0.75</v>
      </c>
      <c r="F307" s="317">
        <v>0</v>
      </c>
      <c r="G307" s="317">
        <v>0</v>
      </c>
      <c r="H307" s="317">
        <v>0</v>
      </c>
      <c r="I307" s="318">
        <v>0</v>
      </c>
      <c r="J307" s="318">
        <v>45.5732382486947</v>
      </c>
      <c r="K307" s="319">
        <v>43.038739111987802</v>
      </c>
      <c r="L307" s="319">
        <v>43.038739111987802</v>
      </c>
      <c r="M307" s="319">
        <f t="shared" si="4"/>
        <v>43.038739111987802</v>
      </c>
      <c r="N307" s="317">
        <v>0.32279054333990853</v>
      </c>
      <c r="O307" s="315" t="s">
        <v>1168</v>
      </c>
      <c r="P307" s="318">
        <v>180</v>
      </c>
      <c r="R307" s="320">
        <v>82.222222222222229</v>
      </c>
      <c r="S307" s="318">
        <v>35</v>
      </c>
      <c r="T307" s="318">
        <v>36</v>
      </c>
      <c r="U307" s="318">
        <v>137</v>
      </c>
      <c r="V307" s="315">
        <v>0.21</v>
      </c>
      <c r="W307" s="318">
        <v>500</v>
      </c>
      <c r="X307" s="315">
        <v>1</v>
      </c>
      <c r="Y307" s="315" t="s">
        <v>1149</v>
      </c>
      <c r="Z307" s="315">
        <v>0</v>
      </c>
      <c r="AA307" s="315" t="s">
        <v>1157</v>
      </c>
      <c r="AB307" s="315">
        <v>2</v>
      </c>
      <c r="AC307" s="315">
        <v>3075</v>
      </c>
      <c r="AD307" s="315">
        <v>3075</v>
      </c>
      <c r="AE307" s="315">
        <v>0.8</v>
      </c>
      <c r="AF307" s="315">
        <v>1.28</v>
      </c>
      <c r="AG307" s="315">
        <v>0.48</v>
      </c>
      <c r="AH307" s="315">
        <v>570</v>
      </c>
    </row>
    <row r="308" spans="1:34">
      <c r="A308" s="315" t="s">
        <v>1615</v>
      </c>
      <c r="B308" s="315" t="s">
        <v>1610</v>
      </c>
      <c r="C308" s="344" t="s">
        <v>1616</v>
      </c>
      <c r="D308" s="316" t="s">
        <v>1616</v>
      </c>
      <c r="E308" s="317">
        <v>202.76</v>
      </c>
      <c r="F308" s="317">
        <v>104.811348</v>
      </c>
      <c r="G308" s="317">
        <v>104.811348</v>
      </c>
      <c r="H308" s="317">
        <v>104.811348</v>
      </c>
      <c r="I308" s="318">
        <v>51.692319984217797</v>
      </c>
      <c r="J308" s="318">
        <v>42.7902029335986</v>
      </c>
      <c r="K308" s="319">
        <v>45.952986214716702</v>
      </c>
      <c r="L308" s="319">
        <v>-5.7393337695010942</v>
      </c>
      <c r="M308" s="319">
        <f t="shared" si="4"/>
        <v>0</v>
      </c>
      <c r="N308" s="317">
        <v>0</v>
      </c>
      <c r="O308" s="315" t="s">
        <v>1148</v>
      </c>
      <c r="P308" s="318">
        <v>180</v>
      </c>
      <c r="R308" s="320">
        <v>82.222222222222229</v>
      </c>
      <c r="S308" s="318">
        <v>35</v>
      </c>
      <c r="T308" s="318">
        <v>488</v>
      </c>
      <c r="U308" s="318">
        <v>137</v>
      </c>
      <c r="V308" s="315">
        <v>0.21</v>
      </c>
      <c r="W308" s="318">
        <v>1000</v>
      </c>
      <c r="X308" s="315">
        <v>9</v>
      </c>
      <c r="Y308" s="315" t="s">
        <v>1440</v>
      </c>
      <c r="Z308" s="315">
        <v>2</v>
      </c>
      <c r="AA308" s="315" t="s">
        <v>1157</v>
      </c>
      <c r="AB308" s="315">
        <v>2</v>
      </c>
      <c r="AC308" s="315">
        <v>3075</v>
      </c>
      <c r="AD308" s="315">
        <v>3075</v>
      </c>
      <c r="AE308" s="315">
        <v>0.8</v>
      </c>
      <c r="AF308" s="315">
        <v>1.28</v>
      </c>
      <c r="AG308" s="315">
        <v>0.48</v>
      </c>
      <c r="AH308" s="315">
        <v>570</v>
      </c>
    </row>
    <row r="309" spans="1:34">
      <c r="A309" s="315" t="s">
        <v>1615</v>
      </c>
      <c r="B309" s="315" t="s">
        <v>1610</v>
      </c>
      <c r="C309" s="344" t="s">
        <v>1617</v>
      </c>
      <c r="D309" s="316" t="s">
        <v>1617</v>
      </c>
      <c r="E309" s="317">
        <v>45.93</v>
      </c>
      <c r="F309" s="317">
        <v>6.7283169999999997</v>
      </c>
      <c r="G309" s="317">
        <v>6.7283169999999997</v>
      </c>
      <c r="H309" s="317">
        <v>6.7283169999999997</v>
      </c>
      <c r="I309" s="318">
        <v>14.649068147180492</v>
      </c>
      <c r="J309" s="318">
        <v>44.306615050333697</v>
      </c>
      <c r="K309" s="319">
        <v>43.954561897268505</v>
      </c>
      <c r="L309" s="319">
        <v>29.305493750088011</v>
      </c>
      <c r="M309" s="319">
        <f t="shared" si="4"/>
        <v>29.305493750088011</v>
      </c>
      <c r="N309" s="317">
        <v>13.460013279415424</v>
      </c>
      <c r="O309" s="315" t="s">
        <v>1148</v>
      </c>
      <c r="P309" s="318">
        <v>180</v>
      </c>
      <c r="R309" s="320">
        <v>82.222222222222229</v>
      </c>
      <c r="S309" s="318">
        <v>35</v>
      </c>
      <c r="T309" s="318">
        <v>360</v>
      </c>
      <c r="U309" s="318">
        <v>137</v>
      </c>
      <c r="V309" s="315">
        <v>0.21</v>
      </c>
      <c r="W309" s="318">
        <v>1000</v>
      </c>
      <c r="X309" s="315">
        <v>4</v>
      </c>
      <c r="Y309" s="315" t="s">
        <v>1149</v>
      </c>
      <c r="Z309" s="315">
        <v>0</v>
      </c>
      <c r="AA309" s="315" t="s">
        <v>1157</v>
      </c>
      <c r="AB309" s="315">
        <v>2</v>
      </c>
      <c r="AC309" s="315">
        <v>3075</v>
      </c>
      <c r="AD309" s="315">
        <v>3075</v>
      </c>
      <c r="AE309" s="315">
        <v>0.8</v>
      </c>
      <c r="AF309" s="315">
        <v>1.28</v>
      </c>
      <c r="AG309" s="315">
        <v>0.48</v>
      </c>
      <c r="AH309" s="315">
        <v>570</v>
      </c>
    </row>
    <row r="310" spans="1:34">
      <c r="A310" s="315" t="s">
        <v>1618</v>
      </c>
      <c r="B310" s="315" t="s">
        <v>1610</v>
      </c>
      <c r="C310" s="344" t="s">
        <v>1619</v>
      </c>
      <c r="D310" s="316" t="s">
        <v>1619</v>
      </c>
      <c r="E310" s="317">
        <v>33.880000000000003</v>
      </c>
      <c r="F310" s="317">
        <v>10.894485</v>
      </c>
      <c r="G310" s="317">
        <v>10.894485</v>
      </c>
      <c r="H310" s="317">
        <v>10.894485</v>
      </c>
      <c r="I310" s="318">
        <v>32.15609504132231</v>
      </c>
      <c r="J310" s="318">
        <v>44.306615050333697</v>
      </c>
      <c r="K310" s="319">
        <v>43.954561897268505</v>
      </c>
      <c r="L310" s="319">
        <v>11.798466855946195</v>
      </c>
      <c r="M310" s="319">
        <f t="shared" si="4"/>
        <v>11.798466855946195</v>
      </c>
      <c r="N310" s="317">
        <v>3.9973205707945714</v>
      </c>
      <c r="O310" s="315" t="s">
        <v>1148</v>
      </c>
      <c r="P310" s="318">
        <v>180</v>
      </c>
      <c r="R310" s="320">
        <v>82.222222222222229</v>
      </c>
      <c r="S310" s="318">
        <v>35</v>
      </c>
      <c r="T310" s="318">
        <v>321</v>
      </c>
      <c r="U310" s="318">
        <v>137</v>
      </c>
      <c r="V310" s="315">
        <v>0.21</v>
      </c>
      <c r="W310" s="318">
        <v>1000</v>
      </c>
      <c r="X310" s="315">
        <v>5</v>
      </c>
      <c r="Y310" s="315" t="s">
        <v>1149</v>
      </c>
      <c r="Z310" s="315">
        <v>0</v>
      </c>
      <c r="AA310" s="315" t="s">
        <v>1157</v>
      </c>
      <c r="AB310" s="315">
        <v>2</v>
      </c>
      <c r="AC310" s="315">
        <v>3075</v>
      </c>
      <c r="AD310" s="315">
        <v>3075</v>
      </c>
      <c r="AE310" s="315">
        <v>0.8</v>
      </c>
      <c r="AF310" s="315">
        <v>1.28</v>
      </c>
      <c r="AG310" s="315">
        <v>0.48</v>
      </c>
      <c r="AH310" s="315">
        <v>570</v>
      </c>
    </row>
    <row r="311" spans="1:34">
      <c r="A311" s="315" t="s">
        <v>1145</v>
      </c>
      <c r="B311" s="315" t="s">
        <v>1610</v>
      </c>
      <c r="C311" s="344" t="s">
        <v>1620</v>
      </c>
      <c r="D311" s="316" t="s">
        <v>1620</v>
      </c>
      <c r="E311" s="317">
        <v>23.95</v>
      </c>
      <c r="F311" s="317">
        <v>2.8388610000000001</v>
      </c>
      <c r="G311" s="317">
        <v>2.8388610000000001</v>
      </c>
      <c r="H311" s="317">
        <v>2.8388610000000001</v>
      </c>
      <c r="I311" s="318">
        <v>11.853281837160752</v>
      </c>
      <c r="J311" s="318">
        <v>44.306615050333697</v>
      </c>
      <c r="K311" s="319">
        <v>43.954561897268505</v>
      </c>
      <c r="L311" s="319">
        <v>32.101280060107754</v>
      </c>
      <c r="M311" s="319">
        <f t="shared" si="4"/>
        <v>32.101280060107754</v>
      </c>
      <c r="N311" s="317">
        <v>7.6882565743958073</v>
      </c>
      <c r="O311" s="315" t="s">
        <v>1148</v>
      </c>
      <c r="P311" s="318">
        <v>180</v>
      </c>
      <c r="R311" s="320">
        <v>82.222222222222229</v>
      </c>
      <c r="S311" s="318">
        <v>35</v>
      </c>
      <c r="T311" s="318">
        <v>342</v>
      </c>
      <c r="U311" s="318">
        <v>137</v>
      </c>
      <c r="V311" s="315">
        <v>0.21</v>
      </c>
      <c r="W311" s="318">
        <v>1000</v>
      </c>
      <c r="X311" s="315">
        <v>2</v>
      </c>
      <c r="Y311" s="315" t="s">
        <v>1149</v>
      </c>
      <c r="Z311" s="315">
        <v>0</v>
      </c>
      <c r="AA311" s="315" t="s">
        <v>1157</v>
      </c>
      <c r="AB311" s="315">
        <v>2</v>
      </c>
      <c r="AC311" s="315">
        <v>3075</v>
      </c>
      <c r="AD311" s="315">
        <v>3075</v>
      </c>
      <c r="AE311" s="315">
        <v>0.8</v>
      </c>
      <c r="AF311" s="315">
        <v>1.28</v>
      </c>
      <c r="AG311" s="315">
        <v>0.48</v>
      </c>
      <c r="AH311" s="315">
        <v>570</v>
      </c>
    </row>
    <row r="312" spans="1:34">
      <c r="A312" s="315" t="s">
        <v>1145</v>
      </c>
      <c r="B312" s="315" t="s">
        <v>1610</v>
      </c>
      <c r="C312" s="344" t="s">
        <v>1621</v>
      </c>
      <c r="D312" s="316" t="s">
        <v>1621</v>
      </c>
      <c r="E312" s="317">
        <v>6.16</v>
      </c>
      <c r="F312" s="317">
        <v>1.2811730000000001</v>
      </c>
      <c r="G312" s="317">
        <v>1.2811730000000001</v>
      </c>
      <c r="H312" s="317">
        <v>1.2811730000000001</v>
      </c>
      <c r="I312" s="318">
        <v>20.79826298701299</v>
      </c>
      <c r="J312" s="318">
        <v>71.459646644162902</v>
      </c>
      <c r="K312" s="319">
        <v>35.740907639910901</v>
      </c>
      <c r="L312" s="319">
        <v>14.942644652897911</v>
      </c>
      <c r="M312" s="319">
        <f t="shared" si="4"/>
        <v>14.942644652897911</v>
      </c>
      <c r="N312" s="317">
        <v>0.92046691061851127</v>
      </c>
      <c r="O312" s="315" t="s">
        <v>1148</v>
      </c>
      <c r="P312" s="318">
        <v>181</v>
      </c>
      <c r="R312" s="320">
        <v>82.777777777777771</v>
      </c>
      <c r="S312" s="318">
        <v>41</v>
      </c>
      <c r="T312" s="318">
        <v>45</v>
      </c>
      <c r="U312" s="318">
        <v>169</v>
      </c>
      <c r="V312" s="315">
        <v>0.21199999999999999</v>
      </c>
      <c r="W312" s="318">
        <v>140</v>
      </c>
      <c r="X312" s="315">
        <v>1</v>
      </c>
      <c r="Y312" s="315" t="s">
        <v>1149</v>
      </c>
      <c r="Z312" s="315">
        <v>0</v>
      </c>
      <c r="AA312" s="315" t="s">
        <v>1157</v>
      </c>
      <c r="AB312" s="315">
        <v>0.2</v>
      </c>
      <c r="AC312" s="315">
        <v>3137</v>
      </c>
      <c r="AD312" s="315">
        <v>3052</v>
      </c>
      <c r="AE312" s="315">
        <v>0.65</v>
      </c>
      <c r="AF312" s="315">
        <v>1.45</v>
      </c>
      <c r="AG312" s="315">
        <v>0.28699999999999998</v>
      </c>
      <c r="AH312" s="315">
        <v>862</v>
      </c>
    </row>
    <row r="313" spans="1:34">
      <c r="A313" s="315" t="s">
        <v>1145</v>
      </c>
      <c r="B313" s="315" t="s">
        <v>1610</v>
      </c>
      <c r="C313" s="344" t="s">
        <v>1622</v>
      </c>
      <c r="D313" s="316" t="s">
        <v>1622</v>
      </c>
      <c r="E313" s="317">
        <v>14.190000000000001</v>
      </c>
      <c r="F313" s="317">
        <v>1.4919889999999998</v>
      </c>
      <c r="G313" s="317">
        <v>1.4919889999999998</v>
      </c>
      <c r="H313" s="317">
        <v>1.4919889999999998</v>
      </c>
      <c r="I313" s="318">
        <v>10.514369274136714</v>
      </c>
      <c r="J313" s="318">
        <v>71.459646644162902</v>
      </c>
      <c r="K313" s="319">
        <v>35.429522752696101</v>
      </c>
      <c r="L313" s="319">
        <v>24.91515347855939</v>
      </c>
      <c r="M313" s="319">
        <f t="shared" si="4"/>
        <v>24.91515347855939</v>
      </c>
      <c r="N313" s="317">
        <v>3.5354602786075779</v>
      </c>
      <c r="O313" s="315" t="s">
        <v>1148</v>
      </c>
      <c r="P313" s="318">
        <v>181</v>
      </c>
      <c r="R313" s="320">
        <v>82.777777777777771</v>
      </c>
      <c r="S313" s="318">
        <v>41</v>
      </c>
      <c r="T313" s="318">
        <v>27</v>
      </c>
      <c r="U313" s="318">
        <v>169</v>
      </c>
      <c r="V313" s="315">
        <v>0.21199999999999999</v>
      </c>
      <c r="W313" s="318">
        <v>140</v>
      </c>
      <c r="X313" s="315">
        <v>1</v>
      </c>
      <c r="Y313" s="315" t="s">
        <v>1149</v>
      </c>
      <c r="Z313" s="315">
        <v>0</v>
      </c>
      <c r="AA313" s="315" t="s">
        <v>1157</v>
      </c>
      <c r="AB313" s="315">
        <v>0.2</v>
      </c>
      <c r="AC313" s="315">
        <v>3137</v>
      </c>
      <c r="AD313" s="315">
        <v>3052</v>
      </c>
      <c r="AE313" s="315">
        <v>0.65</v>
      </c>
      <c r="AF313" s="315">
        <v>1.45</v>
      </c>
      <c r="AG313" s="315">
        <v>0.28699999999999998</v>
      </c>
      <c r="AH313" s="315">
        <v>862</v>
      </c>
    </row>
    <row r="314" spans="1:34">
      <c r="A314" s="315" t="s">
        <v>1145</v>
      </c>
      <c r="B314" s="315" t="s">
        <v>1610</v>
      </c>
      <c r="C314" s="344" t="s">
        <v>1623</v>
      </c>
      <c r="D314" s="316" t="s">
        <v>1623</v>
      </c>
      <c r="E314" s="317">
        <v>5.09</v>
      </c>
      <c r="F314" s="317">
        <v>1.6632830000000001</v>
      </c>
      <c r="G314" s="317">
        <v>1.6632830000000001</v>
      </c>
      <c r="H314" s="317">
        <v>1.6632830000000001</v>
      </c>
      <c r="I314" s="318">
        <v>32.677465618860509</v>
      </c>
      <c r="J314" s="318">
        <v>71.520028419345707</v>
      </c>
      <c r="K314" s="319">
        <v>36.066574682970696</v>
      </c>
      <c r="L314" s="319">
        <v>3.3891090641101869</v>
      </c>
      <c r="M314" s="319">
        <f t="shared" si="4"/>
        <v>3.3891090641101869</v>
      </c>
      <c r="N314" s="317">
        <v>0.17250565136320853</v>
      </c>
      <c r="O314" s="315" t="s">
        <v>1148</v>
      </c>
      <c r="P314" s="318">
        <v>181</v>
      </c>
      <c r="R314" s="320">
        <v>82.777777777777771</v>
      </c>
      <c r="S314" s="318">
        <v>41</v>
      </c>
      <c r="T314" s="318">
        <v>23</v>
      </c>
      <c r="U314" s="318">
        <v>169</v>
      </c>
      <c r="V314" s="315">
        <v>0.21199999999999999</v>
      </c>
      <c r="W314" s="318">
        <v>140</v>
      </c>
      <c r="X314" s="315">
        <v>1</v>
      </c>
      <c r="Y314" s="315" t="s">
        <v>1149</v>
      </c>
      <c r="Z314" s="315">
        <v>0</v>
      </c>
      <c r="AA314" s="315" t="s">
        <v>1157</v>
      </c>
      <c r="AB314" s="315">
        <v>0.2</v>
      </c>
      <c r="AC314" s="315">
        <v>3137</v>
      </c>
      <c r="AD314" s="315">
        <v>3052</v>
      </c>
      <c r="AE314" s="315">
        <v>0.65</v>
      </c>
      <c r="AF314" s="315">
        <v>1.45</v>
      </c>
      <c r="AG314" s="315">
        <v>0.28699999999999998</v>
      </c>
      <c r="AH314" s="315">
        <v>862</v>
      </c>
    </row>
    <row r="315" spans="1:34">
      <c r="A315" s="315" t="s">
        <v>1145</v>
      </c>
      <c r="B315" s="315" t="s">
        <v>1624</v>
      </c>
      <c r="C315" s="344" t="s">
        <v>1625</v>
      </c>
      <c r="D315" s="316" t="s">
        <v>1625</v>
      </c>
      <c r="E315" s="317">
        <v>7.3098295035089658</v>
      </c>
      <c r="F315" s="317">
        <v>2.9711934000000002</v>
      </c>
      <c r="G315" s="317">
        <v>3.0984657000000002</v>
      </c>
      <c r="H315" s="317">
        <v>3.0984657000000002</v>
      </c>
      <c r="I315" s="318">
        <v>42.38766032111463</v>
      </c>
      <c r="J315" s="318">
        <v>51.261623940177401</v>
      </c>
      <c r="K315" s="319">
        <v>44.654791072895001</v>
      </c>
      <c r="L315" s="319">
        <v>2.2671307517803712</v>
      </c>
      <c r="M315" s="319">
        <f t="shared" si="4"/>
        <v>2.2671307517803712</v>
      </c>
      <c r="N315" s="317">
        <v>0.16572339257676619</v>
      </c>
      <c r="O315" s="315" t="s">
        <v>1148</v>
      </c>
      <c r="P315" s="318">
        <v>152.4</v>
      </c>
      <c r="R315" s="320">
        <v>66.888888888888886</v>
      </c>
      <c r="S315" s="318">
        <v>40.1</v>
      </c>
      <c r="T315" s="318">
        <v>56</v>
      </c>
      <c r="U315" s="318">
        <v>157</v>
      </c>
      <c r="V315" s="315">
        <v>0.28999999999999998</v>
      </c>
      <c r="W315" s="318">
        <v>6600</v>
      </c>
      <c r="X315" s="315">
        <v>2</v>
      </c>
      <c r="Y315" s="315" t="s">
        <v>1149</v>
      </c>
      <c r="Z315" s="315">
        <v>0</v>
      </c>
      <c r="AA315" s="315" t="s">
        <v>1157</v>
      </c>
      <c r="AB315" s="315">
        <v>0.03</v>
      </c>
      <c r="AC315" s="315">
        <v>2762.3</v>
      </c>
      <c r="AD315" s="315">
        <v>3344</v>
      </c>
      <c r="AE315" s="315">
        <v>0.51</v>
      </c>
      <c r="AF315" s="315">
        <v>1.3620000000000001</v>
      </c>
      <c r="AG315" s="315">
        <v>0.35</v>
      </c>
      <c r="AH315" s="315">
        <v>670</v>
      </c>
    </row>
    <row r="316" spans="1:34">
      <c r="A316" s="315" t="s">
        <v>1145</v>
      </c>
      <c r="B316" s="315" t="s">
        <v>1624</v>
      </c>
      <c r="C316" s="344" t="s">
        <v>1626</v>
      </c>
      <c r="D316" s="316" t="s">
        <v>1626</v>
      </c>
      <c r="E316" s="317">
        <v>2.9222593445830425</v>
      </c>
      <c r="F316" s="317">
        <v>1.3802057999999999</v>
      </c>
      <c r="G316" s="317">
        <v>1.3802057999999999</v>
      </c>
      <c r="H316" s="317">
        <v>1.3802057999999999</v>
      </c>
      <c r="I316" s="318">
        <v>47.230777191575108</v>
      </c>
      <c r="J316" s="318">
        <v>47.482761912781001</v>
      </c>
      <c r="K316" s="319">
        <v>45.091095087267902</v>
      </c>
      <c r="L316" s="319">
        <v>-2.1396821043072052</v>
      </c>
      <c r="M316" s="319">
        <f t="shared" si="4"/>
        <v>0</v>
      </c>
      <c r="N316" s="317">
        <v>0</v>
      </c>
      <c r="O316" s="315" t="s">
        <v>1148</v>
      </c>
      <c r="P316" s="318">
        <v>172.15200000000002</v>
      </c>
      <c r="R316" s="320">
        <v>77.862222222222229</v>
      </c>
      <c r="S316" s="318">
        <v>40</v>
      </c>
      <c r="T316" s="318">
        <v>31</v>
      </c>
      <c r="U316" s="318">
        <v>95</v>
      </c>
      <c r="V316" s="315">
        <v>0.25</v>
      </c>
      <c r="W316" s="318">
        <v>2000</v>
      </c>
      <c r="X316" s="315">
        <v>2</v>
      </c>
      <c r="Y316" s="315" t="s">
        <v>1149</v>
      </c>
      <c r="Z316" s="315">
        <v>0</v>
      </c>
      <c r="AA316" s="315" t="s">
        <v>1157</v>
      </c>
      <c r="AB316" s="315">
        <v>0.13</v>
      </c>
      <c r="AC316" s="315">
        <v>3114.3</v>
      </c>
      <c r="AD316" s="315">
        <v>3344</v>
      </c>
      <c r="AE316" s="315">
        <v>0.59</v>
      </c>
      <c r="AF316" s="315">
        <v>1.46</v>
      </c>
      <c r="AG316" s="315">
        <v>0.34</v>
      </c>
      <c r="AH316" s="315">
        <v>777</v>
      </c>
    </row>
    <row r="317" spans="1:34">
      <c r="B317" s="315" t="s">
        <v>1624</v>
      </c>
      <c r="C317" s="344" t="s">
        <v>1627</v>
      </c>
      <c r="D317" s="316" t="s">
        <v>1627</v>
      </c>
      <c r="E317" s="317">
        <v>3.2576249070299323</v>
      </c>
      <c r="F317" s="317">
        <v>0</v>
      </c>
      <c r="G317" s="317">
        <v>0.55913310000000005</v>
      </c>
      <c r="H317" s="317">
        <v>0.55913310000000005</v>
      </c>
      <c r="I317" s="318">
        <v>17.163826897117428</v>
      </c>
      <c r="J317" s="318">
        <v>49.681230881313198</v>
      </c>
      <c r="K317" s="319">
        <v>38.895165089143504</v>
      </c>
      <c r="L317" s="319">
        <v>21.731338192026076</v>
      </c>
      <c r="M317" s="319">
        <f t="shared" si="4"/>
        <v>21.731338192026076</v>
      </c>
      <c r="N317" s="317">
        <v>0.70792548557434964</v>
      </c>
      <c r="O317" s="315" t="s">
        <v>1168</v>
      </c>
      <c r="P317" s="318">
        <v>180.48</v>
      </c>
      <c r="R317" s="320">
        <v>82.48888888888888</v>
      </c>
      <c r="S317" s="318">
        <v>39.9</v>
      </c>
      <c r="T317" s="318">
        <v>41</v>
      </c>
      <c r="U317" s="318">
        <v>52</v>
      </c>
      <c r="V317" s="315">
        <v>0.22</v>
      </c>
      <c r="W317" s="318">
        <v>600</v>
      </c>
      <c r="X317" s="315">
        <v>2</v>
      </c>
      <c r="Y317" s="315" t="s">
        <v>1149</v>
      </c>
      <c r="Z317" s="315">
        <v>0</v>
      </c>
      <c r="AA317" s="315" t="s">
        <v>1157</v>
      </c>
      <c r="AB317" s="315">
        <v>0</v>
      </c>
      <c r="AC317" s="315">
        <v>3262.3</v>
      </c>
      <c r="AD317" s="315">
        <v>3344</v>
      </c>
      <c r="AE317" s="315">
        <v>0.56000000000000005</v>
      </c>
      <c r="AF317" s="315">
        <v>1.4370000000000001</v>
      </c>
      <c r="AG317" s="315">
        <v>0.33</v>
      </c>
      <c r="AH317" s="315">
        <v>832</v>
      </c>
    </row>
    <row r="318" spans="1:34">
      <c r="A318" s="315" t="s">
        <v>1145</v>
      </c>
      <c r="B318" s="315" t="s">
        <v>1624</v>
      </c>
      <c r="C318" s="344" t="s">
        <v>1628</v>
      </c>
      <c r="D318" s="316" t="s">
        <v>1628</v>
      </c>
      <c r="E318" s="317">
        <v>0.14559702320999737</v>
      </c>
      <c r="F318" s="317">
        <v>0.13788400000000001</v>
      </c>
      <c r="G318" s="317">
        <v>0.1391878</v>
      </c>
      <c r="H318" s="317">
        <v>0.1391878</v>
      </c>
      <c r="I318" s="318">
        <v>95.59797098272179</v>
      </c>
      <c r="J318" s="318">
        <v>48.005183277037503</v>
      </c>
      <c r="K318" s="319">
        <v>44.160885044207596</v>
      </c>
      <c r="L318" s="319">
        <v>-51.437085938514194</v>
      </c>
      <c r="M318" s="319">
        <f t="shared" si="4"/>
        <v>0</v>
      </c>
      <c r="N318" s="317">
        <v>0</v>
      </c>
      <c r="O318" s="315" t="s">
        <v>1148</v>
      </c>
      <c r="P318" s="318">
        <v>183.21600000000001</v>
      </c>
      <c r="R318" s="320">
        <v>84.00888888888889</v>
      </c>
      <c r="S318" s="318">
        <v>39.9</v>
      </c>
      <c r="T318" s="318">
        <v>14</v>
      </c>
      <c r="U318" s="318">
        <v>54</v>
      </c>
      <c r="V318" s="315">
        <v>0.24</v>
      </c>
      <c r="W318" s="318">
        <v>1000</v>
      </c>
      <c r="X318" s="315">
        <v>1</v>
      </c>
      <c r="Y318" s="315" t="s">
        <v>1149</v>
      </c>
      <c r="Z318" s="315">
        <v>0</v>
      </c>
      <c r="AA318" s="315" t="s">
        <v>1157</v>
      </c>
      <c r="AB318" s="315">
        <v>0.02</v>
      </c>
      <c r="AC318" s="315">
        <v>3329.3</v>
      </c>
      <c r="AD318" s="315">
        <v>3344</v>
      </c>
      <c r="AE318" s="315">
        <v>0.63</v>
      </c>
      <c r="AF318" s="315">
        <v>1.4430000000000001</v>
      </c>
      <c r="AG318" s="315">
        <v>0.33</v>
      </c>
      <c r="AH318" s="315">
        <v>840</v>
      </c>
    </row>
    <row r="319" spans="1:34">
      <c r="A319" s="315" t="s">
        <v>1145</v>
      </c>
      <c r="B319" s="315" t="s">
        <v>1624</v>
      </c>
      <c r="C319" s="344" t="s">
        <v>1629</v>
      </c>
      <c r="D319" s="316" t="s">
        <v>1629</v>
      </c>
      <c r="E319" s="317">
        <v>5.170685470169599</v>
      </c>
      <c r="F319" s="317">
        <v>1.2370683</v>
      </c>
      <c r="G319" s="317">
        <v>1.5092732</v>
      </c>
      <c r="H319" s="317">
        <v>1.5628815542272725</v>
      </c>
      <c r="I319" s="318">
        <v>30.225809774037749</v>
      </c>
      <c r="J319" s="318">
        <v>47.234096304432903</v>
      </c>
      <c r="K319" s="319">
        <v>44.499612827671399</v>
      </c>
      <c r="L319" s="319">
        <v>14.27380305363365</v>
      </c>
      <c r="M319" s="319">
        <f t="shared" si="4"/>
        <v>14.27380305363365</v>
      </c>
      <c r="N319" s="317">
        <v>0.73805346053485965</v>
      </c>
      <c r="O319" s="315" t="s">
        <v>1148</v>
      </c>
      <c r="P319" s="318">
        <v>184.24799999999999</v>
      </c>
      <c r="R319" s="320">
        <v>84.582222222222228</v>
      </c>
      <c r="S319" s="318">
        <v>39.9</v>
      </c>
      <c r="T319" s="318">
        <v>16</v>
      </c>
      <c r="U319" s="318">
        <v>87</v>
      </c>
      <c r="V319" s="315">
        <v>0.22</v>
      </c>
      <c r="W319" s="318">
        <v>750</v>
      </c>
      <c r="X319" s="315">
        <v>5</v>
      </c>
      <c r="Y319" s="315" t="s">
        <v>1149</v>
      </c>
      <c r="Z319" s="315">
        <v>0</v>
      </c>
      <c r="AA319" s="315" t="s">
        <v>1157</v>
      </c>
      <c r="AB319" s="315">
        <v>0.04</v>
      </c>
      <c r="AC319" s="315">
        <v>3329.3</v>
      </c>
      <c r="AD319" s="315">
        <v>3344</v>
      </c>
      <c r="AE319" s="315">
        <v>0.63</v>
      </c>
      <c r="AF319" s="315">
        <v>1.4430000000000001</v>
      </c>
      <c r="AG319" s="315">
        <v>0.33</v>
      </c>
      <c r="AH319" s="315">
        <v>840</v>
      </c>
    </row>
    <row r="320" spans="1:34">
      <c r="A320" s="315" t="s">
        <v>1145</v>
      </c>
      <c r="B320" s="315" t="s">
        <v>1624</v>
      </c>
      <c r="C320" s="344" t="s">
        <v>1630</v>
      </c>
      <c r="D320" s="316" t="s">
        <v>1630</v>
      </c>
      <c r="E320" s="317">
        <v>0.33405056494679136</v>
      </c>
      <c r="F320" s="317">
        <v>0.13404170000000001</v>
      </c>
      <c r="G320" s="317">
        <v>0.13530040000000002</v>
      </c>
      <c r="H320" s="317">
        <v>0.13530040000000002</v>
      </c>
      <c r="I320" s="318">
        <v>40.502969968498959</v>
      </c>
      <c r="J320" s="318">
        <v>60.440327725601101</v>
      </c>
      <c r="K320" s="319">
        <v>40.834400988163097</v>
      </c>
      <c r="L320" s="319">
        <v>0.33143101966413724</v>
      </c>
      <c r="M320" s="319">
        <f t="shared" si="4"/>
        <v>0.33143101966413724</v>
      </c>
      <c r="N320" s="317">
        <v>1.1071471935969615E-3</v>
      </c>
      <c r="O320" s="315" t="s">
        <v>1148</v>
      </c>
      <c r="P320" s="318">
        <v>184.8</v>
      </c>
      <c r="R320" s="320">
        <v>84.888888888888886</v>
      </c>
      <c r="S320" s="318">
        <v>39.9</v>
      </c>
      <c r="T320" s="318">
        <v>17</v>
      </c>
      <c r="U320" s="318">
        <v>52</v>
      </c>
      <c r="V320" s="315">
        <v>0.22</v>
      </c>
      <c r="W320" s="318">
        <v>800</v>
      </c>
      <c r="X320" s="315">
        <v>1</v>
      </c>
      <c r="Y320" s="315" t="s">
        <v>1149</v>
      </c>
      <c r="Z320" s="315">
        <v>0</v>
      </c>
      <c r="AA320" s="315" t="s">
        <v>1157</v>
      </c>
      <c r="AB320" s="315">
        <v>0.02</v>
      </c>
      <c r="AC320" s="315">
        <v>3343.3</v>
      </c>
      <c r="AD320" s="315">
        <v>3344</v>
      </c>
      <c r="AE320" s="315">
        <v>0.4</v>
      </c>
      <c r="AF320" s="315">
        <v>1.1447000000000001</v>
      </c>
      <c r="AG320" s="315">
        <v>0.33</v>
      </c>
      <c r="AH320" s="315">
        <v>851</v>
      </c>
    </row>
    <row r="321" spans="1:34">
      <c r="A321" s="315" t="s">
        <v>1145</v>
      </c>
      <c r="B321" s="315" t="s">
        <v>1624</v>
      </c>
      <c r="C321" s="344" t="s">
        <v>1631</v>
      </c>
      <c r="D321" s="316" t="s">
        <v>1631</v>
      </c>
      <c r="E321" s="317">
        <v>0.35148303180646723</v>
      </c>
      <c r="F321" s="317">
        <v>7.2786000000000003E-2</v>
      </c>
      <c r="G321" s="317">
        <v>8.3272800000000008E-2</v>
      </c>
      <c r="H321" s="317">
        <v>0.40492292536363561</v>
      </c>
      <c r="I321" s="318">
        <v>115.20411761629316</v>
      </c>
      <c r="J321" s="318">
        <v>60.372133259761902</v>
      </c>
      <c r="K321" s="319">
        <v>40.859535313983194</v>
      </c>
      <c r="L321" s="319">
        <v>-74.344582302309959</v>
      </c>
      <c r="M321" s="319">
        <f t="shared" si="4"/>
        <v>0</v>
      </c>
      <c r="N321" s="317">
        <v>0</v>
      </c>
      <c r="O321" s="315" t="s">
        <v>1148</v>
      </c>
      <c r="P321" s="318">
        <v>184.8</v>
      </c>
      <c r="R321" s="320">
        <v>84.888888888888886</v>
      </c>
      <c r="S321" s="318">
        <v>39.9</v>
      </c>
      <c r="T321" s="318">
        <v>18</v>
      </c>
      <c r="U321" s="318">
        <v>15</v>
      </c>
      <c r="V321" s="315">
        <v>0.2</v>
      </c>
      <c r="W321" s="318">
        <v>370</v>
      </c>
      <c r="X321" s="315">
        <v>1</v>
      </c>
      <c r="Y321" s="315" t="s">
        <v>1149</v>
      </c>
      <c r="Z321" s="315">
        <v>0</v>
      </c>
      <c r="AA321" s="315" t="s">
        <v>1157</v>
      </c>
      <c r="AB321" s="315">
        <v>0.13</v>
      </c>
      <c r="AC321" s="315">
        <v>3342.3</v>
      </c>
      <c r="AD321" s="315">
        <v>3344</v>
      </c>
      <c r="AE321" s="315">
        <v>0.4</v>
      </c>
      <c r="AF321" s="315">
        <v>1.4470000000000001</v>
      </c>
      <c r="AG321" s="315">
        <v>0.33</v>
      </c>
      <c r="AH321" s="315">
        <v>851</v>
      </c>
    </row>
    <row r="322" spans="1:34">
      <c r="A322" s="315" t="s">
        <v>1145</v>
      </c>
      <c r="B322" s="315" t="s">
        <v>1624</v>
      </c>
      <c r="C322" s="344" t="s">
        <v>1632</v>
      </c>
      <c r="D322" s="316" t="s">
        <v>1632</v>
      </c>
      <c r="E322" s="317">
        <v>0.62076011989211421</v>
      </c>
      <c r="F322" s="317">
        <v>5.2033099999999999E-2</v>
      </c>
      <c r="G322" s="317">
        <v>5.2297999999999997E-2</v>
      </c>
      <c r="H322" s="317">
        <v>0.26673141690909036</v>
      </c>
      <c r="I322" s="318">
        <v>42.96851688144001</v>
      </c>
      <c r="J322" s="318">
        <v>49.746612285817903</v>
      </c>
      <c r="K322" s="319">
        <v>42.473978383212199</v>
      </c>
      <c r="L322" s="319">
        <v>-0.49453849822781137</v>
      </c>
      <c r="M322" s="319">
        <f t="shared" ref="M322:M385" si="5">IF(L322&lt;0,0,L322)</f>
        <v>0</v>
      </c>
      <c r="N322" s="317">
        <v>0</v>
      </c>
      <c r="O322" s="315" t="s">
        <v>1148</v>
      </c>
      <c r="P322" s="318">
        <v>185</v>
      </c>
      <c r="R322" s="320">
        <v>85</v>
      </c>
      <c r="S322" s="318">
        <v>39.9</v>
      </c>
      <c r="T322" s="318">
        <v>40</v>
      </c>
      <c r="U322" s="318">
        <v>77</v>
      </c>
      <c r="V322" s="315">
        <v>0.21</v>
      </c>
      <c r="W322" s="318">
        <v>450</v>
      </c>
      <c r="X322" s="315">
        <v>1</v>
      </c>
      <c r="Y322" s="315" t="s">
        <v>1149</v>
      </c>
      <c r="Z322" s="315">
        <v>0</v>
      </c>
      <c r="AA322" s="315" t="s">
        <v>1157</v>
      </c>
      <c r="AB322" s="315">
        <v>0</v>
      </c>
      <c r="AC322" s="315">
        <v>3262.3</v>
      </c>
      <c r="AD322" s="315">
        <v>3344</v>
      </c>
      <c r="AE322" s="315">
        <v>0.56000000000000005</v>
      </c>
      <c r="AF322" s="315">
        <v>1.4370000000000001</v>
      </c>
      <c r="AG322" s="315">
        <v>0.33</v>
      </c>
      <c r="AH322" s="315">
        <v>832</v>
      </c>
    </row>
    <row r="323" spans="1:34">
      <c r="A323" s="315" t="s">
        <v>1633</v>
      </c>
      <c r="B323" s="315" t="s">
        <v>1624</v>
      </c>
      <c r="C323" s="344" t="s">
        <v>1634</v>
      </c>
      <c r="D323" s="316" t="s">
        <v>1634</v>
      </c>
      <c r="E323" s="317">
        <v>0.30926731206146774</v>
      </c>
      <c r="F323" s="317">
        <v>0.11712069999999999</v>
      </c>
      <c r="G323" s="317">
        <v>0.15377949999999999</v>
      </c>
      <c r="H323" s="317">
        <v>0.15377949999999999</v>
      </c>
      <c r="I323" s="318">
        <v>49.723813026006411</v>
      </c>
      <c r="J323" s="318">
        <v>48.294848355695699</v>
      </c>
      <c r="K323" s="319">
        <v>44.238047471620298</v>
      </c>
      <c r="L323" s="319">
        <v>-5.4857655543861128</v>
      </c>
      <c r="M323" s="319">
        <f t="shared" si="5"/>
        <v>0</v>
      </c>
      <c r="N323" s="317">
        <v>0</v>
      </c>
      <c r="O323" s="315" t="s">
        <v>1148</v>
      </c>
      <c r="P323" s="318">
        <v>186.12</v>
      </c>
      <c r="R323" s="320">
        <v>85.62222222222222</v>
      </c>
      <c r="S323" s="318">
        <v>39.9</v>
      </c>
      <c r="T323" s="318">
        <v>16</v>
      </c>
      <c r="U323" s="318">
        <v>75</v>
      </c>
      <c r="V323" s="315">
        <v>0.21</v>
      </c>
      <c r="W323" s="318">
        <v>300</v>
      </c>
      <c r="X323" s="315">
        <v>1</v>
      </c>
      <c r="Y323" s="315" t="s">
        <v>1149</v>
      </c>
      <c r="Z323" s="315">
        <v>0</v>
      </c>
      <c r="AA323" s="315" t="s">
        <v>1157</v>
      </c>
      <c r="AB323" s="315">
        <v>0</v>
      </c>
      <c r="AC323" s="315">
        <v>3382.3</v>
      </c>
      <c r="AD323" s="315">
        <v>3344</v>
      </c>
      <c r="AE323" s="315">
        <v>0.6</v>
      </c>
      <c r="AF323" s="315">
        <v>1.4510000000000001</v>
      </c>
      <c r="AG323" s="315">
        <v>0.33</v>
      </c>
      <c r="AH323" s="315">
        <v>861</v>
      </c>
    </row>
    <row r="324" spans="1:34">
      <c r="A324" s="315" t="s">
        <v>1145</v>
      </c>
      <c r="B324" s="315" t="s">
        <v>1624</v>
      </c>
      <c r="C324" s="344" t="s">
        <v>1635</v>
      </c>
      <c r="D324" s="316" t="s">
        <v>1635</v>
      </c>
      <c r="E324" s="317">
        <v>4.3832204671949881</v>
      </c>
      <c r="F324" s="317">
        <v>1.3316918</v>
      </c>
      <c r="G324" s="317">
        <v>1.4742367000000001</v>
      </c>
      <c r="H324" s="317">
        <v>1.4742367000000001</v>
      </c>
      <c r="I324" s="318">
        <v>33.633642456123766</v>
      </c>
      <c r="J324" s="318">
        <v>48.874936383144799</v>
      </c>
      <c r="K324" s="319">
        <v>43.855935450337903</v>
      </c>
      <c r="L324" s="319">
        <v>10.222292994214136</v>
      </c>
      <c r="M324" s="319">
        <f t="shared" si="5"/>
        <v>10.222292994214136</v>
      </c>
      <c r="N324" s="317">
        <v>0.44806563873903343</v>
      </c>
      <c r="O324" s="315" t="s">
        <v>1148</v>
      </c>
      <c r="P324" s="318">
        <v>187.20000000000002</v>
      </c>
      <c r="R324" s="320">
        <v>86.222222222222229</v>
      </c>
      <c r="S324" s="318">
        <v>39.9</v>
      </c>
      <c r="T324" s="318">
        <v>17</v>
      </c>
      <c r="U324" s="318">
        <v>81</v>
      </c>
      <c r="V324" s="315">
        <v>0.21</v>
      </c>
      <c r="W324" s="318">
        <v>250</v>
      </c>
      <c r="X324" s="315">
        <v>5</v>
      </c>
      <c r="Y324" s="315" t="s">
        <v>1149</v>
      </c>
      <c r="Z324" s="315">
        <v>0</v>
      </c>
      <c r="AA324" s="315" t="s">
        <v>1157</v>
      </c>
      <c r="AB324" s="315">
        <v>0.02</v>
      </c>
      <c r="AC324" s="315">
        <v>3382.3</v>
      </c>
      <c r="AD324" s="315">
        <v>3344</v>
      </c>
      <c r="AE324" s="315">
        <v>0.6</v>
      </c>
      <c r="AF324" s="315">
        <v>1.4510000000000001</v>
      </c>
      <c r="AG324" s="315">
        <v>0.33</v>
      </c>
      <c r="AH324" s="315">
        <v>861</v>
      </c>
    </row>
    <row r="325" spans="1:34">
      <c r="A325" s="315" t="s">
        <v>1145</v>
      </c>
      <c r="B325" s="315" t="s">
        <v>1624</v>
      </c>
      <c r="C325" s="344" t="s">
        <v>1636</v>
      </c>
      <c r="D325" s="316" t="s">
        <v>1636</v>
      </c>
      <c r="E325" s="317">
        <v>1.0311496397132771</v>
      </c>
      <c r="F325" s="317">
        <v>0.50718859999999999</v>
      </c>
      <c r="G325" s="317">
        <v>0.51138949999999994</v>
      </c>
      <c r="H325" s="317">
        <v>0.51138949999999994</v>
      </c>
      <c r="I325" s="318">
        <v>49.59411130107145</v>
      </c>
      <c r="J325" s="318">
        <v>51.838038780633298</v>
      </c>
      <c r="K325" s="319">
        <v>43.670434059763501</v>
      </c>
      <c r="L325" s="319">
        <v>-5.9236772413079493</v>
      </c>
      <c r="M325" s="319">
        <f t="shared" si="5"/>
        <v>0</v>
      </c>
      <c r="N325" s="317">
        <v>0</v>
      </c>
      <c r="O325" s="315" t="s">
        <v>1148</v>
      </c>
      <c r="P325" s="318">
        <v>188.59200000000001</v>
      </c>
      <c r="R325" s="320">
        <v>86.995555555555555</v>
      </c>
      <c r="S325" s="318">
        <v>39.9</v>
      </c>
      <c r="T325" s="318">
        <v>40</v>
      </c>
      <c r="U325" s="318">
        <v>99</v>
      </c>
      <c r="V325" s="315">
        <v>0.2</v>
      </c>
      <c r="W325" s="318">
        <v>500</v>
      </c>
      <c r="X325" s="315">
        <v>2</v>
      </c>
      <c r="Y325" s="315" t="s">
        <v>1149</v>
      </c>
      <c r="Z325" s="315">
        <v>0</v>
      </c>
      <c r="AA325" s="315" t="s">
        <v>1157</v>
      </c>
      <c r="AB325" s="315">
        <v>0.2</v>
      </c>
      <c r="AC325" s="315">
        <v>3411.3</v>
      </c>
      <c r="AD325" s="315">
        <v>3344</v>
      </c>
      <c r="AE325" s="315">
        <v>0.52</v>
      </c>
      <c r="AF325" s="315">
        <v>1.46</v>
      </c>
      <c r="AG325" s="315">
        <v>0.33</v>
      </c>
      <c r="AH325" s="315">
        <v>878</v>
      </c>
    </row>
    <row r="326" spans="1:34">
      <c r="A326" s="315" t="s">
        <v>1145</v>
      </c>
      <c r="B326" s="315" t="s">
        <v>1624</v>
      </c>
      <c r="C326" s="344" t="s">
        <v>1637</v>
      </c>
      <c r="D326" s="316" t="s">
        <v>1637</v>
      </c>
      <c r="E326" s="317">
        <v>2.5955594656620891</v>
      </c>
      <c r="F326" s="317">
        <v>0.4600071</v>
      </c>
      <c r="G326" s="317">
        <v>0.60455959999999997</v>
      </c>
      <c r="H326" s="317">
        <v>0.65816795422727259</v>
      </c>
      <c r="I326" s="318">
        <v>25.357460036438951</v>
      </c>
      <c r="J326" s="318">
        <v>52.141785735661202</v>
      </c>
      <c r="K326" s="319">
        <v>43.426429005616498</v>
      </c>
      <c r="L326" s="319">
        <v>18.068968969177547</v>
      </c>
      <c r="M326" s="319">
        <f t="shared" si="5"/>
        <v>18.068968969177547</v>
      </c>
      <c r="N326" s="317">
        <v>0.46899083442703338</v>
      </c>
      <c r="O326" s="315" t="s">
        <v>1148</v>
      </c>
      <c r="P326" s="318">
        <v>188.59200000000001</v>
      </c>
      <c r="R326" s="320">
        <v>86.995555555555555</v>
      </c>
      <c r="S326" s="318">
        <v>39.9</v>
      </c>
      <c r="T326" s="318">
        <v>38</v>
      </c>
      <c r="U326" s="318">
        <v>57</v>
      </c>
      <c r="V326" s="315">
        <v>0.21</v>
      </c>
      <c r="W326" s="318">
        <v>300</v>
      </c>
      <c r="X326" s="315">
        <v>5</v>
      </c>
      <c r="Y326" s="315" t="s">
        <v>1149</v>
      </c>
      <c r="Z326" s="315">
        <v>0</v>
      </c>
      <c r="AA326" s="315" t="s">
        <v>1157</v>
      </c>
      <c r="AB326" s="315">
        <v>0.08</v>
      </c>
      <c r="AC326" s="315">
        <v>3412.3</v>
      </c>
      <c r="AD326" s="315">
        <v>3344</v>
      </c>
      <c r="AE326" s="315">
        <v>0.52</v>
      </c>
      <c r="AF326" s="315">
        <v>1.46</v>
      </c>
      <c r="AG326" s="315">
        <v>0.33</v>
      </c>
      <c r="AH326" s="315">
        <v>878</v>
      </c>
    </row>
    <row r="327" spans="1:34">
      <c r="A327" s="315" t="s">
        <v>1145</v>
      </c>
      <c r="B327" s="315" t="s">
        <v>1624</v>
      </c>
      <c r="C327" s="344" t="s">
        <v>1638</v>
      </c>
      <c r="D327" s="316" t="s">
        <v>1638</v>
      </c>
      <c r="E327" s="317">
        <v>0.94452640439003355</v>
      </c>
      <c r="F327" s="317">
        <v>0.71634739999999997</v>
      </c>
      <c r="G327" s="317">
        <v>0.72110239999999992</v>
      </c>
      <c r="H327" s="317">
        <v>0.72110239999999992</v>
      </c>
      <c r="I327" s="318">
        <v>76.345393484863052</v>
      </c>
      <c r="J327" s="318">
        <v>56.571521176932997</v>
      </c>
      <c r="K327" s="319">
        <v>42.505933873061004</v>
      </c>
      <c r="L327" s="319">
        <v>-33.839459611802049</v>
      </c>
      <c r="M327" s="319">
        <f t="shared" si="5"/>
        <v>0</v>
      </c>
      <c r="N327" s="317">
        <v>0</v>
      </c>
      <c r="O327" s="315" t="s">
        <v>1148</v>
      </c>
      <c r="P327" s="318">
        <v>188.59200000000001</v>
      </c>
      <c r="R327" s="320">
        <v>86.995555555555555</v>
      </c>
      <c r="S327" s="318">
        <v>39.9</v>
      </c>
      <c r="T327" s="318">
        <v>15</v>
      </c>
      <c r="U327" s="318">
        <v>109</v>
      </c>
      <c r="V327" s="315">
        <v>0.21</v>
      </c>
      <c r="W327" s="318">
        <v>500</v>
      </c>
      <c r="X327" s="315">
        <v>2</v>
      </c>
      <c r="Y327" s="315" t="s">
        <v>1149</v>
      </c>
      <c r="Z327" s="315">
        <v>0</v>
      </c>
      <c r="AA327" s="315" t="s">
        <v>1157</v>
      </c>
      <c r="AB327" s="315">
        <v>0.34</v>
      </c>
      <c r="AC327" s="315">
        <v>3411.3</v>
      </c>
      <c r="AD327" s="315">
        <v>3344</v>
      </c>
      <c r="AE327" s="315">
        <v>0.45</v>
      </c>
      <c r="AF327" s="315">
        <v>1.46</v>
      </c>
      <c r="AG327" s="315">
        <v>0.33</v>
      </c>
      <c r="AH327" s="315">
        <v>890</v>
      </c>
    </row>
    <row r="328" spans="1:34">
      <c r="A328" s="315" t="s">
        <v>1145</v>
      </c>
      <c r="B328" s="315" t="s">
        <v>1624</v>
      </c>
      <c r="C328" s="344" t="s">
        <v>1639</v>
      </c>
      <c r="D328" s="316" t="s">
        <v>1639</v>
      </c>
      <c r="E328" s="317">
        <v>0.39872284200032354</v>
      </c>
      <c r="F328" s="317">
        <v>9.5474900000000001E-2</v>
      </c>
      <c r="G328" s="317">
        <v>9.6256800000000003E-2</v>
      </c>
      <c r="H328" s="317">
        <v>0.52512363381818072</v>
      </c>
      <c r="I328" s="318">
        <v>131.70141725107251</v>
      </c>
      <c r="J328" s="318">
        <v>56.306700662101797</v>
      </c>
      <c r="K328" s="319">
        <v>42.441347572562997</v>
      </c>
      <c r="L328" s="319">
        <v>-89.260069678509524</v>
      </c>
      <c r="M328" s="319">
        <f t="shared" si="5"/>
        <v>0</v>
      </c>
      <c r="N328" s="317">
        <v>0</v>
      </c>
      <c r="O328" s="315" t="s">
        <v>1148</v>
      </c>
      <c r="P328" s="318">
        <v>193.99199999999999</v>
      </c>
      <c r="R328" s="320">
        <v>89.995555555555541</v>
      </c>
      <c r="S328" s="318">
        <v>39.700000000000003</v>
      </c>
      <c r="T328" s="318">
        <v>24</v>
      </c>
      <c r="U328" s="318">
        <v>59</v>
      </c>
      <c r="V328" s="315">
        <v>0.2</v>
      </c>
      <c r="W328" s="318">
        <v>400</v>
      </c>
      <c r="X328" s="315">
        <v>1</v>
      </c>
      <c r="Y328" s="315" t="s">
        <v>1149</v>
      </c>
      <c r="Z328" s="315">
        <v>0</v>
      </c>
      <c r="AA328" s="315" t="s">
        <v>1157</v>
      </c>
      <c r="AB328" s="315">
        <v>0.05</v>
      </c>
      <c r="AC328" s="315">
        <v>3514.3</v>
      </c>
      <c r="AD328" s="315">
        <v>3344</v>
      </c>
      <c r="AE328" s="315">
        <v>0.45</v>
      </c>
      <c r="AF328" s="315">
        <v>1.4750000000000001</v>
      </c>
      <c r="AG328" s="315">
        <v>0.31</v>
      </c>
      <c r="AH328" s="315">
        <v>910</v>
      </c>
    </row>
    <row r="329" spans="1:34">
      <c r="A329" s="315" t="s">
        <v>1145</v>
      </c>
      <c r="B329" s="315" t="s">
        <v>1624</v>
      </c>
      <c r="C329" s="344" t="s">
        <v>1640</v>
      </c>
      <c r="D329" s="316" t="s">
        <v>1640</v>
      </c>
      <c r="E329" s="317">
        <v>12.649243052914827</v>
      </c>
      <c r="F329" s="317">
        <v>2.8347642999999998</v>
      </c>
      <c r="G329" s="317">
        <v>3.1359301999999998</v>
      </c>
      <c r="H329" s="317">
        <v>3.1359301999999998</v>
      </c>
      <c r="I329" s="318">
        <v>24.79144551876859</v>
      </c>
      <c r="J329" s="318">
        <v>48.223147746737602</v>
      </c>
      <c r="K329" s="319">
        <v>44.530402873673204</v>
      </c>
      <c r="L329" s="319">
        <v>19.738957354904613</v>
      </c>
      <c r="M329" s="319">
        <f t="shared" si="5"/>
        <v>19.738957354904613</v>
      </c>
      <c r="N329" s="317">
        <v>2.496828691933092</v>
      </c>
      <c r="O329" s="315" t="s">
        <v>1148</v>
      </c>
      <c r="P329" s="318">
        <v>195</v>
      </c>
      <c r="R329" s="320">
        <v>90.555555555555557</v>
      </c>
      <c r="S329" s="318">
        <v>39.700000000000003</v>
      </c>
      <c r="T329" s="318">
        <v>55</v>
      </c>
      <c r="U329" s="318">
        <v>195</v>
      </c>
      <c r="V329" s="315">
        <v>0.22</v>
      </c>
      <c r="W329" s="318">
        <v>1000</v>
      </c>
      <c r="X329" s="315">
        <v>3</v>
      </c>
      <c r="Y329" s="315" t="s">
        <v>1149</v>
      </c>
      <c r="Z329" s="315">
        <v>0</v>
      </c>
      <c r="AA329" s="315" t="s">
        <v>1157</v>
      </c>
      <c r="AB329" s="315">
        <v>0.27</v>
      </c>
      <c r="AC329" s="315">
        <v>3697.3</v>
      </c>
      <c r="AD329" s="315">
        <v>3780</v>
      </c>
      <c r="AE329" s="315">
        <v>0.6</v>
      </c>
      <c r="AF329" s="315">
        <v>1.506</v>
      </c>
      <c r="AG329" s="315">
        <v>0.31</v>
      </c>
      <c r="AH329" s="315">
        <v>974</v>
      </c>
    </row>
    <row r="330" spans="1:34">
      <c r="A330" s="315" t="s">
        <v>1145</v>
      </c>
      <c r="B330" s="315" t="s">
        <v>1624</v>
      </c>
      <c r="C330" s="344" t="s">
        <v>1641</v>
      </c>
      <c r="D330" s="316" t="s">
        <v>1641</v>
      </c>
      <c r="E330" s="317">
        <v>36.533891846546915</v>
      </c>
      <c r="F330" s="317">
        <v>14.7765041</v>
      </c>
      <c r="G330" s="317">
        <v>15.5673133</v>
      </c>
      <c r="H330" s="317">
        <v>15.5673133</v>
      </c>
      <c r="I330" s="318">
        <v>42.610607611659042</v>
      </c>
      <c r="J330" s="318">
        <v>44.147731100082801</v>
      </c>
      <c r="K330" s="319">
        <v>45.8595329749472</v>
      </c>
      <c r="L330" s="319">
        <v>3.2489253632881585</v>
      </c>
      <c r="M330" s="319">
        <f t="shared" si="5"/>
        <v>3.2489253632881585</v>
      </c>
      <c r="N330" s="317">
        <v>1.1869588783987273</v>
      </c>
      <c r="O330" s="315" t="s">
        <v>1148</v>
      </c>
      <c r="P330" s="318">
        <v>200</v>
      </c>
      <c r="R330" s="320">
        <v>93.333333333333329</v>
      </c>
      <c r="S330" s="318">
        <v>39.700000000000003</v>
      </c>
      <c r="T330" s="318">
        <v>45</v>
      </c>
      <c r="U330" s="318">
        <v>0</v>
      </c>
      <c r="V330" s="315">
        <v>0.21</v>
      </c>
      <c r="W330" s="318">
        <v>500</v>
      </c>
      <c r="X330" s="315">
        <v>0</v>
      </c>
      <c r="Y330" s="315" t="s">
        <v>1149</v>
      </c>
      <c r="Z330" s="315">
        <v>0</v>
      </c>
      <c r="AA330" s="315" t="s">
        <v>1157</v>
      </c>
      <c r="AB330" s="315">
        <v>0.04</v>
      </c>
      <c r="AC330" s="315">
        <v>3765.3</v>
      </c>
      <c r="AD330" s="315">
        <v>3780</v>
      </c>
      <c r="AE330" s="315">
        <v>0.7</v>
      </c>
      <c r="AF330" s="315">
        <v>1.538</v>
      </c>
      <c r="AG330" s="315">
        <v>0.31</v>
      </c>
      <c r="AH330" s="315">
        <v>1000</v>
      </c>
    </row>
    <row r="331" spans="1:34">
      <c r="A331" s="315" t="s">
        <v>1145</v>
      </c>
      <c r="B331" s="315" t="s">
        <v>1642</v>
      </c>
      <c r="C331" s="316" t="s">
        <v>1643</v>
      </c>
      <c r="D331" s="316" t="s">
        <v>1643</v>
      </c>
      <c r="E331" s="317">
        <v>50.9244895</v>
      </c>
      <c r="F331" s="317">
        <v>12.470132974578288</v>
      </c>
      <c r="G331" s="317">
        <v>13.344124074578287</v>
      </c>
      <c r="H331" s="317">
        <v>14.278385674578288</v>
      </c>
      <c r="I331" s="318">
        <v>28.038348179373084</v>
      </c>
      <c r="J331" s="318">
        <v>68.589110775062196</v>
      </c>
      <c r="K331" s="319">
        <v>33.321858032740799</v>
      </c>
      <c r="L331" s="319">
        <v>5.2835098533677147</v>
      </c>
      <c r="M331" s="319">
        <f t="shared" si="5"/>
        <v>5.2835098533677147</v>
      </c>
      <c r="N331" s="317">
        <v>2.6906004205097074</v>
      </c>
      <c r="O331" s="315" t="s">
        <v>1148</v>
      </c>
      <c r="P331" s="318">
        <v>198</v>
      </c>
      <c r="R331" s="320">
        <v>92.222222222222229</v>
      </c>
      <c r="S331" s="318">
        <v>40.299999999999997</v>
      </c>
      <c r="T331" s="318">
        <v>89</v>
      </c>
      <c r="U331" s="318">
        <v>194</v>
      </c>
      <c r="V331" s="315">
        <v>0.24</v>
      </c>
      <c r="W331" s="318">
        <v>852</v>
      </c>
      <c r="X331" s="315">
        <v>2</v>
      </c>
      <c r="Y331" s="315" t="s">
        <v>1149</v>
      </c>
      <c r="Z331" s="315">
        <v>0</v>
      </c>
      <c r="AA331" s="315" t="s">
        <v>1157</v>
      </c>
      <c r="AB331" s="315">
        <v>0</v>
      </c>
      <c r="AC331" s="315">
        <v>2121</v>
      </c>
      <c r="AD331" s="315">
        <v>1994</v>
      </c>
      <c r="AE331" s="315">
        <v>0.71</v>
      </c>
      <c r="AF331" s="315">
        <v>1.3520000000000001</v>
      </c>
      <c r="AG331" s="315">
        <v>0.4</v>
      </c>
      <c r="AH331" s="315">
        <v>557</v>
      </c>
    </row>
    <row r="332" spans="1:34">
      <c r="A332" s="315" t="s">
        <v>1145</v>
      </c>
      <c r="B332" s="315" t="s">
        <v>1642</v>
      </c>
      <c r="C332" s="316" t="s">
        <v>1644</v>
      </c>
      <c r="D332" s="316" t="s">
        <v>1644</v>
      </c>
      <c r="E332" s="317">
        <v>41.2788945</v>
      </c>
      <c r="F332" s="317">
        <v>4.5871420386535222</v>
      </c>
      <c r="G332" s="317">
        <v>4.5871420386535222</v>
      </c>
      <c r="H332" s="317">
        <v>4.9955018386535226</v>
      </c>
      <c r="I332" s="318">
        <v>12.101830485439775</v>
      </c>
      <c r="J332" s="318">
        <v>70.165666521661905</v>
      </c>
      <c r="K332" s="319">
        <v>33.163000983025199</v>
      </c>
      <c r="L332" s="319">
        <v>21.061170497585422</v>
      </c>
      <c r="M332" s="319">
        <f t="shared" si="5"/>
        <v>21.061170497585422</v>
      </c>
      <c r="N332" s="317">
        <v>8.6938183501634114</v>
      </c>
      <c r="O332" s="315" t="s">
        <v>1148</v>
      </c>
      <c r="P332" s="318">
        <v>198</v>
      </c>
      <c r="R332" s="320">
        <v>92.222222222222229</v>
      </c>
      <c r="S332" s="318">
        <v>40.299999999999997</v>
      </c>
      <c r="T332" s="318">
        <v>138</v>
      </c>
      <c r="U332" s="318">
        <v>106.5</v>
      </c>
      <c r="V332" s="315">
        <v>0.22</v>
      </c>
      <c r="W332" s="318">
        <v>1000</v>
      </c>
      <c r="X332" s="315">
        <v>8</v>
      </c>
      <c r="Y332" s="315" t="s">
        <v>1149</v>
      </c>
      <c r="Z332" s="315">
        <v>0</v>
      </c>
      <c r="AA332" s="315" t="s">
        <v>1157</v>
      </c>
      <c r="AB332" s="315">
        <v>0</v>
      </c>
      <c r="AC332" s="315">
        <v>2121</v>
      </c>
      <c r="AD332" s="315">
        <v>1994</v>
      </c>
      <c r="AE332" s="315">
        <v>0.66</v>
      </c>
      <c r="AF332" s="315">
        <v>1.3520000000000001</v>
      </c>
      <c r="AG332" s="315">
        <v>0.4</v>
      </c>
      <c r="AH332" s="315">
        <v>557</v>
      </c>
    </row>
    <row r="333" spans="1:34">
      <c r="A333" s="315" t="s">
        <v>1145</v>
      </c>
      <c r="B333" s="315" t="s">
        <v>1642</v>
      </c>
      <c r="C333" s="316" t="s">
        <v>1645</v>
      </c>
      <c r="D333" s="316" t="s">
        <v>1645</v>
      </c>
      <c r="E333" s="317">
        <v>15.396225400000001</v>
      </c>
      <c r="F333" s="317">
        <v>3.5251064660481464</v>
      </c>
      <c r="G333" s="317">
        <v>3.6430579660481466</v>
      </c>
      <c r="H333" s="317">
        <v>3.9347438660481466</v>
      </c>
      <c r="I333" s="318">
        <v>25.556548854163609</v>
      </c>
      <c r="J333" s="318">
        <v>71.574671820540004</v>
      </c>
      <c r="K333" s="319">
        <v>32.078500301417399</v>
      </c>
      <c r="L333" s="319">
        <v>6.5219514472537909</v>
      </c>
      <c r="M333" s="319">
        <f t="shared" si="5"/>
        <v>6.5219514472537909</v>
      </c>
      <c r="N333" s="317">
        <v>1.0041343452977558</v>
      </c>
      <c r="O333" s="315" t="s">
        <v>1148</v>
      </c>
      <c r="P333" s="318">
        <v>198</v>
      </c>
      <c r="R333" s="320">
        <v>92.222222222222229</v>
      </c>
      <c r="S333" s="318">
        <v>40.299999999999997</v>
      </c>
      <c r="T333" s="318">
        <v>150</v>
      </c>
      <c r="U333" s="318">
        <v>22</v>
      </c>
      <c r="V333" s="315">
        <v>0.24</v>
      </c>
      <c r="W333" s="318">
        <v>700</v>
      </c>
      <c r="X333" s="315">
        <v>4</v>
      </c>
      <c r="Y333" s="315" t="s">
        <v>1149</v>
      </c>
      <c r="Z333" s="315">
        <v>0</v>
      </c>
      <c r="AA333" s="315" t="s">
        <v>1157</v>
      </c>
      <c r="AB333" s="315">
        <v>0</v>
      </c>
      <c r="AC333" s="315">
        <v>2121</v>
      </c>
      <c r="AD333" s="315">
        <v>1994</v>
      </c>
      <c r="AE333" s="315">
        <v>0.65</v>
      </c>
      <c r="AF333" s="315">
        <v>1.3520000000000001</v>
      </c>
      <c r="AG333" s="315">
        <v>0.4</v>
      </c>
      <c r="AH333" s="315">
        <v>557</v>
      </c>
    </row>
    <row r="334" spans="1:34">
      <c r="A334" s="315" t="s">
        <v>1646</v>
      </c>
      <c r="B334" s="315" t="s">
        <v>1647</v>
      </c>
      <c r="C334" s="344" t="s">
        <v>1648</v>
      </c>
      <c r="D334" s="316" t="s">
        <v>1648</v>
      </c>
      <c r="E334" s="317">
        <v>79.5</v>
      </c>
      <c r="F334" s="317">
        <v>0</v>
      </c>
      <c r="G334" s="317">
        <v>0</v>
      </c>
      <c r="H334" s="317">
        <v>0</v>
      </c>
      <c r="I334" s="318">
        <v>0</v>
      </c>
      <c r="J334" s="318">
        <v>49.945682484710098</v>
      </c>
      <c r="K334" s="319">
        <v>40.964125959821203</v>
      </c>
      <c r="L334" s="319">
        <v>40.964125959821203</v>
      </c>
      <c r="M334" s="319">
        <f t="shared" si="5"/>
        <v>40.964125959821203</v>
      </c>
      <c r="N334" s="317">
        <v>32.566480138057855</v>
      </c>
      <c r="O334" s="315" t="s">
        <v>1168</v>
      </c>
      <c r="P334" s="318">
        <v>141</v>
      </c>
      <c r="R334" s="320">
        <v>60.555555555555557</v>
      </c>
      <c r="S334" s="318">
        <v>30.6</v>
      </c>
      <c r="T334" s="318">
        <v>185.69554400000001</v>
      </c>
      <c r="U334" s="318">
        <v>45.603676</v>
      </c>
      <c r="V334" s="315">
        <v>0.28000000000000003</v>
      </c>
      <c r="W334" s="318">
        <v>2250</v>
      </c>
      <c r="X334" s="315">
        <v>10</v>
      </c>
      <c r="Y334" s="315" t="s">
        <v>1440</v>
      </c>
      <c r="Z334" s="315">
        <v>3</v>
      </c>
      <c r="AA334" s="315" t="s">
        <v>1157</v>
      </c>
      <c r="AB334" s="315">
        <v>0.12783333333333335</v>
      </c>
      <c r="AC334" s="315">
        <v>4305</v>
      </c>
      <c r="AD334" s="315">
        <v>4029</v>
      </c>
      <c r="AE334" s="315">
        <v>0.71</v>
      </c>
      <c r="AF334" s="315">
        <v>1.34</v>
      </c>
      <c r="AG334" s="315">
        <v>0.77</v>
      </c>
      <c r="AH334" s="315">
        <v>767</v>
      </c>
    </row>
    <row r="335" spans="1:34">
      <c r="A335" s="315" t="s">
        <v>1649</v>
      </c>
      <c r="B335" s="315" t="s">
        <v>1647</v>
      </c>
      <c r="C335" s="344" t="s">
        <v>1650</v>
      </c>
      <c r="D335" s="316" t="s">
        <v>1650</v>
      </c>
      <c r="E335" s="317">
        <v>62.85</v>
      </c>
      <c r="F335" s="317">
        <v>0</v>
      </c>
      <c r="G335" s="317">
        <v>0</v>
      </c>
      <c r="H335" s="317">
        <v>0</v>
      </c>
      <c r="I335" s="318">
        <v>0</v>
      </c>
      <c r="J335" s="318">
        <v>47.9449597859684</v>
      </c>
      <c r="K335" s="319">
        <v>40.436755648615502</v>
      </c>
      <c r="L335" s="319">
        <v>40.436755648615502</v>
      </c>
      <c r="M335" s="319">
        <f t="shared" si="5"/>
        <v>40.436755648615502</v>
      </c>
      <c r="N335" s="317">
        <v>25.414500925154844</v>
      </c>
      <c r="O335" s="315" t="s">
        <v>1168</v>
      </c>
      <c r="P335" s="318">
        <v>143</v>
      </c>
      <c r="R335" s="320">
        <v>61.666666666666664</v>
      </c>
      <c r="S335" s="318">
        <v>30.6</v>
      </c>
      <c r="T335" s="318">
        <v>134.51444000000001</v>
      </c>
      <c r="U335" s="318">
        <v>52.821524000000004</v>
      </c>
      <c r="V335" s="315">
        <v>0.28000000000000003</v>
      </c>
      <c r="W335" s="318">
        <v>1660</v>
      </c>
      <c r="X335" s="315">
        <v>10</v>
      </c>
      <c r="Y335" s="315" t="s">
        <v>1440</v>
      </c>
      <c r="Z335" s="315">
        <v>3</v>
      </c>
      <c r="AA335" s="315" t="s">
        <v>1157</v>
      </c>
      <c r="AB335" s="315">
        <v>0.12783333333333335</v>
      </c>
      <c r="AC335" s="315">
        <v>4460</v>
      </c>
      <c r="AD335" s="315">
        <v>4029</v>
      </c>
      <c r="AE335" s="315">
        <v>0.81</v>
      </c>
      <c r="AF335" s="315">
        <v>1.34</v>
      </c>
      <c r="AG335" s="315">
        <v>0.77</v>
      </c>
      <c r="AH335" s="315">
        <v>767</v>
      </c>
    </row>
    <row r="336" spans="1:34">
      <c r="A336" s="315" t="s">
        <v>1145</v>
      </c>
      <c r="B336" s="315" t="s">
        <v>1647</v>
      </c>
      <c r="C336" s="344" t="s">
        <v>1651</v>
      </c>
      <c r="D336" s="316" t="s">
        <v>1651</v>
      </c>
      <c r="E336" s="317">
        <v>14.51</v>
      </c>
      <c r="F336" s="317">
        <v>0</v>
      </c>
      <c r="G336" s="317">
        <v>0</v>
      </c>
      <c r="H336" s="317">
        <v>0</v>
      </c>
      <c r="I336" s="318">
        <v>0</v>
      </c>
      <c r="J336" s="318">
        <v>50.035215389736003</v>
      </c>
      <c r="K336" s="319">
        <v>39.2832484736429</v>
      </c>
      <c r="L336" s="319">
        <v>39.2832484736429</v>
      </c>
      <c r="M336" s="319">
        <f t="shared" si="5"/>
        <v>39.2832484736429</v>
      </c>
      <c r="N336" s="317">
        <v>5.6999993535255848</v>
      </c>
      <c r="O336" s="315" t="s">
        <v>1168</v>
      </c>
      <c r="P336" s="318">
        <v>144</v>
      </c>
      <c r="R336" s="320">
        <v>62.222222222222221</v>
      </c>
      <c r="S336" s="318">
        <v>30.6</v>
      </c>
      <c r="T336" s="318">
        <v>52.165356000000003</v>
      </c>
      <c r="U336" s="318">
        <v>11.811024</v>
      </c>
      <c r="V336" s="315">
        <v>0.27</v>
      </c>
      <c r="W336" s="318">
        <v>1120</v>
      </c>
      <c r="X336" s="315">
        <v>10</v>
      </c>
      <c r="Y336" s="315" t="s">
        <v>1440</v>
      </c>
      <c r="Z336" s="315">
        <v>3</v>
      </c>
      <c r="AA336" s="315" t="s">
        <v>1157</v>
      </c>
      <c r="AB336" s="315">
        <v>0.12783333333333333</v>
      </c>
      <c r="AC336" s="315">
        <v>4514</v>
      </c>
      <c r="AD336" s="315">
        <v>4029</v>
      </c>
      <c r="AE336" s="315">
        <v>0.75</v>
      </c>
      <c r="AF336" s="315">
        <v>1.34</v>
      </c>
      <c r="AG336" s="315">
        <v>0.77</v>
      </c>
      <c r="AH336" s="315">
        <v>767</v>
      </c>
    </row>
    <row r="337" spans="1:34">
      <c r="A337" s="315" t="s">
        <v>1145</v>
      </c>
      <c r="B337" s="315" t="s">
        <v>1647</v>
      </c>
      <c r="C337" s="344" t="s">
        <v>1652</v>
      </c>
      <c r="D337" s="316" t="s">
        <v>1652</v>
      </c>
      <c r="E337" s="317">
        <v>86.2</v>
      </c>
      <c r="F337" s="317">
        <v>0</v>
      </c>
      <c r="G337" s="317">
        <v>0</v>
      </c>
      <c r="H337" s="317">
        <v>0</v>
      </c>
      <c r="I337" s="318">
        <v>0</v>
      </c>
      <c r="J337" s="318">
        <v>54.674557853337497</v>
      </c>
      <c r="K337" s="319">
        <v>39.446112209329002</v>
      </c>
      <c r="L337" s="319">
        <v>39.446112209329002</v>
      </c>
      <c r="M337" s="319">
        <f t="shared" si="5"/>
        <v>39.446112209329002</v>
      </c>
      <c r="N337" s="317">
        <v>34.002548724441603</v>
      </c>
      <c r="O337" s="315" t="s">
        <v>1168</v>
      </c>
      <c r="P337" s="318">
        <v>145</v>
      </c>
      <c r="R337" s="320">
        <v>62.777777777777779</v>
      </c>
      <c r="S337" s="318">
        <v>30</v>
      </c>
      <c r="T337" s="318">
        <v>323.16273999999999</v>
      </c>
      <c r="U337" s="318">
        <v>23.950132</v>
      </c>
      <c r="V337" s="315">
        <v>0.26</v>
      </c>
      <c r="W337" s="318">
        <v>760</v>
      </c>
      <c r="X337" s="315">
        <v>10</v>
      </c>
      <c r="Y337" s="315" t="s">
        <v>1440</v>
      </c>
      <c r="Z337" s="315">
        <v>3</v>
      </c>
      <c r="AA337" s="315" t="s">
        <v>1157</v>
      </c>
      <c r="AB337" s="315">
        <v>0.11916666666666668</v>
      </c>
      <c r="AC337" s="315">
        <v>4545</v>
      </c>
      <c r="AD337" s="315">
        <v>3871</v>
      </c>
      <c r="AE337" s="315">
        <v>0.59000000000000008</v>
      </c>
      <c r="AF337" s="315">
        <v>1.3</v>
      </c>
      <c r="AG337" s="315">
        <v>0.76</v>
      </c>
      <c r="AH337" s="315">
        <v>715</v>
      </c>
    </row>
    <row r="338" spans="1:34">
      <c r="A338" s="315" t="s">
        <v>1145</v>
      </c>
      <c r="B338" s="315" t="s">
        <v>1647</v>
      </c>
      <c r="C338" s="344" t="s">
        <v>1653</v>
      </c>
      <c r="D338" s="316" t="s">
        <v>1653</v>
      </c>
      <c r="E338" s="317">
        <v>60.47</v>
      </c>
      <c r="F338" s="317">
        <v>0</v>
      </c>
      <c r="G338" s="317">
        <v>0</v>
      </c>
      <c r="H338" s="317">
        <v>0</v>
      </c>
      <c r="I338" s="318">
        <v>0</v>
      </c>
      <c r="J338" s="318">
        <v>46.224129375787903</v>
      </c>
      <c r="K338" s="319">
        <v>42.636375178047096</v>
      </c>
      <c r="L338" s="319">
        <v>42.636375178047096</v>
      </c>
      <c r="M338" s="319">
        <f t="shared" si="5"/>
        <v>42.636375178047096</v>
      </c>
      <c r="N338" s="317">
        <v>25.782216070165081</v>
      </c>
      <c r="O338" s="315" t="s">
        <v>1168</v>
      </c>
      <c r="P338" s="318">
        <v>148</v>
      </c>
      <c r="R338" s="320">
        <v>64.444444444444443</v>
      </c>
      <c r="S338" s="318">
        <v>30</v>
      </c>
      <c r="T338" s="318">
        <v>241.79790800000001</v>
      </c>
      <c r="U338" s="318">
        <v>33.792652000000004</v>
      </c>
      <c r="V338" s="315">
        <v>0.26</v>
      </c>
      <c r="W338" s="318">
        <v>730</v>
      </c>
      <c r="X338" s="315">
        <v>10</v>
      </c>
      <c r="Y338" s="315" t="s">
        <v>1440</v>
      </c>
      <c r="Z338" s="315">
        <v>3</v>
      </c>
      <c r="AA338" s="315" t="s">
        <v>1157</v>
      </c>
      <c r="AB338" s="315">
        <v>0.11916666666666668</v>
      </c>
      <c r="AC338" s="315">
        <v>4744</v>
      </c>
      <c r="AD338" s="315">
        <v>3871</v>
      </c>
      <c r="AE338" s="315">
        <v>0.82000000000000006</v>
      </c>
      <c r="AF338" s="315">
        <v>1.3</v>
      </c>
      <c r="AG338" s="315">
        <v>0.76</v>
      </c>
      <c r="AH338" s="315">
        <v>715</v>
      </c>
    </row>
    <row r="339" spans="1:34">
      <c r="A339" s="315" t="s">
        <v>1145</v>
      </c>
      <c r="B339" s="315" t="s">
        <v>1647</v>
      </c>
      <c r="C339" s="344" t="s">
        <v>1654</v>
      </c>
      <c r="D339" s="316" t="s">
        <v>1654</v>
      </c>
      <c r="E339" s="317">
        <v>10.06</v>
      </c>
      <c r="F339" s="317">
        <v>0</v>
      </c>
      <c r="G339" s="317">
        <v>0</v>
      </c>
      <c r="H339" s="317">
        <v>0</v>
      </c>
      <c r="I339" s="318">
        <v>0</v>
      </c>
      <c r="J339" s="318">
        <v>50.9639827667147</v>
      </c>
      <c r="K339" s="319">
        <v>38.622132560089398</v>
      </c>
      <c r="L339" s="319">
        <v>38.622132560089398</v>
      </c>
      <c r="M339" s="319">
        <f t="shared" si="5"/>
        <v>38.622132560089398</v>
      </c>
      <c r="N339" s="317">
        <v>3.8853865355449932</v>
      </c>
      <c r="O339" s="315" t="s">
        <v>1168</v>
      </c>
      <c r="P339" s="318">
        <v>151</v>
      </c>
      <c r="R339" s="320">
        <v>66.111111111111114</v>
      </c>
      <c r="S339" s="318">
        <v>30</v>
      </c>
      <c r="T339" s="318">
        <v>58.727035999999998</v>
      </c>
      <c r="U339" s="318">
        <v>6.8897640000000004</v>
      </c>
      <c r="V339" s="315">
        <v>0.23</v>
      </c>
      <c r="W339" s="318">
        <v>150</v>
      </c>
      <c r="X339" s="315">
        <v>10</v>
      </c>
      <c r="Y339" s="315" t="s">
        <v>1440</v>
      </c>
      <c r="Z339" s="315">
        <v>3</v>
      </c>
      <c r="AA339" s="315" t="s">
        <v>1157</v>
      </c>
      <c r="AB339" s="315">
        <v>0.11916666666666668</v>
      </c>
      <c r="AC339" s="315">
        <v>4864</v>
      </c>
      <c r="AD339" s="315">
        <v>3871</v>
      </c>
      <c r="AE339" s="315">
        <v>0.74</v>
      </c>
      <c r="AF339" s="315">
        <v>1.3</v>
      </c>
      <c r="AG339" s="315">
        <v>0.76</v>
      </c>
      <c r="AH339" s="315">
        <v>715</v>
      </c>
    </row>
    <row r="340" spans="1:34">
      <c r="A340" s="315" t="s">
        <v>1145</v>
      </c>
      <c r="B340" s="315" t="s">
        <v>1647</v>
      </c>
      <c r="C340" s="344" t="s">
        <v>1655</v>
      </c>
      <c r="D340" s="316" t="s">
        <v>1655</v>
      </c>
      <c r="E340" s="317">
        <v>23.8</v>
      </c>
      <c r="F340" s="317">
        <v>0</v>
      </c>
      <c r="G340" s="317">
        <v>0</v>
      </c>
      <c r="H340" s="317">
        <v>0</v>
      </c>
      <c r="I340" s="318">
        <v>0</v>
      </c>
      <c r="J340" s="318">
        <v>49.703104517957797</v>
      </c>
      <c r="K340" s="319">
        <v>39.852426837633296</v>
      </c>
      <c r="L340" s="319">
        <v>39.852426837633296</v>
      </c>
      <c r="M340" s="319">
        <f t="shared" si="5"/>
        <v>39.852426837633296</v>
      </c>
      <c r="N340" s="317">
        <v>9.4848775873567259</v>
      </c>
      <c r="O340" s="315" t="s">
        <v>1168</v>
      </c>
      <c r="P340" s="318">
        <v>151</v>
      </c>
      <c r="R340" s="320">
        <v>66.111111111111114</v>
      </c>
      <c r="S340" s="318">
        <v>30</v>
      </c>
      <c r="T340" s="318">
        <v>187.66404800000001</v>
      </c>
      <c r="U340" s="318">
        <v>12.467191999999999</v>
      </c>
      <c r="V340" s="315">
        <v>0.22</v>
      </c>
      <c r="W340" s="318">
        <v>100</v>
      </c>
      <c r="X340" s="315">
        <v>10</v>
      </c>
      <c r="Y340" s="315" t="s">
        <v>1440</v>
      </c>
      <c r="Z340" s="315">
        <v>3</v>
      </c>
      <c r="AA340" s="315" t="s">
        <v>1157</v>
      </c>
      <c r="AB340" s="315">
        <v>0.11916666666666668</v>
      </c>
      <c r="AC340" s="315">
        <v>4973</v>
      </c>
      <c r="AD340" s="315">
        <v>3871</v>
      </c>
      <c r="AE340" s="315">
        <v>0.74</v>
      </c>
      <c r="AF340" s="315">
        <v>1.3</v>
      </c>
      <c r="AG340" s="315">
        <v>0.76</v>
      </c>
      <c r="AH340" s="315">
        <v>715</v>
      </c>
    </row>
    <row r="341" spans="1:34">
      <c r="A341" s="315" t="s">
        <v>1145</v>
      </c>
      <c r="B341" s="315" t="s">
        <v>1647</v>
      </c>
      <c r="C341" s="344" t="s">
        <v>1656</v>
      </c>
      <c r="D341" s="316" t="s">
        <v>1656</v>
      </c>
      <c r="E341" s="317">
        <v>5.57</v>
      </c>
      <c r="F341" s="317">
        <v>0</v>
      </c>
      <c r="G341" s="317">
        <v>0</v>
      </c>
      <c r="H341" s="317">
        <v>0</v>
      </c>
      <c r="I341" s="318">
        <v>0</v>
      </c>
      <c r="J341" s="318">
        <v>47.429280114298201</v>
      </c>
      <c r="K341" s="319">
        <v>40.093418916398896</v>
      </c>
      <c r="L341" s="319">
        <v>40.093418916398896</v>
      </c>
      <c r="M341" s="319">
        <f t="shared" si="5"/>
        <v>40.093418916398896</v>
      </c>
      <c r="N341" s="317">
        <v>2.2332034336434186</v>
      </c>
      <c r="O341" s="315" t="s">
        <v>1168</v>
      </c>
      <c r="P341" s="318">
        <v>154</v>
      </c>
      <c r="R341" s="320">
        <v>67.777777777777771</v>
      </c>
      <c r="S341" s="318">
        <v>30</v>
      </c>
      <c r="T341" s="318">
        <v>68.241472000000002</v>
      </c>
      <c r="U341" s="318">
        <v>2.9527559999999999</v>
      </c>
      <c r="V341" s="315">
        <v>0.19</v>
      </c>
      <c r="W341" s="318">
        <v>15</v>
      </c>
      <c r="X341" s="315">
        <v>10</v>
      </c>
      <c r="Y341" s="315" t="s">
        <v>1440</v>
      </c>
      <c r="Z341" s="315">
        <v>3</v>
      </c>
      <c r="AA341" s="315" t="s">
        <v>1157</v>
      </c>
      <c r="AB341" s="315">
        <v>0.11916666666666666</v>
      </c>
      <c r="AC341" s="315">
        <v>5020</v>
      </c>
      <c r="AD341" s="315">
        <v>3871</v>
      </c>
      <c r="AE341" s="315">
        <v>0.82000000000000006</v>
      </c>
      <c r="AF341" s="315">
        <v>1.3</v>
      </c>
      <c r="AG341" s="315">
        <v>0.76</v>
      </c>
      <c r="AH341" s="315">
        <v>715</v>
      </c>
    </row>
    <row r="342" spans="1:34">
      <c r="A342" s="315" t="s">
        <v>1145</v>
      </c>
      <c r="B342" s="315" t="s">
        <v>1647</v>
      </c>
      <c r="C342" s="344" t="s">
        <v>1657</v>
      </c>
      <c r="D342" s="316" t="s">
        <v>1657</v>
      </c>
      <c r="E342" s="317">
        <v>16.399999999999999</v>
      </c>
      <c r="F342" s="317">
        <v>0</v>
      </c>
      <c r="G342" s="317">
        <v>0</v>
      </c>
      <c r="H342" s="317">
        <v>0</v>
      </c>
      <c r="I342" s="318">
        <v>0</v>
      </c>
      <c r="J342" s="318">
        <v>54.3522445171972</v>
      </c>
      <c r="K342" s="319">
        <v>38.1494480392521</v>
      </c>
      <c r="L342" s="319">
        <v>38.1494480392521</v>
      </c>
      <c r="M342" s="319">
        <f t="shared" si="5"/>
        <v>38.1494480392521</v>
      </c>
      <c r="N342" s="317">
        <v>6.2565094784373434</v>
      </c>
      <c r="O342" s="315" t="s">
        <v>1168</v>
      </c>
      <c r="P342" s="318">
        <v>154</v>
      </c>
      <c r="R342" s="320">
        <v>67.777777777777771</v>
      </c>
      <c r="S342" s="318">
        <v>30</v>
      </c>
      <c r="T342" s="318">
        <v>157.15223599999999</v>
      </c>
      <c r="U342" s="318">
        <v>5.9055119999999999</v>
      </c>
      <c r="V342" s="315">
        <v>0.2</v>
      </c>
      <c r="W342" s="318">
        <v>60</v>
      </c>
      <c r="X342" s="315">
        <v>10</v>
      </c>
      <c r="Y342" s="315" t="s">
        <v>1440</v>
      </c>
      <c r="Z342" s="315">
        <v>3</v>
      </c>
      <c r="AA342" s="315" t="s">
        <v>1157</v>
      </c>
      <c r="AB342" s="315">
        <v>0.11916666666666664</v>
      </c>
      <c r="AC342" s="315">
        <v>5163</v>
      </c>
      <c r="AD342" s="315">
        <v>3871</v>
      </c>
      <c r="AE342" s="315">
        <v>0.61</v>
      </c>
      <c r="AF342" s="315">
        <v>1.3</v>
      </c>
      <c r="AG342" s="315">
        <v>0.76</v>
      </c>
      <c r="AH342" s="315">
        <v>715</v>
      </c>
    </row>
    <row r="343" spans="1:34">
      <c r="A343" s="315" t="s">
        <v>1145</v>
      </c>
      <c r="B343" s="315" t="s">
        <v>1647</v>
      </c>
      <c r="C343" s="344" t="s">
        <v>1658</v>
      </c>
      <c r="D343" s="316" t="s">
        <v>1658</v>
      </c>
      <c r="E343" s="317">
        <v>0.02</v>
      </c>
      <c r="F343" s="317">
        <v>0</v>
      </c>
      <c r="G343" s="317">
        <v>0</v>
      </c>
      <c r="H343" s="317">
        <v>0</v>
      </c>
      <c r="I343" s="318">
        <v>0</v>
      </c>
      <c r="J343" s="318">
        <v>51.4580941005512</v>
      </c>
      <c r="K343" s="319">
        <v>38.691470039909198</v>
      </c>
      <c r="L343" s="319">
        <v>38.691470039909198</v>
      </c>
      <c r="M343" s="319">
        <f t="shared" si="5"/>
        <v>38.691470039909198</v>
      </c>
      <c r="N343" s="317">
        <v>7.7382940079818397E-3</v>
      </c>
      <c r="O343" s="315" t="s">
        <v>1168</v>
      </c>
      <c r="P343" s="318">
        <v>156</v>
      </c>
      <c r="R343" s="320">
        <v>68.888888888888886</v>
      </c>
      <c r="S343" s="318">
        <v>30</v>
      </c>
      <c r="T343" s="318">
        <v>131.2336</v>
      </c>
      <c r="U343" s="318">
        <v>10.498688000000001</v>
      </c>
      <c r="V343" s="315">
        <v>0.19</v>
      </c>
      <c r="W343" s="318">
        <v>20</v>
      </c>
      <c r="X343" s="315">
        <v>10</v>
      </c>
      <c r="Y343" s="315" t="s">
        <v>1440</v>
      </c>
      <c r="Z343" s="315">
        <v>3</v>
      </c>
      <c r="AA343" s="315" t="s">
        <v>1157</v>
      </c>
      <c r="AB343" s="315">
        <v>0.11916666666666666</v>
      </c>
      <c r="AC343" s="315">
        <v>5179</v>
      </c>
      <c r="AD343" s="315">
        <v>3871</v>
      </c>
      <c r="AE343" s="315">
        <v>0.71</v>
      </c>
      <c r="AF343" s="315">
        <v>1.3</v>
      </c>
      <c r="AG343" s="315">
        <v>0.76</v>
      </c>
      <c r="AH343" s="315">
        <v>715</v>
      </c>
    </row>
    <row r="344" spans="1:34">
      <c r="A344" s="315" t="s">
        <v>1145</v>
      </c>
      <c r="B344" s="315" t="s">
        <v>1659</v>
      </c>
      <c r="C344" s="316" t="s">
        <v>1660</v>
      </c>
      <c r="D344" s="316" t="s">
        <v>1660</v>
      </c>
      <c r="E344" s="317">
        <v>21.9</v>
      </c>
      <c r="F344" s="317">
        <v>0</v>
      </c>
      <c r="G344" s="317">
        <v>0</v>
      </c>
      <c r="H344" s="317">
        <v>0</v>
      </c>
      <c r="I344" s="318">
        <v>0</v>
      </c>
      <c r="J344" s="318">
        <v>45.696002228166797</v>
      </c>
      <c r="K344" s="319">
        <v>41.490896200704405</v>
      </c>
      <c r="L344" s="319">
        <v>41.490896200704405</v>
      </c>
      <c r="M344" s="319">
        <f t="shared" si="5"/>
        <v>41.490896200704405</v>
      </c>
      <c r="N344" s="317">
        <v>9.086506267954265</v>
      </c>
      <c r="O344" s="315" t="s">
        <v>1168</v>
      </c>
      <c r="P344" s="318">
        <v>117.45</v>
      </c>
      <c r="R344" s="320">
        <v>47.472222222222221</v>
      </c>
      <c r="S344" s="318">
        <v>29.8</v>
      </c>
      <c r="T344" s="318">
        <v>111.85257100000001</v>
      </c>
      <c r="U344" s="318">
        <v>40.461292000000007</v>
      </c>
      <c r="V344" s="315">
        <v>0.312</v>
      </c>
      <c r="W344" s="318">
        <v>460.16300000000001</v>
      </c>
      <c r="X344" s="315">
        <v>3</v>
      </c>
      <c r="Y344" s="315" t="s">
        <v>1149</v>
      </c>
      <c r="Z344" s="315">
        <v>0</v>
      </c>
      <c r="AA344" s="315" t="s">
        <v>1157</v>
      </c>
      <c r="AB344" s="315">
        <v>0.1585</v>
      </c>
      <c r="AC344" s="315">
        <v>3919.73</v>
      </c>
      <c r="AD344" s="315">
        <v>4733</v>
      </c>
      <c r="AE344" s="315">
        <v>0.88</v>
      </c>
      <c r="AF344" s="315">
        <v>1.4626183128981949</v>
      </c>
      <c r="AG344" s="315">
        <v>0.40300000000000002</v>
      </c>
      <c r="AH344" s="315">
        <v>951</v>
      </c>
    </row>
    <row r="345" spans="1:34">
      <c r="A345" s="315" t="s">
        <v>1145</v>
      </c>
      <c r="B345" s="315" t="s">
        <v>1659</v>
      </c>
      <c r="C345" s="316" t="s">
        <v>1661</v>
      </c>
      <c r="D345" s="316" t="s">
        <v>1661</v>
      </c>
      <c r="E345" s="317">
        <v>42.79</v>
      </c>
      <c r="F345" s="317">
        <v>0</v>
      </c>
      <c r="G345" s="317">
        <v>0</v>
      </c>
      <c r="H345" s="317">
        <v>0</v>
      </c>
      <c r="I345" s="318">
        <v>0</v>
      </c>
      <c r="J345" s="318">
        <v>46.264026145952101</v>
      </c>
      <c r="K345" s="319">
        <v>42.001351956610399</v>
      </c>
      <c r="L345" s="319">
        <v>42.001351956610399</v>
      </c>
      <c r="M345" s="319">
        <f t="shared" si="5"/>
        <v>42.001351956610399</v>
      </c>
      <c r="N345" s="317">
        <v>17.972378502233589</v>
      </c>
      <c r="O345" s="315" t="s">
        <v>1168</v>
      </c>
      <c r="P345" s="318">
        <v>120.13</v>
      </c>
      <c r="R345" s="320">
        <v>48.961111111111109</v>
      </c>
      <c r="S345" s="318">
        <v>29.8</v>
      </c>
      <c r="T345" s="318">
        <v>216.51318999999998</v>
      </c>
      <c r="U345" s="318">
        <v>73.061308000000011</v>
      </c>
      <c r="V345" s="315">
        <v>0.28499999999999998</v>
      </c>
      <c r="W345" s="318">
        <v>258.01600000000002</v>
      </c>
      <c r="X345" s="315">
        <v>3</v>
      </c>
      <c r="Y345" s="315" t="s">
        <v>1149</v>
      </c>
      <c r="Z345" s="315">
        <v>0</v>
      </c>
      <c r="AA345" s="315" t="s">
        <v>1157</v>
      </c>
      <c r="AB345" s="315">
        <v>0.1585</v>
      </c>
      <c r="AC345" s="315">
        <v>3980.9</v>
      </c>
      <c r="AD345" s="315">
        <v>4733</v>
      </c>
      <c r="AE345" s="315">
        <v>0.86099999999999999</v>
      </c>
      <c r="AF345" s="315">
        <v>1.4626183128981949</v>
      </c>
      <c r="AG345" s="315">
        <v>0.40300000000000002</v>
      </c>
      <c r="AH345" s="315">
        <v>951</v>
      </c>
    </row>
    <row r="346" spans="1:34">
      <c r="A346" s="315" t="s">
        <v>1145</v>
      </c>
      <c r="B346" s="315" t="s">
        <v>1659</v>
      </c>
      <c r="C346" s="316" t="s">
        <v>1662</v>
      </c>
      <c r="D346" s="316" t="s">
        <v>1662</v>
      </c>
      <c r="E346" s="317">
        <v>3.3</v>
      </c>
      <c r="F346" s="317">
        <v>0</v>
      </c>
      <c r="G346" s="317">
        <v>0</v>
      </c>
      <c r="H346" s="317">
        <v>0</v>
      </c>
      <c r="I346" s="318">
        <v>0</v>
      </c>
      <c r="J346" s="318">
        <v>51.497875049626899</v>
      </c>
      <c r="K346" s="319">
        <v>38.482686566502601</v>
      </c>
      <c r="L346" s="319">
        <v>38.482686566502601</v>
      </c>
      <c r="M346" s="319">
        <f t="shared" si="5"/>
        <v>38.482686566502601</v>
      </c>
      <c r="N346" s="317">
        <v>1.2699286566945858</v>
      </c>
      <c r="O346" s="315" t="s">
        <v>1168</v>
      </c>
      <c r="P346" s="318">
        <v>159.75</v>
      </c>
      <c r="R346" s="320">
        <v>70.972222222222229</v>
      </c>
      <c r="S346" s="318">
        <v>31.6</v>
      </c>
      <c r="T346" s="318">
        <v>62.240569999999998</v>
      </c>
      <c r="U346" s="318">
        <v>8.3927979999999991</v>
      </c>
      <c r="V346" s="315">
        <v>0.185</v>
      </c>
      <c r="W346" s="318">
        <v>23.465</v>
      </c>
      <c r="X346" s="315">
        <v>3</v>
      </c>
      <c r="Y346" s="315" t="s">
        <v>1149</v>
      </c>
      <c r="Z346" s="315">
        <v>0</v>
      </c>
      <c r="AA346" s="315" t="s">
        <v>1157</v>
      </c>
      <c r="AB346" s="315">
        <v>0.15849999999999995</v>
      </c>
      <c r="AC346" s="315">
        <v>5785</v>
      </c>
      <c r="AD346" s="315">
        <v>5198</v>
      </c>
      <c r="AE346" s="315">
        <v>0.76900000000000002</v>
      </c>
      <c r="AF346" s="315">
        <v>1.6129826498165041</v>
      </c>
      <c r="AG346" s="315">
        <v>0.55200000000000005</v>
      </c>
      <c r="AH346" s="315">
        <v>951.44053360062856</v>
      </c>
    </row>
    <row r="347" spans="1:34">
      <c r="A347" s="315" t="s">
        <v>1145</v>
      </c>
      <c r="B347" s="315" t="s">
        <v>1659</v>
      </c>
      <c r="C347" s="316" t="s">
        <v>1663</v>
      </c>
      <c r="D347" s="316" t="s">
        <v>1663</v>
      </c>
      <c r="E347" s="317">
        <v>4.3099999999999996</v>
      </c>
      <c r="F347" s="317">
        <v>0</v>
      </c>
      <c r="G347" s="317">
        <v>0</v>
      </c>
      <c r="H347" s="317">
        <v>0</v>
      </c>
      <c r="I347" s="318">
        <v>0</v>
      </c>
      <c r="J347" s="318">
        <v>0</v>
      </c>
      <c r="K347" s="319">
        <v>0</v>
      </c>
      <c r="L347" s="319">
        <v>0</v>
      </c>
      <c r="M347" s="319">
        <f t="shared" si="5"/>
        <v>0</v>
      </c>
      <c r="N347" s="317">
        <v>0</v>
      </c>
      <c r="O347" s="315" t="s">
        <v>1168</v>
      </c>
      <c r="P347" s="318">
        <v>159.75</v>
      </c>
      <c r="R347" s="320">
        <v>70.972222222222229</v>
      </c>
      <c r="S347" s="318">
        <v>31.6</v>
      </c>
      <c r="T347" s="318">
        <v>82.451530000000005</v>
      </c>
      <c r="U347" s="318">
        <v>3.6353480000000005</v>
      </c>
      <c r="V347" s="315">
        <v>0.2</v>
      </c>
      <c r="W347" s="318">
        <v>5.7880000000000003</v>
      </c>
      <c r="X347" s="315">
        <v>3</v>
      </c>
      <c r="Y347" s="315" t="s">
        <v>1149</v>
      </c>
      <c r="Z347" s="315">
        <v>0</v>
      </c>
      <c r="AA347" s="315" t="s">
        <v>1157</v>
      </c>
      <c r="AB347" s="315">
        <v>0.1585</v>
      </c>
      <c r="AC347" s="315">
        <v>5785</v>
      </c>
      <c r="AD347" s="315">
        <v>5198</v>
      </c>
      <c r="AE347" s="315">
        <v>0.78</v>
      </c>
      <c r="AF347" s="315">
        <v>1.6129826498165041</v>
      </c>
      <c r="AG347" s="315">
        <v>0.55200000000000005</v>
      </c>
      <c r="AH347" s="315">
        <v>951.44053360062856</v>
      </c>
    </row>
    <row r="348" spans="1:34">
      <c r="A348" s="315" t="s">
        <v>1145</v>
      </c>
      <c r="B348" s="315" t="s">
        <v>1659</v>
      </c>
      <c r="C348" s="316" t="s">
        <v>1664</v>
      </c>
      <c r="D348" s="316" t="s">
        <v>1664</v>
      </c>
      <c r="E348" s="317">
        <v>0.67</v>
      </c>
      <c r="F348" s="317">
        <v>0</v>
      </c>
      <c r="G348" s="317">
        <v>0</v>
      </c>
      <c r="H348" s="317">
        <v>0</v>
      </c>
      <c r="I348" s="318">
        <v>0</v>
      </c>
      <c r="J348" s="318">
        <v>58.128571626857998</v>
      </c>
      <c r="K348" s="319">
        <v>36.578064322059397</v>
      </c>
      <c r="L348" s="319">
        <v>36.578064322059397</v>
      </c>
      <c r="M348" s="319">
        <f t="shared" si="5"/>
        <v>36.578064322059397</v>
      </c>
      <c r="N348" s="317">
        <v>0.24507303095779795</v>
      </c>
      <c r="O348" s="315" t="s">
        <v>1168</v>
      </c>
      <c r="P348" s="318">
        <v>162.15</v>
      </c>
      <c r="R348" s="320">
        <v>72.305555555555557</v>
      </c>
      <c r="S348" s="318">
        <v>31.6</v>
      </c>
      <c r="T348" s="318">
        <v>340.23970000000003</v>
      </c>
      <c r="U348" s="318">
        <v>19.997695</v>
      </c>
      <c r="V348" s="315">
        <v>0.185</v>
      </c>
      <c r="W348" s="318">
        <v>6.0430000000000001</v>
      </c>
      <c r="X348" s="315">
        <v>3</v>
      </c>
      <c r="Y348" s="315" t="s">
        <v>1149</v>
      </c>
      <c r="Z348" s="315">
        <v>0</v>
      </c>
      <c r="AA348" s="315" t="s">
        <v>1157</v>
      </c>
      <c r="AB348" s="315">
        <v>0.1585</v>
      </c>
      <c r="AC348" s="315">
        <v>6076.59</v>
      </c>
      <c r="AD348" s="315">
        <v>5198</v>
      </c>
      <c r="AE348" s="315">
        <v>0.745</v>
      </c>
      <c r="AF348" s="315">
        <v>1.6129826498165041</v>
      </c>
      <c r="AG348" s="315">
        <v>0.55200000000000005</v>
      </c>
      <c r="AH348" s="315">
        <v>951.44053360062856</v>
      </c>
    </row>
    <row r="349" spans="1:34">
      <c r="A349" s="315" t="s">
        <v>1145</v>
      </c>
      <c r="B349" s="315" t="s">
        <v>1659</v>
      </c>
      <c r="C349" s="316" t="s">
        <v>1665</v>
      </c>
      <c r="D349" s="316" t="s">
        <v>1665</v>
      </c>
      <c r="E349" s="317">
        <v>0.56000000000000005</v>
      </c>
      <c r="F349" s="317">
        <v>0</v>
      </c>
      <c r="G349" s="317">
        <v>0</v>
      </c>
      <c r="H349" s="317">
        <v>0</v>
      </c>
      <c r="I349" s="318">
        <v>0</v>
      </c>
      <c r="J349" s="318">
        <v>54.017043560724801</v>
      </c>
      <c r="K349" s="319">
        <v>38.2628946763733</v>
      </c>
      <c r="L349" s="319">
        <v>38.2628946763733</v>
      </c>
      <c r="M349" s="319">
        <f t="shared" si="5"/>
        <v>38.2628946763733</v>
      </c>
      <c r="N349" s="317">
        <v>0.21427221018769049</v>
      </c>
      <c r="O349" s="315" t="s">
        <v>1168</v>
      </c>
      <c r="P349" s="318">
        <v>162.15</v>
      </c>
      <c r="R349" s="320">
        <v>72.305555555555557</v>
      </c>
      <c r="S349" s="318">
        <v>31.6</v>
      </c>
      <c r="T349" s="318">
        <v>101.711</v>
      </c>
      <c r="U349" s="318">
        <v>11.998617000000001</v>
      </c>
      <c r="V349" s="315">
        <v>0.219</v>
      </c>
      <c r="W349" s="318">
        <v>471.82499999999999</v>
      </c>
      <c r="X349" s="315">
        <v>3</v>
      </c>
      <c r="Y349" s="315" t="s">
        <v>1149</v>
      </c>
      <c r="Z349" s="315">
        <v>0</v>
      </c>
      <c r="AA349" s="315" t="s">
        <v>1157</v>
      </c>
      <c r="AB349" s="315">
        <v>0.15850000000000003</v>
      </c>
      <c r="AC349" s="315">
        <v>6076.59</v>
      </c>
      <c r="AD349" s="315">
        <v>5198</v>
      </c>
      <c r="AE349" s="315">
        <v>0.753</v>
      </c>
      <c r="AF349" s="315">
        <v>1.6129826498165041</v>
      </c>
      <c r="AG349" s="315">
        <v>0.55200000000000005</v>
      </c>
      <c r="AH349" s="315">
        <v>951.44053360062856</v>
      </c>
    </row>
    <row r="350" spans="1:34">
      <c r="A350" s="315" t="s">
        <v>1334</v>
      </c>
      <c r="B350" s="315" t="s">
        <v>1659</v>
      </c>
      <c r="C350" s="316" t="s">
        <v>1666</v>
      </c>
      <c r="D350" s="316" t="s">
        <v>1666</v>
      </c>
      <c r="E350" s="317">
        <v>5.78</v>
      </c>
      <c r="F350" s="317">
        <v>0</v>
      </c>
      <c r="G350" s="317">
        <v>0</v>
      </c>
      <c r="H350" s="317">
        <v>0</v>
      </c>
      <c r="I350" s="318">
        <v>0</v>
      </c>
      <c r="J350" s="318">
        <v>57.4860146741376</v>
      </c>
      <c r="K350" s="319">
        <v>37.984140417756301</v>
      </c>
      <c r="L350" s="319">
        <v>37.984140417756301</v>
      </c>
      <c r="M350" s="319">
        <f t="shared" si="5"/>
        <v>37.984140417756301</v>
      </c>
      <c r="N350" s="317">
        <v>2.1954833161463143</v>
      </c>
      <c r="O350" s="315" t="s">
        <v>1168</v>
      </c>
      <c r="P350" s="318">
        <v>162.15</v>
      </c>
      <c r="R350" s="320">
        <v>72.305555555555557</v>
      </c>
      <c r="S350" s="318">
        <v>31.6</v>
      </c>
      <c r="T350" s="318">
        <v>272.97920000000005</v>
      </c>
      <c r="U350" s="318">
        <v>63.510317000000001</v>
      </c>
      <c r="V350" s="315">
        <v>0.219</v>
      </c>
      <c r="W350" s="318">
        <v>181.26499999999999</v>
      </c>
      <c r="X350" s="315">
        <v>3</v>
      </c>
      <c r="Y350" s="315" t="s">
        <v>1149</v>
      </c>
      <c r="Z350" s="315">
        <v>0</v>
      </c>
      <c r="AA350" s="315" t="s">
        <v>1157</v>
      </c>
      <c r="AB350" s="315">
        <v>0.1585</v>
      </c>
      <c r="AC350" s="315">
        <v>6076.59</v>
      </c>
      <c r="AD350" s="315">
        <v>5198</v>
      </c>
      <c r="AE350" s="315">
        <v>0.72199999999999998</v>
      </c>
      <c r="AF350" s="315">
        <v>1.6129826498165041</v>
      </c>
      <c r="AG350" s="315">
        <v>0.55200000000000005</v>
      </c>
      <c r="AH350" s="315">
        <v>951.44053360062856</v>
      </c>
    </row>
    <row r="351" spans="1:34">
      <c r="A351" s="315" t="s">
        <v>1334</v>
      </c>
      <c r="B351" s="315" t="s">
        <v>1659</v>
      </c>
      <c r="C351" s="316" t="s">
        <v>1667</v>
      </c>
      <c r="D351" s="316" t="s">
        <v>1667</v>
      </c>
      <c r="E351" s="317">
        <v>10.36</v>
      </c>
      <c r="F351" s="317">
        <v>0</v>
      </c>
      <c r="G351" s="317">
        <v>0</v>
      </c>
      <c r="H351" s="317">
        <v>0</v>
      </c>
      <c r="I351" s="318">
        <v>0</v>
      </c>
      <c r="J351" s="318">
        <v>51.354672788981901</v>
      </c>
      <c r="K351" s="319">
        <v>38.534086400256101</v>
      </c>
      <c r="L351" s="319">
        <v>38.534086400256101</v>
      </c>
      <c r="M351" s="319">
        <f t="shared" si="5"/>
        <v>38.534086400256101</v>
      </c>
      <c r="N351" s="317">
        <v>3.9921313510665319</v>
      </c>
      <c r="O351" s="315" t="s">
        <v>1168</v>
      </c>
      <c r="P351" s="318">
        <v>176.4</v>
      </c>
      <c r="R351" s="320">
        <v>80.222222222222229</v>
      </c>
      <c r="S351" s="318">
        <v>31.6</v>
      </c>
      <c r="T351" s="318">
        <v>198.40207000000001</v>
      </c>
      <c r="U351" s="318">
        <v>18.3736</v>
      </c>
      <c r="V351" s="315">
        <v>0.17899999999999999</v>
      </c>
      <c r="W351" s="318">
        <v>4.79</v>
      </c>
      <c r="X351" s="315">
        <v>3</v>
      </c>
      <c r="Y351" s="315" t="s">
        <v>1149</v>
      </c>
      <c r="Z351" s="315">
        <v>0</v>
      </c>
      <c r="AA351" s="315" t="s">
        <v>1157</v>
      </c>
      <c r="AB351" s="315">
        <v>0.1585</v>
      </c>
      <c r="AC351" s="315">
        <v>6076.59</v>
      </c>
      <c r="AD351" s="315">
        <v>5198</v>
      </c>
      <c r="AE351" s="315">
        <v>0.75800000000000001</v>
      </c>
      <c r="AF351" s="315">
        <v>1.6129826498165041</v>
      </c>
      <c r="AG351" s="315">
        <v>0.55200000000000005</v>
      </c>
      <c r="AH351" s="315">
        <v>951.44053360062856</v>
      </c>
    </row>
    <row r="352" spans="1:34">
      <c r="A352" s="315" t="s">
        <v>1334</v>
      </c>
      <c r="B352" s="315" t="s">
        <v>1659</v>
      </c>
      <c r="C352" s="316" t="s">
        <v>1668</v>
      </c>
      <c r="D352" s="316" t="s">
        <v>1668</v>
      </c>
      <c r="E352" s="317">
        <v>9.2200000000000006</v>
      </c>
      <c r="F352" s="317">
        <v>0</v>
      </c>
      <c r="G352" s="317">
        <v>0</v>
      </c>
      <c r="H352" s="317">
        <v>0</v>
      </c>
      <c r="I352" s="318">
        <v>0</v>
      </c>
      <c r="J352" s="318">
        <v>52.259339951854699</v>
      </c>
      <c r="K352" s="319">
        <v>37.905919388152697</v>
      </c>
      <c r="L352" s="319">
        <v>37.905919388152697</v>
      </c>
      <c r="M352" s="319">
        <f t="shared" si="5"/>
        <v>37.905919388152697</v>
      </c>
      <c r="N352" s="317">
        <v>3.494925767587679</v>
      </c>
      <c r="O352" s="315" t="s">
        <v>1168</v>
      </c>
      <c r="P352" s="318">
        <v>176.4</v>
      </c>
      <c r="R352" s="320">
        <v>80.222222222222229</v>
      </c>
      <c r="S352" s="318">
        <v>31.6</v>
      </c>
      <c r="T352" s="318">
        <v>177.37086000000002</v>
      </c>
      <c r="U352" s="318">
        <v>20.47344</v>
      </c>
      <c r="V352" s="315">
        <v>0.17499999999999999</v>
      </c>
      <c r="W352" s="318">
        <v>8.83</v>
      </c>
      <c r="X352" s="315">
        <v>3</v>
      </c>
      <c r="Y352" s="315" t="s">
        <v>1149</v>
      </c>
      <c r="Z352" s="315">
        <v>0</v>
      </c>
      <c r="AA352" s="315" t="s">
        <v>1157</v>
      </c>
      <c r="AB352" s="315">
        <v>0.20699999999999999</v>
      </c>
      <c r="AC352" s="315">
        <v>5483</v>
      </c>
      <c r="AD352" s="315">
        <v>4733</v>
      </c>
      <c r="AE352" s="315">
        <v>0.54</v>
      </c>
      <c r="AF352" s="315">
        <v>1.4626183128981949</v>
      </c>
      <c r="AG352" s="315">
        <v>0.40300000000000002</v>
      </c>
      <c r="AH352" s="315">
        <v>1241.6161544243794</v>
      </c>
    </row>
    <row r="353" spans="1:34">
      <c r="A353" s="315" t="s">
        <v>1334</v>
      </c>
      <c r="B353" s="315" t="s">
        <v>1659</v>
      </c>
      <c r="C353" s="316" t="s">
        <v>1669</v>
      </c>
      <c r="D353" s="316" t="s">
        <v>1669</v>
      </c>
      <c r="E353" s="317">
        <v>11.99</v>
      </c>
      <c r="F353" s="317">
        <v>0</v>
      </c>
      <c r="G353" s="317">
        <v>0</v>
      </c>
      <c r="H353" s="317">
        <v>0</v>
      </c>
      <c r="I353" s="318">
        <v>0</v>
      </c>
      <c r="J353" s="318">
        <v>0</v>
      </c>
      <c r="K353" s="319">
        <v>0</v>
      </c>
      <c r="L353" s="319">
        <v>0</v>
      </c>
      <c r="M353" s="319">
        <f t="shared" si="5"/>
        <v>0</v>
      </c>
      <c r="N353" s="317">
        <v>0</v>
      </c>
      <c r="O353" s="315" t="s">
        <v>1168</v>
      </c>
      <c r="P353" s="318">
        <v>176.4</v>
      </c>
      <c r="R353" s="320">
        <v>80.222222222222229</v>
      </c>
      <c r="S353" s="318">
        <v>31.6</v>
      </c>
      <c r="T353" s="318">
        <v>236.19918999999999</v>
      </c>
      <c r="U353" s="318">
        <v>6.3585780000000005</v>
      </c>
      <c r="V353" s="315">
        <v>0.16800000000000001</v>
      </c>
      <c r="W353" s="318">
        <v>2.1230000000000002</v>
      </c>
      <c r="X353" s="315">
        <v>3</v>
      </c>
      <c r="Y353" s="315" t="s">
        <v>1149</v>
      </c>
      <c r="Z353" s="315">
        <v>0</v>
      </c>
      <c r="AA353" s="315" t="s">
        <v>1157</v>
      </c>
      <c r="AB353" s="315">
        <v>0.20699999999999999</v>
      </c>
      <c r="AC353" s="315">
        <v>5483</v>
      </c>
      <c r="AD353" s="315">
        <v>4733</v>
      </c>
      <c r="AE353" s="315">
        <v>0.63</v>
      </c>
      <c r="AF353" s="315">
        <v>1.4626183128981949</v>
      </c>
      <c r="AG353" s="315">
        <v>0.40300000000000002</v>
      </c>
      <c r="AH353" s="315">
        <v>1241.6161544243794</v>
      </c>
    </row>
    <row r="354" spans="1:34">
      <c r="A354" s="315" t="s">
        <v>1145</v>
      </c>
      <c r="B354" s="315" t="s">
        <v>1659</v>
      </c>
      <c r="C354" s="316" t="s">
        <v>1670</v>
      </c>
      <c r="D354" s="316" t="s">
        <v>1670</v>
      </c>
      <c r="E354" s="317">
        <v>11.5</v>
      </c>
      <c r="F354" s="317">
        <v>0</v>
      </c>
      <c r="G354" s="317">
        <v>0</v>
      </c>
      <c r="H354" s="317">
        <v>0</v>
      </c>
      <c r="I354" s="318">
        <v>0</v>
      </c>
      <c r="J354" s="318">
        <v>51.5351045146502</v>
      </c>
      <c r="K354" s="319">
        <v>38.7427063832804</v>
      </c>
      <c r="L354" s="319">
        <v>38.7427063832804</v>
      </c>
      <c r="M354" s="319">
        <f t="shared" si="5"/>
        <v>38.7427063832804</v>
      </c>
      <c r="N354" s="317">
        <v>4.4554112340772463</v>
      </c>
      <c r="O354" s="315" t="s">
        <v>1168</v>
      </c>
      <c r="P354" s="318">
        <v>176.4</v>
      </c>
      <c r="R354" s="320">
        <v>80.222222222222229</v>
      </c>
      <c r="S354" s="318">
        <v>31.6</v>
      </c>
      <c r="T354" s="318">
        <v>190.36362000000003</v>
      </c>
      <c r="U354" s="318">
        <v>19.495702000000001</v>
      </c>
      <c r="V354" s="315">
        <v>0.17899999999999999</v>
      </c>
      <c r="W354" s="318">
        <v>90.731999999999999</v>
      </c>
      <c r="X354" s="315">
        <v>3</v>
      </c>
      <c r="Y354" s="315" t="s">
        <v>1149</v>
      </c>
      <c r="Z354" s="315">
        <v>0</v>
      </c>
      <c r="AA354" s="315" t="s">
        <v>1157</v>
      </c>
      <c r="AB354" s="315">
        <v>0.1585</v>
      </c>
      <c r="AC354" s="315">
        <v>5483</v>
      </c>
      <c r="AD354" s="315">
        <v>5198</v>
      </c>
      <c r="AE354" s="315">
        <v>0.54600000000000004</v>
      </c>
      <c r="AF354" s="315">
        <v>1.6129826498165041</v>
      </c>
      <c r="AG354" s="315">
        <v>0.55200000000000005</v>
      </c>
      <c r="AH354" s="315">
        <v>951.44053360062856</v>
      </c>
    </row>
    <row r="355" spans="1:34">
      <c r="A355" s="315" t="s">
        <v>1145</v>
      </c>
      <c r="B355" s="315" t="s">
        <v>1671</v>
      </c>
      <c r="C355" s="316" t="s">
        <v>1672</v>
      </c>
      <c r="D355" s="316" t="s">
        <v>1673</v>
      </c>
      <c r="E355" s="317">
        <v>322</v>
      </c>
      <c r="F355" s="317">
        <v>0</v>
      </c>
      <c r="G355" s="317">
        <v>0</v>
      </c>
      <c r="H355" s="317">
        <v>33.232925600000002</v>
      </c>
      <c r="I355" s="318">
        <v>10.320784347826088</v>
      </c>
      <c r="J355" s="318">
        <v>50.207646081031001</v>
      </c>
      <c r="K355" s="319">
        <v>40.445519267993603</v>
      </c>
      <c r="L355" s="319">
        <v>30.124734920167516</v>
      </c>
      <c r="M355" s="319">
        <f t="shared" si="5"/>
        <v>30.124734920167516</v>
      </c>
      <c r="N355" s="317">
        <v>97.001646442939403</v>
      </c>
      <c r="O355" s="315" t="s">
        <v>1168</v>
      </c>
      <c r="P355" s="318">
        <v>136</v>
      </c>
      <c r="R355" s="320">
        <v>57.777777777777779</v>
      </c>
      <c r="S355" s="318">
        <v>32</v>
      </c>
      <c r="T355" s="318">
        <v>164.05</v>
      </c>
      <c r="U355" s="318">
        <v>0</v>
      </c>
      <c r="V355" s="315">
        <v>0.28999999999999998</v>
      </c>
      <c r="W355" s="318">
        <v>110</v>
      </c>
      <c r="X355" s="315">
        <v>4</v>
      </c>
      <c r="Y355" s="315" t="s">
        <v>1154</v>
      </c>
      <c r="Z355" s="315">
        <v>3</v>
      </c>
      <c r="AA355" s="315" t="s">
        <v>1157</v>
      </c>
      <c r="AB355" s="315">
        <v>0</v>
      </c>
      <c r="AC355" s="315">
        <v>5213</v>
      </c>
      <c r="AD355" s="315">
        <v>4427</v>
      </c>
      <c r="AE355" s="315">
        <v>0.7</v>
      </c>
      <c r="AF355" s="315">
        <v>1.37</v>
      </c>
      <c r="AG355" s="315">
        <v>0.45</v>
      </c>
      <c r="AH355" s="315">
        <v>1000</v>
      </c>
    </row>
    <row r="356" spans="1:34">
      <c r="A356" s="315" t="s">
        <v>1145</v>
      </c>
      <c r="B356" s="315" t="s">
        <v>1671</v>
      </c>
      <c r="C356" s="316" t="s">
        <v>1674</v>
      </c>
      <c r="D356" s="316" t="s">
        <v>1675</v>
      </c>
      <c r="E356" s="317">
        <v>111</v>
      </c>
      <c r="F356" s="317">
        <v>0</v>
      </c>
      <c r="G356" s="317">
        <v>0</v>
      </c>
      <c r="H356" s="317">
        <v>20.582883199999998</v>
      </c>
      <c r="I356" s="318">
        <v>18.543138018018016</v>
      </c>
      <c r="J356" s="318">
        <v>49.762232576440603</v>
      </c>
      <c r="K356" s="319">
        <v>41.024664956179301</v>
      </c>
      <c r="L356" s="319">
        <v>22.481526938161284</v>
      </c>
      <c r="M356" s="319">
        <f t="shared" si="5"/>
        <v>22.481526938161284</v>
      </c>
      <c r="N356" s="317">
        <v>24.954494901359023</v>
      </c>
      <c r="O356" s="315" t="s">
        <v>1168</v>
      </c>
      <c r="P356" s="318">
        <v>170</v>
      </c>
      <c r="R356" s="320">
        <v>76.666666666666671</v>
      </c>
      <c r="S356" s="318">
        <v>32</v>
      </c>
      <c r="T356" s="318">
        <v>426.53000000000003</v>
      </c>
      <c r="U356" s="318">
        <v>0</v>
      </c>
      <c r="V356" s="315">
        <v>0.24</v>
      </c>
      <c r="W356" s="318">
        <v>150</v>
      </c>
      <c r="X356" s="315">
        <v>6</v>
      </c>
      <c r="Y356" s="315" t="s">
        <v>1154</v>
      </c>
      <c r="Z356" s="315">
        <v>5</v>
      </c>
      <c r="AA356" s="315" t="s">
        <v>1157</v>
      </c>
      <c r="AB356" s="315">
        <v>0.2</v>
      </c>
      <c r="AC356" s="315">
        <v>4143</v>
      </c>
      <c r="AD356" s="315">
        <v>3802</v>
      </c>
      <c r="AE356" s="315">
        <v>0.7</v>
      </c>
      <c r="AF356" s="315">
        <v>1.31</v>
      </c>
      <c r="AG356" s="315">
        <v>0.625</v>
      </c>
      <c r="AH356" s="315">
        <v>800</v>
      </c>
    </row>
    <row r="357" spans="1:34">
      <c r="A357" s="315" t="s">
        <v>1145</v>
      </c>
      <c r="B357" s="315" t="s">
        <v>1676</v>
      </c>
      <c r="C357" s="316" t="s">
        <v>1677</v>
      </c>
      <c r="D357" s="316" t="s">
        <v>1677</v>
      </c>
      <c r="E357" s="317">
        <v>21.1</v>
      </c>
      <c r="F357" s="317">
        <v>9.0432469999999991</v>
      </c>
      <c r="G357" s="317">
        <v>9.0399999999999991</v>
      </c>
      <c r="H357" s="317">
        <v>9.0399999999999991</v>
      </c>
      <c r="I357" s="318">
        <v>42.843601895734587</v>
      </c>
      <c r="J357" s="318">
        <v>60.427381000181498</v>
      </c>
      <c r="K357" s="319">
        <v>41.548317830644599</v>
      </c>
      <c r="L357" s="319">
        <v>-1.2952840650899873</v>
      </c>
      <c r="M357" s="319">
        <f t="shared" si="5"/>
        <v>0</v>
      </c>
      <c r="N357" s="317">
        <v>0</v>
      </c>
      <c r="O357" s="315" t="s">
        <v>1148</v>
      </c>
      <c r="P357" s="318">
        <v>216</v>
      </c>
      <c r="R357" s="320">
        <v>102.22222222222223</v>
      </c>
      <c r="S357" s="318">
        <v>46</v>
      </c>
      <c r="T357" s="318">
        <v>85.305999999999997</v>
      </c>
      <c r="U357" s="318">
        <v>45.934000000000005</v>
      </c>
      <c r="V357" s="315">
        <v>0.23</v>
      </c>
      <c r="W357" s="318">
        <v>300</v>
      </c>
      <c r="X357" s="315">
        <v>7</v>
      </c>
      <c r="Y357" s="315" t="s">
        <v>1149</v>
      </c>
      <c r="Z357" s="315">
        <v>0</v>
      </c>
      <c r="AA357" s="315" t="s">
        <v>1150</v>
      </c>
      <c r="AB357" s="315">
        <v>1.64</v>
      </c>
      <c r="AC357" s="315">
        <v>2427</v>
      </c>
      <c r="AD357" s="315">
        <v>2427</v>
      </c>
      <c r="AE357" s="315">
        <v>0.61</v>
      </c>
      <c r="AF357" s="315">
        <v>1.4079999999999999</v>
      </c>
      <c r="AG357" s="315">
        <v>0.43</v>
      </c>
      <c r="AH357" s="315">
        <v>615</v>
      </c>
    </row>
    <row r="358" spans="1:34">
      <c r="A358" s="315" t="s">
        <v>1678</v>
      </c>
      <c r="B358" s="315" t="s">
        <v>1679</v>
      </c>
      <c r="C358" s="316" t="s">
        <v>1680</v>
      </c>
      <c r="D358" s="316" t="s">
        <v>1680</v>
      </c>
      <c r="E358" s="317">
        <v>21</v>
      </c>
      <c r="F358" s="317">
        <v>0</v>
      </c>
      <c r="G358" s="317">
        <v>0</v>
      </c>
      <c r="H358" s="317">
        <v>0</v>
      </c>
      <c r="I358" s="318">
        <v>0</v>
      </c>
      <c r="J358" s="318">
        <v>57.399816689214397</v>
      </c>
      <c r="K358" s="319">
        <v>39.772224180540697</v>
      </c>
      <c r="L358" s="319">
        <v>39.772224180540697</v>
      </c>
      <c r="M358" s="319">
        <f t="shared" si="5"/>
        <v>39.772224180540697</v>
      </c>
      <c r="N358" s="317">
        <v>8.3521670779135455</v>
      </c>
      <c r="O358" s="315" t="s">
        <v>1168</v>
      </c>
      <c r="P358" s="318">
        <v>241</v>
      </c>
      <c r="R358" s="320">
        <v>116.11111111111111</v>
      </c>
      <c r="S358" s="318">
        <v>43</v>
      </c>
      <c r="T358" s="318">
        <v>66.276200000000003</v>
      </c>
      <c r="U358" s="318">
        <v>147.64500000000001</v>
      </c>
      <c r="V358" s="315">
        <v>0.23</v>
      </c>
      <c r="W358" s="318">
        <v>800</v>
      </c>
      <c r="X358" s="315">
        <v>1</v>
      </c>
      <c r="Y358" s="315" t="s">
        <v>1149</v>
      </c>
      <c r="Z358" s="315">
        <v>0</v>
      </c>
      <c r="AA358" s="315" t="s">
        <v>1150</v>
      </c>
      <c r="AB358" s="315">
        <v>0</v>
      </c>
      <c r="AC358" s="315">
        <v>2709</v>
      </c>
      <c r="AD358" s="315">
        <v>2634</v>
      </c>
      <c r="AE358" s="315">
        <v>0.63</v>
      </c>
      <c r="AF358" s="315">
        <v>1.329</v>
      </c>
      <c r="AG358" s="315">
        <v>0.49</v>
      </c>
      <c r="AH358" s="315">
        <v>728</v>
      </c>
    </row>
    <row r="359" spans="1:34">
      <c r="A359" s="315" t="s">
        <v>1145</v>
      </c>
      <c r="B359" s="315" t="s">
        <v>1681</v>
      </c>
      <c r="C359" s="316" t="s">
        <v>1682</v>
      </c>
      <c r="D359" s="316" t="s">
        <v>1682</v>
      </c>
      <c r="E359" s="317">
        <v>26.781000000000002</v>
      </c>
      <c r="F359" s="317">
        <v>8.0117900000000013</v>
      </c>
      <c r="G359" s="317">
        <v>8.0117900000000013</v>
      </c>
      <c r="H359" s="317">
        <v>8.0117900000000013</v>
      </c>
      <c r="I359" s="318">
        <v>29.915947873492403</v>
      </c>
      <c r="J359" s="318">
        <v>63.115209601249397</v>
      </c>
      <c r="K359" s="319">
        <v>36.149001216975698</v>
      </c>
      <c r="L359" s="319">
        <v>6.2330533434832951</v>
      </c>
      <c r="M359" s="319">
        <f t="shared" si="5"/>
        <v>6.2330533434832951</v>
      </c>
      <c r="N359" s="317">
        <v>1.6692740159182613</v>
      </c>
      <c r="O359" s="315" t="s">
        <v>1148</v>
      </c>
      <c r="P359" s="318">
        <v>250</v>
      </c>
      <c r="R359" s="320">
        <v>121.11111111111111</v>
      </c>
      <c r="S359" s="318">
        <v>31.1</v>
      </c>
      <c r="T359" s="318">
        <v>15</v>
      </c>
      <c r="U359" s="318">
        <v>120</v>
      </c>
      <c r="V359" s="315">
        <v>0.21</v>
      </c>
      <c r="W359" s="318">
        <v>200</v>
      </c>
      <c r="X359" s="315">
        <v>5</v>
      </c>
      <c r="Y359" s="315" t="s">
        <v>1149</v>
      </c>
      <c r="Z359" s="315">
        <v>0</v>
      </c>
      <c r="AA359" s="315" t="s">
        <v>1190</v>
      </c>
      <c r="AB359" s="315">
        <v>0</v>
      </c>
      <c r="AC359" s="315">
        <v>3071</v>
      </c>
      <c r="AD359" s="315">
        <v>752</v>
      </c>
      <c r="AE359" s="315">
        <v>0.8</v>
      </c>
      <c r="AF359" s="315">
        <v>1.1599999999999999</v>
      </c>
      <c r="AG359" s="315">
        <v>3.9</v>
      </c>
      <c r="AH359" s="315">
        <v>111</v>
      </c>
    </row>
    <row r="360" spans="1:34">
      <c r="A360" s="315" t="s">
        <v>1145</v>
      </c>
      <c r="B360" s="315" t="s">
        <v>1681</v>
      </c>
      <c r="C360" s="316" t="s">
        <v>1683</v>
      </c>
      <c r="D360" s="316" t="s">
        <v>1683</v>
      </c>
      <c r="E360" s="317">
        <v>23.44</v>
      </c>
      <c r="F360" s="317">
        <v>0.52992899999999998</v>
      </c>
      <c r="G360" s="317">
        <v>0.52992899999999998</v>
      </c>
      <c r="H360" s="317">
        <v>0.52992899999999998</v>
      </c>
      <c r="I360" s="318">
        <v>2.2607892491467574</v>
      </c>
      <c r="J360" s="318">
        <v>72.733857994595894</v>
      </c>
      <c r="K360" s="319">
        <v>32.1342482894322</v>
      </c>
      <c r="L360" s="319">
        <v>29.873459040285443</v>
      </c>
      <c r="M360" s="319">
        <f t="shared" si="5"/>
        <v>29.873459040285443</v>
      </c>
      <c r="N360" s="317">
        <v>7.0023387990429082</v>
      </c>
      <c r="O360" s="315" t="s">
        <v>1148</v>
      </c>
      <c r="P360" s="318">
        <v>250</v>
      </c>
      <c r="R360" s="320">
        <v>121.11111111111111</v>
      </c>
      <c r="S360" s="318">
        <v>31</v>
      </c>
      <c r="T360" s="318">
        <v>98.43</v>
      </c>
      <c r="U360" s="318">
        <v>82.025000000000006</v>
      </c>
      <c r="V360" s="315">
        <v>0.21</v>
      </c>
      <c r="W360" s="318">
        <v>200</v>
      </c>
      <c r="X360" s="315">
        <v>5</v>
      </c>
      <c r="Y360" s="315" t="s">
        <v>1149</v>
      </c>
      <c r="Z360" s="315">
        <v>0</v>
      </c>
      <c r="AA360" s="315" t="s">
        <v>1190</v>
      </c>
      <c r="AB360" s="315">
        <v>0</v>
      </c>
      <c r="AC360" s="315">
        <v>3071</v>
      </c>
      <c r="AD360" s="315">
        <v>752</v>
      </c>
      <c r="AE360" s="315">
        <v>0.5</v>
      </c>
      <c r="AF360" s="315">
        <v>1.1599999999999999</v>
      </c>
      <c r="AG360" s="315">
        <v>3.9</v>
      </c>
      <c r="AH360" s="315">
        <v>111</v>
      </c>
    </row>
    <row r="361" spans="1:34">
      <c r="A361" s="315" t="s">
        <v>1145</v>
      </c>
      <c r="B361" s="315" t="s">
        <v>1681</v>
      </c>
      <c r="C361" s="316" t="s">
        <v>1684</v>
      </c>
      <c r="D361" s="316" t="s">
        <v>1684</v>
      </c>
      <c r="E361" s="317">
        <v>23.442</v>
      </c>
      <c r="F361" s="317">
        <v>9.6074549999999999</v>
      </c>
      <c r="G361" s="317">
        <v>9.6074549999999999</v>
      </c>
      <c r="H361" s="317">
        <v>9.6074549999999999</v>
      </c>
      <c r="I361" s="318">
        <v>40.98393908369593</v>
      </c>
      <c r="J361" s="318">
        <v>62.711948701494698</v>
      </c>
      <c r="K361" s="319">
        <v>36.593316110926899</v>
      </c>
      <c r="L361" s="319">
        <v>-4.3906229727690302</v>
      </c>
      <c r="M361" s="319">
        <f t="shared" si="5"/>
        <v>0</v>
      </c>
      <c r="N361" s="317">
        <v>0</v>
      </c>
      <c r="O361" s="315" t="s">
        <v>1148</v>
      </c>
      <c r="P361" s="318">
        <v>253</v>
      </c>
      <c r="R361" s="320">
        <v>122.77777777777777</v>
      </c>
      <c r="S361" s="318">
        <v>29.4</v>
      </c>
      <c r="T361" s="318">
        <v>34</v>
      </c>
      <c r="U361" s="318">
        <v>92</v>
      </c>
      <c r="V361" s="315">
        <v>0.2</v>
      </c>
      <c r="W361" s="318">
        <v>200</v>
      </c>
      <c r="X361" s="315">
        <v>5</v>
      </c>
      <c r="Y361" s="315" t="s">
        <v>1149</v>
      </c>
      <c r="Z361" s="315">
        <v>0</v>
      </c>
      <c r="AA361" s="315" t="s">
        <v>1190</v>
      </c>
      <c r="AB361" s="315">
        <v>0</v>
      </c>
      <c r="AC361" s="315">
        <v>3073</v>
      </c>
      <c r="AD361" s="315">
        <v>765</v>
      </c>
      <c r="AE361" s="315">
        <v>0.8</v>
      </c>
      <c r="AF361" s="315">
        <v>1.1599999999999999</v>
      </c>
      <c r="AG361" s="315">
        <v>3.9</v>
      </c>
      <c r="AH361" s="315">
        <v>115</v>
      </c>
    </row>
    <row r="362" spans="1:34">
      <c r="A362" s="315" t="s">
        <v>1145</v>
      </c>
      <c r="B362" s="315" t="s">
        <v>1681</v>
      </c>
      <c r="C362" s="316" t="s">
        <v>1685</v>
      </c>
      <c r="D362" s="316" t="s">
        <v>1685</v>
      </c>
      <c r="E362" s="317">
        <v>10.544</v>
      </c>
      <c r="F362" s="317">
        <v>1.464912</v>
      </c>
      <c r="G362" s="317">
        <v>1.464912</v>
      </c>
      <c r="H362" s="317">
        <v>1.464912</v>
      </c>
      <c r="I362" s="318">
        <v>13.893323216995446</v>
      </c>
      <c r="J362" s="318">
        <v>72.375763307224204</v>
      </c>
      <c r="K362" s="319">
        <v>31.937530166834399</v>
      </c>
      <c r="L362" s="319">
        <v>18.044206949838951</v>
      </c>
      <c r="M362" s="319">
        <f t="shared" si="5"/>
        <v>18.044206949838951</v>
      </c>
      <c r="N362" s="317">
        <v>1.9025811807910191</v>
      </c>
      <c r="O362" s="315" t="s">
        <v>1148</v>
      </c>
      <c r="P362" s="318">
        <v>258</v>
      </c>
      <c r="R362" s="320">
        <v>125.55555555555556</v>
      </c>
      <c r="S362" s="318">
        <v>29.4</v>
      </c>
      <c r="T362" s="318">
        <v>30</v>
      </c>
      <c r="U362" s="318">
        <v>98.43</v>
      </c>
      <c r="V362" s="315">
        <v>0.2</v>
      </c>
      <c r="W362" s="318">
        <v>50</v>
      </c>
      <c r="X362" s="315">
        <v>4</v>
      </c>
      <c r="Y362" s="315" t="s">
        <v>1149</v>
      </c>
      <c r="Z362" s="315">
        <v>0</v>
      </c>
      <c r="AA362" s="315" t="s">
        <v>1190</v>
      </c>
      <c r="AB362" s="315">
        <v>0</v>
      </c>
      <c r="AC362" s="315">
        <v>3150</v>
      </c>
      <c r="AD362" s="315">
        <v>765</v>
      </c>
      <c r="AE362" s="315">
        <v>0.6</v>
      </c>
      <c r="AF362" s="315">
        <v>1.1599999999999999</v>
      </c>
      <c r="AG362" s="315">
        <v>3.9</v>
      </c>
      <c r="AH362" s="315">
        <v>115</v>
      </c>
    </row>
    <row r="363" spans="1:34">
      <c r="A363" s="315" t="s">
        <v>1145</v>
      </c>
      <c r="B363" s="315" t="s">
        <v>1681</v>
      </c>
      <c r="C363" s="316" t="s">
        <v>1686</v>
      </c>
      <c r="D363" s="316" t="s">
        <v>1686</v>
      </c>
      <c r="E363" s="317">
        <v>5.98</v>
      </c>
      <c r="F363" s="317">
        <v>1.4499649999999999</v>
      </c>
      <c r="G363" s="317">
        <v>1.4499649999999999</v>
      </c>
      <c r="H363" s="317">
        <v>1.4499649999999999</v>
      </c>
      <c r="I363" s="318">
        <v>24.246906354515048</v>
      </c>
      <c r="J363" s="318">
        <v>72.507031143032606</v>
      </c>
      <c r="K363" s="319">
        <v>31.874355409166899</v>
      </c>
      <c r="L363" s="319">
        <v>7.6274490546518514</v>
      </c>
      <c r="M363" s="319">
        <f t="shared" si="5"/>
        <v>7.6274490546518514</v>
      </c>
      <c r="N363" s="317">
        <v>0.45612145346818073</v>
      </c>
      <c r="O363" s="315" t="s">
        <v>1148</v>
      </c>
      <c r="P363" s="318">
        <v>265</v>
      </c>
      <c r="R363" s="320">
        <v>129.44444444444446</v>
      </c>
      <c r="S363" s="318">
        <v>29.4</v>
      </c>
      <c r="T363" s="318">
        <v>30</v>
      </c>
      <c r="U363" s="318">
        <v>65.62</v>
      </c>
      <c r="V363" s="315">
        <v>0.2</v>
      </c>
      <c r="W363" s="318">
        <v>50</v>
      </c>
      <c r="X363" s="315">
        <v>3</v>
      </c>
      <c r="Y363" s="315" t="s">
        <v>1149</v>
      </c>
      <c r="Z363" s="315">
        <v>0</v>
      </c>
      <c r="AA363" s="315" t="s">
        <v>1190</v>
      </c>
      <c r="AB363" s="315">
        <v>0</v>
      </c>
      <c r="AC363" s="315">
        <v>3250</v>
      </c>
      <c r="AD363" s="315">
        <v>765</v>
      </c>
      <c r="AE363" s="315">
        <v>0.6</v>
      </c>
      <c r="AF363" s="315">
        <v>1.1599999999999999</v>
      </c>
      <c r="AG363" s="315">
        <v>3.9</v>
      </c>
      <c r="AH363" s="315">
        <v>115</v>
      </c>
    </row>
    <row r="364" spans="1:34">
      <c r="A364" s="315" t="s">
        <v>1145</v>
      </c>
      <c r="B364" s="315" t="s">
        <v>1687</v>
      </c>
      <c r="C364" s="316" t="s">
        <v>1688</v>
      </c>
      <c r="D364" s="316" t="s">
        <v>1688</v>
      </c>
      <c r="E364" s="317">
        <v>39.340000000000003</v>
      </c>
      <c r="F364" s="317">
        <v>15.942132000000001</v>
      </c>
      <c r="G364" s="317">
        <v>15.942132000000001</v>
      </c>
      <c r="H364" s="317">
        <v>15.942132000000001</v>
      </c>
      <c r="I364" s="318">
        <v>40.523975597356376</v>
      </c>
      <c r="J364" s="318">
        <v>44.008862980242903</v>
      </c>
      <c r="K364" s="319">
        <v>43.453987147647901</v>
      </c>
      <c r="L364" s="319">
        <v>2.9300115502915247</v>
      </c>
      <c r="M364" s="319">
        <f t="shared" si="5"/>
        <v>2.9300115502915247</v>
      </c>
      <c r="N364" s="317">
        <v>1.1526665438846859</v>
      </c>
      <c r="O364" s="315" t="s">
        <v>1148</v>
      </c>
      <c r="P364" s="318">
        <v>170</v>
      </c>
      <c r="R364" s="320">
        <v>76.666666666666671</v>
      </c>
      <c r="S364" s="318">
        <v>42.3</v>
      </c>
      <c r="T364" s="318">
        <v>145</v>
      </c>
      <c r="U364" s="318">
        <v>128</v>
      </c>
      <c r="V364" s="315">
        <v>0.20230000000000001</v>
      </c>
      <c r="W364" s="318">
        <v>553</v>
      </c>
      <c r="X364" s="315">
        <v>8</v>
      </c>
      <c r="Y364" s="315" t="s">
        <v>1149</v>
      </c>
      <c r="Z364" s="315">
        <v>0</v>
      </c>
      <c r="AA364" s="315" t="s">
        <v>1157</v>
      </c>
      <c r="AB364" s="315">
        <v>3.4</v>
      </c>
      <c r="AC364" s="315">
        <v>1735</v>
      </c>
      <c r="AD364" s="315">
        <v>1735</v>
      </c>
      <c r="AE364" s="315">
        <v>0.78</v>
      </c>
      <c r="AF364" s="315">
        <v>1.3207</v>
      </c>
      <c r="AG364" s="315">
        <v>0.3</v>
      </c>
      <c r="AH364" s="315">
        <v>498</v>
      </c>
    </row>
    <row r="365" spans="1:34">
      <c r="A365" s="315" t="s">
        <v>1145</v>
      </c>
      <c r="B365" s="315" t="s">
        <v>1687</v>
      </c>
      <c r="C365" s="316" t="s">
        <v>1689</v>
      </c>
      <c r="D365" s="316" t="s">
        <v>1689</v>
      </c>
      <c r="E365" s="317">
        <v>173.25</v>
      </c>
      <c r="F365" s="317">
        <v>102.205039</v>
      </c>
      <c r="G365" s="317">
        <v>102.205039</v>
      </c>
      <c r="H365" s="317">
        <v>102.205039</v>
      </c>
      <c r="I365" s="318">
        <v>58.992807503607501</v>
      </c>
      <c r="J365" s="318">
        <v>46.2198377841937</v>
      </c>
      <c r="K365" s="319">
        <v>42.784290442867004</v>
      </c>
      <c r="L365" s="319">
        <v>-16.208517060740498</v>
      </c>
      <c r="M365" s="319">
        <f t="shared" si="5"/>
        <v>0</v>
      </c>
      <c r="N365" s="317">
        <v>0</v>
      </c>
      <c r="O365" s="315" t="s">
        <v>1148</v>
      </c>
      <c r="P365" s="318">
        <v>170</v>
      </c>
      <c r="R365" s="320">
        <v>76.666666666666671</v>
      </c>
      <c r="S365" s="318">
        <v>42.3</v>
      </c>
      <c r="T365" s="318">
        <v>158</v>
      </c>
      <c r="U365" s="318">
        <v>128</v>
      </c>
      <c r="V365" s="315">
        <v>0.156</v>
      </c>
      <c r="W365" s="318">
        <v>142</v>
      </c>
      <c r="X365" s="315">
        <v>18</v>
      </c>
      <c r="Y365" s="315" t="s">
        <v>1440</v>
      </c>
      <c r="Z365" s="315">
        <v>1</v>
      </c>
      <c r="AA365" s="315" t="s">
        <v>1190</v>
      </c>
      <c r="AB365" s="315">
        <v>0.16</v>
      </c>
      <c r="AC365" s="315">
        <v>1735</v>
      </c>
      <c r="AD365" s="315">
        <v>1735</v>
      </c>
      <c r="AE365" s="315">
        <v>0.75</v>
      </c>
      <c r="AF365" s="315">
        <v>1.3207</v>
      </c>
      <c r="AG365" s="315">
        <v>0.3</v>
      </c>
      <c r="AH365" s="315">
        <v>498</v>
      </c>
    </row>
    <row r="366" spans="1:34">
      <c r="A366" s="315" t="s">
        <v>1690</v>
      </c>
      <c r="B366" s="315" t="s">
        <v>1691</v>
      </c>
      <c r="C366" s="316" t="s">
        <v>1692</v>
      </c>
      <c r="D366" s="316" t="s">
        <v>1692</v>
      </c>
      <c r="E366" s="317">
        <v>18.399999999999999</v>
      </c>
      <c r="F366" s="317">
        <v>2.957014</v>
      </c>
      <c r="G366" s="317">
        <v>2.957014</v>
      </c>
      <c r="H366" s="317">
        <v>2.957014</v>
      </c>
      <c r="I366" s="318">
        <v>16.070728260869565</v>
      </c>
      <c r="J366" s="318">
        <v>62.872072327539399</v>
      </c>
      <c r="K366" s="319">
        <v>35.948392989854199</v>
      </c>
      <c r="L366" s="319">
        <v>19.877664728984634</v>
      </c>
      <c r="M366" s="319">
        <f t="shared" si="5"/>
        <v>19.877664728984634</v>
      </c>
      <c r="N366" s="317">
        <v>3.6574903101331726</v>
      </c>
      <c r="O366" s="315" t="s">
        <v>1148</v>
      </c>
      <c r="P366" s="318">
        <v>240</v>
      </c>
      <c r="R366" s="320">
        <v>115.55555555555556</v>
      </c>
      <c r="S366" s="318">
        <v>32</v>
      </c>
      <c r="T366" s="318">
        <v>91.868000000000009</v>
      </c>
      <c r="U366" s="318">
        <v>144.364</v>
      </c>
      <c r="V366" s="315">
        <v>0.22</v>
      </c>
      <c r="W366" s="318">
        <v>850</v>
      </c>
      <c r="X366" s="315">
        <v>5</v>
      </c>
      <c r="Y366" s="315" t="s">
        <v>1149</v>
      </c>
      <c r="Z366" s="315">
        <v>0</v>
      </c>
      <c r="AA366" s="315" t="s">
        <v>1150</v>
      </c>
      <c r="AB366" s="315">
        <v>0</v>
      </c>
      <c r="AC366" s="315">
        <v>2760</v>
      </c>
      <c r="AD366" s="315">
        <v>502</v>
      </c>
      <c r="AE366" s="315">
        <v>0.8</v>
      </c>
      <c r="AF366" s="315">
        <v>1.087</v>
      </c>
      <c r="AG366" s="315">
        <v>4.2</v>
      </c>
      <c r="AH366" s="315">
        <v>83</v>
      </c>
    </row>
    <row r="367" spans="1:34">
      <c r="A367" s="315" t="s">
        <v>1145</v>
      </c>
      <c r="B367" s="315" t="s">
        <v>1691</v>
      </c>
      <c r="C367" s="316" t="s">
        <v>1693</v>
      </c>
      <c r="D367" s="316" t="s">
        <v>1693</v>
      </c>
      <c r="E367" s="317">
        <v>28.5</v>
      </c>
      <c r="F367" s="317">
        <v>4.1257760000000001</v>
      </c>
      <c r="G367" s="317">
        <v>4.1257760000000001</v>
      </c>
      <c r="H367" s="317">
        <v>4.1257760000000001</v>
      </c>
      <c r="I367" s="318">
        <v>14.47640701754386</v>
      </c>
      <c r="J367" s="318">
        <v>62.226656721435802</v>
      </c>
      <c r="K367" s="319">
        <v>36.251032662309598</v>
      </c>
      <c r="L367" s="319">
        <v>21.774625644765738</v>
      </c>
      <c r="M367" s="319">
        <f t="shared" si="5"/>
        <v>21.774625644765738</v>
      </c>
      <c r="N367" s="317">
        <v>6.2057683087582358</v>
      </c>
      <c r="O367" s="315" t="s">
        <v>1148</v>
      </c>
      <c r="P367" s="318">
        <v>240</v>
      </c>
      <c r="R367" s="320">
        <v>115.55555555555556</v>
      </c>
      <c r="S367" s="318">
        <v>30</v>
      </c>
      <c r="T367" s="318">
        <v>108.27300000000001</v>
      </c>
      <c r="U367" s="318">
        <v>180.45500000000001</v>
      </c>
      <c r="V367" s="315">
        <v>0.22</v>
      </c>
      <c r="W367" s="318">
        <v>550</v>
      </c>
      <c r="X367" s="315">
        <v>5</v>
      </c>
      <c r="Y367" s="315" t="s">
        <v>1149</v>
      </c>
      <c r="Z367" s="315">
        <v>0</v>
      </c>
      <c r="AA367" s="315" t="s">
        <v>1150</v>
      </c>
      <c r="AB367" s="315">
        <v>0</v>
      </c>
      <c r="AC367" s="315">
        <v>2840</v>
      </c>
      <c r="AD367" s="315">
        <v>420</v>
      </c>
      <c r="AE367" s="315">
        <v>0.8</v>
      </c>
      <c r="AF367" s="315">
        <v>1.071</v>
      </c>
      <c r="AG367" s="315">
        <v>3.9</v>
      </c>
      <c r="AH367" s="315">
        <v>78</v>
      </c>
    </row>
    <row r="368" spans="1:34">
      <c r="A368" s="315" t="s">
        <v>1145</v>
      </c>
      <c r="B368" s="315" t="s">
        <v>1074</v>
      </c>
      <c r="C368" s="316" t="s">
        <v>1694</v>
      </c>
      <c r="D368" s="316" t="s">
        <v>1694</v>
      </c>
      <c r="E368" s="317">
        <v>84.828000000000017</v>
      </c>
      <c r="F368" s="317">
        <v>41.273824230327158</v>
      </c>
      <c r="G368" s="317">
        <v>41.277719164404218</v>
      </c>
      <c r="H368" s="317">
        <v>41.277719164404218</v>
      </c>
      <c r="I368" s="318">
        <v>48.660488475979875</v>
      </c>
      <c r="J368" s="318">
        <v>54.193890639258299</v>
      </c>
      <c r="K368" s="319">
        <v>43.601423015026803</v>
      </c>
      <c r="L368" s="319">
        <v>-5.0590654609530716</v>
      </c>
      <c r="M368" s="319">
        <f t="shared" si="5"/>
        <v>0</v>
      </c>
      <c r="N368" s="317">
        <v>0</v>
      </c>
      <c r="O368" s="315" t="s">
        <v>1148</v>
      </c>
      <c r="P368" s="318">
        <v>160</v>
      </c>
      <c r="R368" s="320">
        <v>71.111111111111114</v>
      </c>
      <c r="S368" s="318">
        <v>26.6</v>
      </c>
      <c r="T368" s="318">
        <v>543</v>
      </c>
      <c r="U368" s="318">
        <v>281</v>
      </c>
      <c r="V368" s="315">
        <v>0.3</v>
      </c>
      <c r="W368" s="318">
        <v>600</v>
      </c>
      <c r="X368" s="315">
        <v>15</v>
      </c>
      <c r="Y368" s="315" t="s">
        <v>1149</v>
      </c>
      <c r="Z368" s="315">
        <v>0</v>
      </c>
      <c r="AA368" s="315" t="s">
        <v>1157</v>
      </c>
      <c r="AB368" s="315">
        <v>0</v>
      </c>
      <c r="AC368" s="315">
        <v>1960</v>
      </c>
      <c r="AD368" s="315">
        <v>1920</v>
      </c>
      <c r="AE368" s="315">
        <v>0.64</v>
      </c>
      <c r="AF368" s="315">
        <v>1.36</v>
      </c>
      <c r="AG368" s="315">
        <v>0.9</v>
      </c>
      <c r="AH368" s="315">
        <v>540</v>
      </c>
    </row>
    <row r="369" spans="1:34">
      <c r="A369" s="315" t="s">
        <v>1145</v>
      </c>
      <c r="B369" s="315" t="s">
        <v>1074</v>
      </c>
      <c r="C369" s="316" t="s">
        <v>1695</v>
      </c>
      <c r="D369" s="316" t="s">
        <v>1695</v>
      </c>
      <c r="E369" s="317">
        <v>113.22500000000002</v>
      </c>
      <c r="F369" s="317">
        <v>64.360551889569976</v>
      </c>
      <c r="G369" s="317">
        <v>65.269288275727192</v>
      </c>
      <c r="H369" s="317">
        <v>65.269288275727192</v>
      </c>
      <c r="I369" s="318">
        <v>57.645650939039243</v>
      </c>
      <c r="J369" s="318">
        <v>48.4921557574799</v>
      </c>
      <c r="K369" s="319">
        <v>45.375045580830594</v>
      </c>
      <c r="L369" s="319">
        <v>-12.270605358208648</v>
      </c>
      <c r="M369" s="319">
        <f t="shared" si="5"/>
        <v>0</v>
      </c>
      <c r="N369" s="317">
        <v>0</v>
      </c>
      <c r="O369" s="315" t="s">
        <v>1148</v>
      </c>
      <c r="P369" s="318">
        <v>160</v>
      </c>
      <c r="R369" s="320">
        <v>71.111111111111114</v>
      </c>
      <c r="S369" s="318">
        <v>36.5</v>
      </c>
      <c r="T369" s="318">
        <v>175</v>
      </c>
      <c r="U369" s="318">
        <v>126</v>
      </c>
      <c r="V369" s="315">
        <v>0.24</v>
      </c>
      <c r="W369" s="318">
        <v>500</v>
      </c>
      <c r="X369" s="315">
        <v>41</v>
      </c>
      <c r="Y369" s="315" t="s">
        <v>1149</v>
      </c>
      <c r="Z369" s="315">
        <v>0</v>
      </c>
      <c r="AA369" s="315" t="s">
        <v>1157</v>
      </c>
      <c r="AB369" s="315">
        <v>0</v>
      </c>
      <c r="AC369" s="315">
        <v>1958</v>
      </c>
      <c r="AD369" s="315">
        <v>2133.2242866385</v>
      </c>
      <c r="AE369" s="315">
        <v>0.72</v>
      </c>
      <c r="AF369" s="315">
        <v>1.282</v>
      </c>
      <c r="AG369" s="315">
        <v>0.5</v>
      </c>
      <c r="AH369" s="315">
        <v>540</v>
      </c>
    </row>
    <row r="370" spans="1:34">
      <c r="A370" s="315" t="s">
        <v>1696</v>
      </c>
      <c r="B370" s="315" t="s">
        <v>1074</v>
      </c>
      <c r="C370" s="316" t="s">
        <v>1697</v>
      </c>
      <c r="D370" s="316" t="s">
        <v>1697</v>
      </c>
      <c r="E370" s="317">
        <v>19.030000000000005</v>
      </c>
      <c r="F370" s="317">
        <v>10.193517458754169</v>
      </c>
      <c r="G370" s="317">
        <v>11.369041039987353</v>
      </c>
      <c r="H370" s="317">
        <v>11.369041039987353</v>
      </c>
      <c r="I370" s="318">
        <v>59.74272748285523</v>
      </c>
      <c r="J370" s="318">
        <v>49.935642653164102</v>
      </c>
      <c r="K370" s="319">
        <v>44.041856527232198</v>
      </c>
      <c r="L370" s="319">
        <v>-15.700870955623031</v>
      </c>
      <c r="M370" s="319">
        <f t="shared" si="5"/>
        <v>0</v>
      </c>
      <c r="N370" s="317">
        <v>0</v>
      </c>
      <c r="O370" s="315" t="s">
        <v>1148</v>
      </c>
      <c r="P370" s="318">
        <v>160</v>
      </c>
      <c r="R370" s="320">
        <v>71.111111111111114</v>
      </c>
      <c r="S370" s="318">
        <v>37</v>
      </c>
      <c r="T370" s="318">
        <v>94.22</v>
      </c>
      <c r="U370" s="318">
        <v>56.531999999999996</v>
      </c>
      <c r="V370" s="315">
        <v>0.22500000000000001</v>
      </c>
      <c r="W370" s="318">
        <v>750</v>
      </c>
      <c r="X370" s="315">
        <v>28</v>
      </c>
      <c r="Y370" s="315" t="s">
        <v>1149</v>
      </c>
      <c r="Z370" s="315">
        <v>0</v>
      </c>
      <c r="AA370" s="315" t="s">
        <v>1157</v>
      </c>
      <c r="AB370" s="315">
        <v>0.5</v>
      </c>
      <c r="AC370" s="315">
        <v>2725</v>
      </c>
      <c r="AD370" s="315">
        <v>2382</v>
      </c>
      <c r="AE370" s="315">
        <v>0.625</v>
      </c>
      <c r="AF370" s="315">
        <v>1.379</v>
      </c>
      <c r="AG370" s="315">
        <v>0.4</v>
      </c>
      <c r="AH370" s="315">
        <v>715</v>
      </c>
    </row>
    <row r="371" spans="1:34">
      <c r="A371" s="315" t="s">
        <v>1698</v>
      </c>
      <c r="B371" s="315" t="s">
        <v>1074</v>
      </c>
      <c r="C371" s="316" t="s">
        <v>1699</v>
      </c>
      <c r="D371" s="316" t="s">
        <v>1699</v>
      </c>
      <c r="E371" s="317">
        <v>30.420000000000009</v>
      </c>
      <c r="F371" s="317">
        <v>19.042296593268624</v>
      </c>
      <c r="G371" s="317">
        <v>21.494409843750724</v>
      </c>
      <c r="H371" s="317">
        <v>21.494409843750724</v>
      </c>
      <c r="I371" s="318">
        <v>70.658809479785404</v>
      </c>
      <c r="J371" s="318">
        <v>49.5333554829691</v>
      </c>
      <c r="K371" s="319">
        <v>44.6818319130332</v>
      </c>
      <c r="L371" s="319">
        <v>-25.976977566752204</v>
      </c>
      <c r="M371" s="319">
        <f t="shared" si="5"/>
        <v>0</v>
      </c>
      <c r="N371" s="317">
        <v>0</v>
      </c>
      <c r="O371" s="315" t="s">
        <v>1148</v>
      </c>
      <c r="P371" s="318">
        <v>160</v>
      </c>
      <c r="R371" s="320">
        <v>71.111111111111114</v>
      </c>
      <c r="S371" s="318">
        <v>37</v>
      </c>
      <c r="T371" s="318">
        <v>59.47</v>
      </c>
      <c r="U371" s="318">
        <v>35.681999999999995</v>
      </c>
      <c r="V371" s="315">
        <v>0.22500000000000001</v>
      </c>
      <c r="W371" s="318">
        <v>750</v>
      </c>
      <c r="X371" s="315">
        <v>27</v>
      </c>
      <c r="Y371" s="315" t="s">
        <v>1149</v>
      </c>
      <c r="Z371" s="315">
        <v>0</v>
      </c>
      <c r="AA371" s="315" t="s">
        <v>1157</v>
      </c>
      <c r="AB371" s="315">
        <v>0.7</v>
      </c>
      <c r="AC371" s="315">
        <v>2810</v>
      </c>
      <c r="AD371" s="315">
        <v>2815</v>
      </c>
      <c r="AE371" s="315">
        <v>0.625</v>
      </c>
      <c r="AF371" s="315">
        <v>1.4</v>
      </c>
      <c r="AG371" s="315">
        <v>0.4</v>
      </c>
      <c r="AH371" s="315">
        <v>715</v>
      </c>
    </row>
    <row r="372" spans="1:34">
      <c r="A372" s="315" t="s">
        <v>1145</v>
      </c>
      <c r="B372" s="315" t="s">
        <v>1074</v>
      </c>
      <c r="C372" s="316" t="s">
        <v>1700</v>
      </c>
      <c r="D372" s="316" t="s">
        <v>1700</v>
      </c>
      <c r="E372" s="317">
        <v>149.21000000000004</v>
      </c>
      <c r="F372" s="317">
        <v>89.042101817156677</v>
      </c>
      <c r="G372" s="317">
        <v>100.77620059943052</v>
      </c>
      <c r="H372" s="317">
        <v>100.77620059943052</v>
      </c>
      <c r="I372" s="318">
        <v>67.539843575786136</v>
      </c>
      <c r="J372" s="318">
        <v>53.370604998791201</v>
      </c>
      <c r="K372" s="319">
        <v>43.596059115578697</v>
      </c>
      <c r="L372" s="319">
        <v>-23.943784460207439</v>
      </c>
      <c r="M372" s="319">
        <f t="shared" si="5"/>
        <v>0</v>
      </c>
      <c r="N372" s="317">
        <v>0</v>
      </c>
      <c r="O372" s="315" t="s">
        <v>1148</v>
      </c>
      <c r="P372" s="318">
        <v>160</v>
      </c>
      <c r="R372" s="320">
        <v>71.111111111111114</v>
      </c>
      <c r="S372" s="318">
        <v>37.299999999999997</v>
      </c>
      <c r="T372" s="318">
        <v>746</v>
      </c>
      <c r="U372" s="318">
        <v>210</v>
      </c>
      <c r="V372" s="315">
        <v>0.22500000000000001</v>
      </c>
      <c r="W372" s="318">
        <v>750</v>
      </c>
      <c r="X372" s="315">
        <v>61</v>
      </c>
      <c r="Y372" s="315" t="s">
        <v>1420</v>
      </c>
      <c r="Z372" s="315">
        <v>4</v>
      </c>
      <c r="AA372" s="315" t="s">
        <v>1190</v>
      </c>
      <c r="AB372" s="315">
        <v>0.25</v>
      </c>
      <c r="AC372" s="315">
        <v>2835</v>
      </c>
      <c r="AD372" s="315">
        <v>2807</v>
      </c>
      <c r="AE372" s="315">
        <v>0.625</v>
      </c>
      <c r="AF372" s="315">
        <v>1.403</v>
      </c>
      <c r="AG372" s="315">
        <v>0.4</v>
      </c>
      <c r="AH372" s="315">
        <v>715</v>
      </c>
    </row>
    <row r="373" spans="1:34">
      <c r="A373" s="315" t="s">
        <v>1701</v>
      </c>
      <c r="B373" s="315" t="s">
        <v>1074</v>
      </c>
      <c r="C373" s="316" t="s">
        <v>1702</v>
      </c>
      <c r="D373" s="316" t="s">
        <v>1702</v>
      </c>
      <c r="E373" s="317">
        <v>6.9300000000000006</v>
      </c>
      <c r="F373" s="317">
        <v>2.7629169643357345</v>
      </c>
      <c r="G373" s="317">
        <v>3.1591202368092306</v>
      </c>
      <c r="H373" s="317">
        <v>3.1591202368092306</v>
      </c>
      <c r="I373" s="318">
        <v>45.586150603307793</v>
      </c>
      <c r="J373" s="318">
        <v>61.7080129711197</v>
      </c>
      <c r="K373" s="319">
        <v>41.223126749739301</v>
      </c>
      <c r="L373" s="319">
        <v>-4.3630238535684924</v>
      </c>
      <c r="M373" s="319">
        <f t="shared" si="5"/>
        <v>0</v>
      </c>
      <c r="N373" s="317">
        <v>0</v>
      </c>
      <c r="O373" s="315" t="s">
        <v>1148</v>
      </c>
      <c r="P373" s="318">
        <v>160</v>
      </c>
      <c r="R373" s="320">
        <v>71.111111111111114</v>
      </c>
      <c r="S373" s="318">
        <v>37</v>
      </c>
      <c r="T373" s="318">
        <v>99.18</v>
      </c>
      <c r="U373" s="318">
        <v>59.508000000000003</v>
      </c>
      <c r="V373" s="315">
        <v>0.22</v>
      </c>
      <c r="W373" s="318">
        <v>350</v>
      </c>
      <c r="X373" s="315">
        <v>6</v>
      </c>
      <c r="Y373" s="315" t="s">
        <v>1149</v>
      </c>
      <c r="Z373" s="315">
        <v>0</v>
      </c>
      <c r="AA373" s="315" t="s">
        <v>1157</v>
      </c>
      <c r="AB373" s="315">
        <v>0.25</v>
      </c>
      <c r="AC373" s="315">
        <v>2835</v>
      </c>
      <c r="AD373" s="315">
        <v>2807</v>
      </c>
      <c r="AE373" s="315">
        <v>62.5</v>
      </c>
      <c r="AF373" s="315">
        <v>1.403</v>
      </c>
      <c r="AG373" s="315">
        <v>0.4</v>
      </c>
      <c r="AH373" s="315">
        <v>715</v>
      </c>
    </row>
    <row r="374" spans="1:34">
      <c r="A374" s="315" t="s">
        <v>1145</v>
      </c>
      <c r="B374" s="315" t="s">
        <v>1074</v>
      </c>
      <c r="C374" s="316" t="s">
        <v>1703</v>
      </c>
      <c r="D374" s="316" t="s">
        <v>1703</v>
      </c>
      <c r="E374" s="317">
        <v>9.7000000000000011</v>
      </c>
      <c r="F374" s="317">
        <v>3.0626815255637254</v>
      </c>
      <c r="G374" s="317">
        <v>3.8304275616007128</v>
      </c>
      <c r="H374" s="317">
        <v>3.8304275616007128</v>
      </c>
      <c r="I374" s="318">
        <v>39.488943934027965</v>
      </c>
      <c r="J374" s="318">
        <v>62.734440353496502</v>
      </c>
      <c r="K374" s="319">
        <v>40.414983342391494</v>
      </c>
      <c r="L374" s="319">
        <v>0.92603940836352905</v>
      </c>
      <c r="M374" s="319">
        <f t="shared" si="5"/>
        <v>0.92603940836352905</v>
      </c>
      <c r="N374" s="317">
        <v>8.9825822611262332E-2</v>
      </c>
      <c r="O374" s="315" t="s">
        <v>1148</v>
      </c>
      <c r="P374" s="318">
        <v>160</v>
      </c>
      <c r="R374" s="320">
        <v>71.111111111111114</v>
      </c>
      <c r="S374" s="318">
        <v>18</v>
      </c>
      <c r="T374" s="318">
        <v>203.04</v>
      </c>
      <c r="U374" s="318">
        <v>121.82399999999998</v>
      </c>
      <c r="V374" s="315">
        <v>0.23499999999999999</v>
      </c>
      <c r="W374" s="318">
        <v>470</v>
      </c>
      <c r="X374" s="315">
        <v>15</v>
      </c>
      <c r="Y374" s="315" t="s">
        <v>1149</v>
      </c>
      <c r="Z374" s="315">
        <v>0</v>
      </c>
      <c r="AA374" s="315" t="s">
        <v>1190</v>
      </c>
      <c r="AB374" s="315">
        <v>0</v>
      </c>
      <c r="AC374" s="315">
        <v>1180</v>
      </c>
      <c r="AD374" s="315">
        <v>1143</v>
      </c>
      <c r="AE374" s="315">
        <v>0.63</v>
      </c>
      <c r="AF374" s="315">
        <v>1.0720000000000001</v>
      </c>
      <c r="AG374" s="315">
        <v>11.6</v>
      </c>
      <c r="AH374" s="315">
        <v>115</v>
      </c>
    </row>
    <row r="375" spans="1:34">
      <c r="A375" s="315" t="s">
        <v>1145</v>
      </c>
      <c r="B375" s="315" t="s">
        <v>1074</v>
      </c>
      <c r="C375" s="316" t="s">
        <v>1704</v>
      </c>
      <c r="D375" s="316" t="s">
        <v>1704</v>
      </c>
      <c r="E375" s="317">
        <v>4.6280000000000019</v>
      </c>
      <c r="F375" s="317">
        <v>1.8434973765409743</v>
      </c>
      <c r="G375" s="317">
        <v>2.064459682825297</v>
      </c>
      <c r="H375" s="317">
        <v>2.064459682825297</v>
      </c>
      <c r="I375" s="318">
        <v>44.608031176000353</v>
      </c>
      <c r="J375" s="318">
        <v>0</v>
      </c>
      <c r="K375" s="319">
        <v>0</v>
      </c>
      <c r="L375" s="319">
        <v>-44.608031176000353</v>
      </c>
      <c r="M375" s="319">
        <f t="shared" si="5"/>
        <v>0</v>
      </c>
      <c r="N375" s="317">
        <v>0</v>
      </c>
      <c r="O375" s="315" t="s">
        <v>1148</v>
      </c>
      <c r="P375" s="318">
        <v>160</v>
      </c>
      <c r="R375" s="320">
        <v>71.111111111111114</v>
      </c>
      <c r="S375" s="318">
        <v>18</v>
      </c>
      <c r="T375" s="318">
        <v>134.97</v>
      </c>
      <c r="U375" s="318">
        <v>80.981999999999999</v>
      </c>
      <c r="V375" s="315">
        <v>0.23499999999999999</v>
      </c>
      <c r="W375" s="318">
        <v>470</v>
      </c>
      <c r="X375" s="315">
        <v>6</v>
      </c>
      <c r="Y375" s="315" t="s">
        <v>1149</v>
      </c>
      <c r="Z375" s="315">
        <v>0</v>
      </c>
      <c r="AA375" s="315" t="s">
        <v>1190</v>
      </c>
      <c r="AB375" s="315">
        <v>0</v>
      </c>
      <c r="AC375" s="315">
        <v>1220</v>
      </c>
      <c r="AD375" s="315">
        <v>1204</v>
      </c>
      <c r="AE375" s="315">
        <v>0.63</v>
      </c>
      <c r="AF375" s="315">
        <v>1.0740000000000001</v>
      </c>
      <c r="AG375" s="315">
        <v>17.149999999999999</v>
      </c>
      <c r="AH375" s="315">
        <v>120</v>
      </c>
    </row>
    <row r="376" spans="1:34">
      <c r="A376" s="315" t="s">
        <v>1705</v>
      </c>
      <c r="B376" s="315" t="s">
        <v>1074</v>
      </c>
      <c r="C376" s="316" t="s">
        <v>1706</v>
      </c>
      <c r="D376" s="316" t="s">
        <v>1706</v>
      </c>
      <c r="E376" s="317">
        <v>8.2580000000000009</v>
      </c>
      <c r="F376" s="317">
        <v>2.4929102091858826</v>
      </c>
      <c r="G376" s="317">
        <v>3.5842178687890045</v>
      </c>
      <c r="H376" s="317">
        <v>3.5842178687890045</v>
      </c>
      <c r="I376" s="318">
        <v>43.402977340627316</v>
      </c>
      <c r="J376" s="318">
        <v>0</v>
      </c>
      <c r="K376" s="319">
        <v>0</v>
      </c>
      <c r="L376" s="319">
        <v>-43.402977340627316</v>
      </c>
      <c r="M376" s="319">
        <f t="shared" si="5"/>
        <v>0</v>
      </c>
      <c r="N376" s="317">
        <v>0</v>
      </c>
      <c r="O376" s="315" t="s">
        <v>1148</v>
      </c>
      <c r="P376" s="318">
        <v>160</v>
      </c>
      <c r="R376" s="320">
        <v>71.111111111111114</v>
      </c>
      <c r="S376" s="318">
        <v>18</v>
      </c>
      <c r="T376" s="318">
        <v>83.68</v>
      </c>
      <c r="U376" s="318">
        <v>50.208000000000006</v>
      </c>
      <c r="V376" s="315">
        <v>0.23499999999999999</v>
      </c>
      <c r="W376" s="318">
        <v>470</v>
      </c>
      <c r="X376" s="315">
        <v>7</v>
      </c>
      <c r="Y376" s="315" t="s">
        <v>1149</v>
      </c>
      <c r="Z376" s="315">
        <v>0</v>
      </c>
      <c r="AA376" s="315" t="s">
        <v>1190</v>
      </c>
      <c r="AB376" s="315">
        <v>0</v>
      </c>
      <c r="AC376" s="315">
        <v>1250</v>
      </c>
      <c r="AD376" s="315">
        <v>1231</v>
      </c>
      <c r="AE376" s="315">
        <v>0.63</v>
      </c>
      <c r="AF376" s="315">
        <v>1.0760000000000001</v>
      </c>
      <c r="AG376" s="315">
        <v>17.149999999999999</v>
      </c>
      <c r="AH376" s="315">
        <v>120</v>
      </c>
    </row>
    <row r="377" spans="1:34">
      <c r="A377" s="315" t="s">
        <v>1707</v>
      </c>
      <c r="B377" s="315" t="s">
        <v>1074</v>
      </c>
      <c r="C377" s="316" t="s">
        <v>1708</v>
      </c>
      <c r="D377" s="316" t="s">
        <v>1708</v>
      </c>
      <c r="E377" s="317">
        <v>32.116000000000007</v>
      </c>
      <c r="F377" s="317">
        <v>19.560622895327633</v>
      </c>
      <c r="G377" s="317">
        <v>19.841484073268571</v>
      </c>
      <c r="H377" s="317">
        <v>19.841484073268571</v>
      </c>
      <c r="I377" s="318">
        <v>61.78068275398109</v>
      </c>
      <c r="J377" s="318">
        <v>37.121625279244597</v>
      </c>
      <c r="K377" s="319">
        <v>47.5868471778507</v>
      </c>
      <c r="L377" s="319">
        <v>-14.19383557613039</v>
      </c>
      <c r="M377" s="319">
        <f t="shared" si="5"/>
        <v>0</v>
      </c>
      <c r="N377" s="317">
        <v>0</v>
      </c>
      <c r="O377" s="315" t="s">
        <v>1148</v>
      </c>
      <c r="P377" s="318">
        <v>160</v>
      </c>
      <c r="R377" s="320">
        <v>71.111111111111114</v>
      </c>
      <c r="S377" s="318">
        <v>26.6</v>
      </c>
      <c r="T377" s="318">
        <v>301.74</v>
      </c>
      <c r="U377" s="318">
        <v>181.04400000000001</v>
      </c>
      <c r="V377" s="315">
        <v>0.3</v>
      </c>
      <c r="W377" s="318">
        <v>600</v>
      </c>
      <c r="X377" s="315">
        <v>23</v>
      </c>
      <c r="Y377" s="315" t="s">
        <v>1149</v>
      </c>
      <c r="Z377" s="315">
        <v>0</v>
      </c>
      <c r="AA377" s="315" t="s">
        <v>1190</v>
      </c>
      <c r="AB377" s="315">
        <v>0</v>
      </c>
      <c r="AC377" s="315">
        <v>1960</v>
      </c>
      <c r="AD377" s="315">
        <v>1920</v>
      </c>
      <c r="AE377" s="315">
        <v>0.64</v>
      </c>
      <c r="AF377" s="315">
        <v>1.36</v>
      </c>
      <c r="AG377" s="315">
        <v>0.9</v>
      </c>
      <c r="AH377" s="315">
        <v>305</v>
      </c>
    </row>
    <row r="378" spans="1:34">
      <c r="A378" s="315" t="s">
        <v>1145</v>
      </c>
      <c r="B378" s="315" t="s">
        <v>1074</v>
      </c>
      <c r="C378" s="316" t="s">
        <v>1709</v>
      </c>
      <c r="D378" s="316" t="s">
        <v>1709</v>
      </c>
      <c r="E378" s="317">
        <v>15.582000000000004</v>
      </c>
      <c r="F378" s="317">
        <v>5.8066530482017056</v>
      </c>
      <c r="G378" s="317">
        <v>6.5829995243004111</v>
      </c>
      <c r="H378" s="317">
        <v>6.7598462306386349</v>
      </c>
      <c r="I378" s="318">
        <v>43.382404252590376</v>
      </c>
      <c r="J378" s="318">
        <v>40.432500651511297</v>
      </c>
      <c r="K378" s="319">
        <v>46.7622809749354</v>
      </c>
      <c r="L378" s="319">
        <v>3.3798767223450241</v>
      </c>
      <c r="M378" s="319">
        <f t="shared" si="5"/>
        <v>3.3798767223450241</v>
      </c>
      <c r="N378" s="317">
        <v>0.52665239087580173</v>
      </c>
      <c r="O378" s="315" t="s">
        <v>1148</v>
      </c>
      <c r="P378" s="318">
        <v>160</v>
      </c>
      <c r="R378" s="320">
        <v>71.111111111111114</v>
      </c>
      <c r="S378" s="318">
        <v>36.5</v>
      </c>
      <c r="T378" s="318">
        <v>307.77</v>
      </c>
      <c r="U378" s="318">
        <v>184.66199999999998</v>
      </c>
      <c r="V378" s="315">
        <v>0.24</v>
      </c>
      <c r="W378" s="318">
        <v>500</v>
      </c>
      <c r="X378" s="315">
        <v>13</v>
      </c>
      <c r="Y378" s="315" t="s">
        <v>1149</v>
      </c>
      <c r="Z378" s="315">
        <v>0</v>
      </c>
      <c r="AA378" s="315" t="s">
        <v>1157</v>
      </c>
      <c r="AB378" s="315">
        <v>0</v>
      </c>
      <c r="AC378" s="315">
        <v>2500</v>
      </c>
      <c r="AD378" s="315">
        <v>2368</v>
      </c>
      <c r="AE378" s="315">
        <v>0.72</v>
      </c>
      <c r="AF378" s="315">
        <v>1.282</v>
      </c>
      <c r="AG378" s="315">
        <v>0.5</v>
      </c>
      <c r="AH378" s="315">
        <v>540</v>
      </c>
    </row>
    <row r="379" spans="1:34">
      <c r="A379" s="315" t="s">
        <v>1334</v>
      </c>
      <c r="B379" s="315" t="s">
        <v>1074</v>
      </c>
      <c r="C379" s="316" t="s">
        <v>1710</v>
      </c>
      <c r="D379" s="316" t="s">
        <v>1710</v>
      </c>
      <c r="E379" s="317">
        <v>5.1100000000000012</v>
      </c>
      <c r="F379" s="317">
        <v>8.9591018299287947E-3</v>
      </c>
      <c r="G379" s="317">
        <v>0.2024484163348455</v>
      </c>
      <c r="H379" s="317">
        <v>0.2024484163348455</v>
      </c>
      <c r="I379" s="318">
        <v>3.9618085388423769</v>
      </c>
      <c r="J379" s="318">
        <v>59.726373838447103</v>
      </c>
      <c r="K379" s="319">
        <v>41.932922241205901</v>
      </c>
      <c r="L379" s="319">
        <v>37.971113702363525</v>
      </c>
      <c r="M379" s="319">
        <f t="shared" si="5"/>
        <v>37.971113702363525</v>
      </c>
      <c r="N379" s="317">
        <v>1.9403239101907765</v>
      </c>
      <c r="O379" s="315" t="s">
        <v>1148</v>
      </c>
      <c r="P379" s="318">
        <v>160</v>
      </c>
      <c r="R379" s="320">
        <v>71.111111111111114</v>
      </c>
      <c r="S379" s="318">
        <v>37</v>
      </c>
      <c r="T379" s="318">
        <v>94.22</v>
      </c>
      <c r="U379" s="318">
        <v>56.531999999999996</v>
      </c>
      <c r="V379" s="315">
        <v>0.22500000000000001</v>
      </c>
      <c r="W379" s="318">
        <v>750</v>
      </c>
      <c r="X379" s="315">
        <v>1</v>
      </c>
      <c r="Y379" s="315" t="s">
        <v>1149</v>
      </c>
      <c r="Z379" s="315">
        <v>0</v>
      </c>
      <c r="AA379" s="315" t="s">
        <v>1157</v>
      </c>
      <c r="AB379" s="315">
        <v>0.5</v>
      </c>
      <c r="AC379" s="315">
        <v>2725</v>
      </c>
      <c r="AD379" s="315">
        <v>2382</v>
      </c>
      <c r="AE379" s="315">
        <v>62.5</v>
      </c>
      <c r="AF379" s="315">
        <v>1.379</v>
      </c>
      <c r="AG379" s="315">
        <v>0.4</v>
      </c>
      <c r="AH379" s="315">
        <v>715</v>
      </c>
    </row>
    <row r="380" spans="1:34">
      <c r="A380" s="315" t="s">
        <v>1334</v>
      </c>
      <c r="B380" s="315" t="s">
        <v>1074</v>
      </c>
      <c r="C380" s="316" t="s">
        <v>1711</v>
      </c>
      <c r="D380" s="316" t="s">
        <v>1711</v>
      </c>
      <c r="E380" s="317">
        <v>25.320000000000007</v>
      </c>
      <c r="F380" s="317">
        <v>0.29585496042944048</v>
      </c>
      <c r="G380" s="317">
        <v>0.69144270298685617</v>
      </c>
      <c r="H380" s="317">
        <v>0.69144270298685617</v>
      </c>
      <c r="I380" s="318">
        <v>2.7308163625073303</v>
      </c>
      <c r="J380" s="318">
        <v>64.154765869498405</v>
      </c>
      <c r="K380" s="319">
        <v>40.070377451709497</v>
      </c>
      <c r="L380" s="319">
        <v>37.339561089202164</v>
      </c>
      <c r="M380" s="319">
        <f t="shared" si="5"/>
        <v>37.339561089202164</v>
      </c>
      <c r="N380" s="317">
        <v>9.4543768677859905</v>
      </c>
      <c r="O380" s="315" t="s">
        <v>1148</v>
      </c>
      <c r="P380" s="318">
        <v>160</v>
      </c>
      <c r="R380" s="320">
        <v>71.111111111111114</v>
      </c>
      <c r="S380" s="318">
        <v>37</v>
      </c>
      <c r="T380" s="318">
        <v>346.36</v>
      </c>
      <c r="U380" s="318">
        <v>207.816</v>
      </c>
      <c r="V380" s="315">
        <v>0.22500000000000001</v>
      </c>
      <c r="W380" s="318">
        <v>750</v>
      </c>
      <c r="X380" s="315">
        <v>1</v>
      </c>
      <c r="Y380" s="315" t="s">
        <v>1149</v>
      </c>
      <c r="Z380" s="315">
        <v>0</v>
      </c>
      <c r="AA380" s="315" t="s">
        <v>1190</v>
      </c>
      <c r="AB380" s="315">
        <v>0.25</v>
      </c>
      <c r="AC380" s="315">
        <v>2835</v>
      </c>
      <c r="AD380" s="315">
        <v>2807</v>
      </c>
      <c r="AE380" s="315">
        <v>62.5</v>
      </c>
      <c r="AF380" s="315">
        <v>1.403</v>
      </c>
      <c r="AG380" s="315">
        <v>0.4</v>
      </c>
      <c r="AH380" s="315">
        <v>715</v>
      </c>
    </row>
    <row r="381" spans="1:34">
      <c r="A381" s="315" t="s">
        <v>1334</v>
      </c>
      <c r="B381" s="315" t="s">
        <v>1074</v>
      </c>
      <c r="C381" s="316" t="s">
        <v>1712</v>
      </c>
      <c r="D381" s="316" t="s">
        <v>1712</v>
      </c>
      <c r="E381" s="317">
        <v>9.7000000000000011</v>
      </c>
      <c r="F381" s="317">
        <v>3.0626815255637254</v>
      </c>
      <c r="G381" s="317">
        <v>3.8304275616007128</v>
      </c>
      <c r="H381" s="317">
        <v>3.8304275616007128</v>
      </c>
      <c r="I381" s="318">
        <v>39.488943934027965</v>
      </c>
      <c r="J381" s="318">
        <v>62.734440353496502</v>
      </c>
      <c r="K381" s="319">
        <v>39.810318674268601</v>
      </c>
      <c r="L381" s="319">
        <v>0.3213747402406355</v>
      </c>
      <c r="M381" s="319">
        <f t="shared" si="5"/>
        <v>0.3213747402406355</v>
      </c>
      <c r="N381" s="317">
        <v>3.1173349803341646E-2</v>
      </c>
      <c r="O381" s="315" t="s">
        <v>1148</v>
      </c>
      <c r="P381" s="318">
        <v>160</v>
      </c>
      <c r="R381" s="320">
        <v>71.111111111111114</v>
      </c>
      <c r="S381" s="318">
        <v>18</v>
      </c>
      <c r="T381" s="318">
        <v>134.97</v>
      </c>
      <c r="U381" s="318">
        <v>80.981999999999999</v>
      </c>
      <c r="V381" s="315">
        <v>0.23499999999999999</v>
      </c>
      <c r="W381" s="318">
        <v>470</v>
      </c>
      <c r="X381" s="315">
        <v>21</v>
      </c>
      <c r="Y381" s="315" t="s">
        <v>1149</v>
      </c>
      <c r="Z381" s="315">
        <v>0</v>
      </c>
      <c r="AA381" s="315" t="s">
        <v>1190</v>
      </c>
      <c r="AB381" s="315">
        <v>0</v>
      </c>
      <c r="AC381" s="315">
        <v>1180</v>
      </c>
      <c r="AD381" s="315">
        <v>1143</v>
      </c>
      <c r="AE381" s="315">
        <v>0.63</v>
      </c>
      <c r="AF381" s="315">
        <v>1.0720000000000001</v>
      </c>
      <c r="AG381" s="315">
        <v>11.6</v>
      </c>
      <c r="AH381" s="315">
        <v>115</v>
      </c>
    </row>
    <row r="382" spans="1:34">
      <c r="A382" s="315" t="s">
        <v>1145</v>
      </c>
      <c r="B382" s="315" t="s">
        <v>1074</v>
      </c>
      <c r="C382" s="316" t="s">
        <v>1713</v>
      </c>
      <c r="D382" s="316" t="s">
        <v>1713</v>
      </c>
      <c r="E382" s="317">
        <v>15.523000000000003</v>
      </c>
      <c r="F382" s="317">
        <v>5.2430684709156061</v>
      </c>
      <c r="G382" s="317">
        <v>5.6974153042526225</v>
      </c>
      <c r="H382" s="317">
        <v>5.6974153042526225</v>
      </c>
      <c r="I382" s="318">
        <v>36.703055493478203</v>
      </c>
      <c r="J382" s="318">
        <v>65.231588029467503</v>
      </c>
      <c r="K382" s="319">
        <v>39.345284118388705</v>
      </c>
      <c r="L382" s="319">
        <v>2.6422286249105014</v>
      </c>
      <c r="M382" s="319">
        <f t="shared" si="5"/>
        <v>2.6422286249105014</v>
      </c>
      <c r="N382" s="317">
        <v>0.4101531494448572</v>
      </c>
      <c r="O382" s="315" t="s">
        <v>1148</v>
      </c>
      <c r="P382" s="318">
        <v>160</v>
      </c>
      <c r="R382" s="320">
        <v>71.111111111111114</v>
      </c>
      <c r="S382" s="318">
        <v>18.5</v>
      </c>
      <c r="T382" s="318">
        <v>236.61</v>
      </c>
      <c r="U382" s="318">
        <v>141.96600000000001</v>
      </c>
      <c r="V382" s="315">
        <v>0.31</v>
      </c>
      <c r="W382" s="318">
        <v>1500</v>
      </c>
      <c r="X382" s="315">
        <v>28</v>
      </c>
      <c r="Y382" s="315" t="s">
        <v>1149</v>
      </c>
      <c r="Z382" s="315">
        <v>0</v>
      </c>
      <c r="AA382" s="315" t="s">
        <v>1150</v>
      </c>
      <c r="AB382" s="315">
        <v>0</v>
      </c>
      <c r="AC382" s="315">
        <v>1352</v>
      </c>
      <c r="AD382" s="315">
        <v>1322</v>
      </c>
      <c r="AE382" s="315">
        <v>0.5</v>
      </c>
      <c r="AF382" s="315">
        <v>1.083</v>
      </c>
      <c r="AG382" s="315">
        <v>8.6</v>
      </c>
      <c r="AH382" s="315">
        <v>140</v>
      </c>
    </row>
    <row r="383" spans="1:34">
      <c r="A383" s="315" t="s">
        <v>1145</v>
      </c>
      <c r="B383" s="315" t="s">
        <v>1074</v>
      </c>
      <c r="C383" s="316" t="s">
        <v>1714</v>
      </c>
      <c r="D383" s="316" t="s">
        <v>1714</v>
      </c>
      <c r="E383" s="317">
        <v>7.7380000000000022</v>
      </c>
      <c r="F383" s="317">
        <v>2.3311414761440372</v>
      </c>
      <c r="G383" s="317">
        <v>2.3586250222224394</v>
      </c>
      <c r="H383" s="317">
        <v>2.3586250222224394</v>
      </c>
      <c r="I383" s="318">
        <v>30.481067746477624</v>
      </c>
      <c r="J383" s="318">
        <v>64.265301466470603</v>
      </c>
      <c r="K383" s="319">
        <v>38.865502480174605</v>
      </c>
      <c r="L383" s="319">
        <v>8.3844347336969811</v>
      </c>
      <c r="M383" s="319">
        <f t="shared" si="5"/>
        <v>8.3844347336969811</v>
      </c>
      <c r="N383" s="317">
        <v>0.64878755969347257</v>
      </c>
      <c r="O383" s="315" t="s">
        <v>1148</v>
      </c>
      <c r="P383" s="318">
        <v>160</v>
      </c>
      <c r="R383" s="320">
        <v>71.111111111111114</v>
      </c>
      <c r="S383" s="318">
        <v>18.5</v>
      </c>
      <c r="T383" s="318">
        <v>96.24</v>
      </c>
      <c r="U383" s="318">
        <v>57.743999999999993</v>
      </c>
      <c r="V383" s="315">
        <v>0.31</v>
      </c>
      <c r="W383" s="318">
        <v>1500</v>
      </c>
      <c r="X383" s="315">
        <v>24</v>
      </c>
      <c r="Y383" s="315" t="s">
        <v>1149</v>
      </c>
      <c r="Z383" s="315">
        <v>0</v>
      </c>
      <c r="AA383" s="315" t="s">
        <v>1190</v>
      </c>
      <c r="AB383" s="315">
        <v>0</v>
      </c>
      <c r="AC383" s="315">
        <v>1422</v>
      </c>
      <c r="AD383" s="315">
        <v>1422</v>
      </c>
      <c r="AE383" s="315">
        <v>0.5</v>
      </c>
      <c r="AF383" s="315">
        <v>1.0880000000000001</v>
      </c>
      <c r="AG383" s="315">
        <v>7.3</v>
      </c>
      <c r="AH383" s="315">
        <v>150</v>
      </c>
    </row>
    <row r="384" spans="1:34">
      <c r="A384" s="315" t="s">
        <v>1715</v>
      </c>
      <c r="B384" s="315" t="s">
        <v>1074</v>
      </c>
      <c r="C384" s="316" t="s">
        <v>1716</v>
      </c>
      <c r="D384" s="316" t="s">
        <v>1716</v>
      </c>
      <c r="E384" s="317">
        <v>38.004200000000004</v>
      </c>
      <c r="F384" s="317">
        <v>24.152886433313984</v>
      </c>
      <c r="G384" s="317">
        <v>24.687239708757325</v>
      </c>
      <c r="H384" s="317">
        <v>24.687239708757325</v>
      </c>
      <c r="I384" s="318">
        <v>64.959240580665607</v>
      </c>
      <c r="J384" s="318">
        <v>56.301253579532698</v>
      </c>
      <c r="K384" s="319">
        <v>41.897213477585296</v>
      </c>
      <c r="L384" s="319">
        <v>-23.062027103080311</v>
      </c>
      <c r="M384" s="319">
        <f t="shared" si="5"/>
        <v>0</v>
      </c>
      <c r="N384" s="317">
        <v>0</v>
      </c>
      <c r="O384" s="315" t="s">
        <v>1148</v>
      </c>
      <c r="P384" s="318">
        <v>160</v>
      </c>
      <c r="R384" s="320">
        <v>71.111111111111114</v>
      </c>
      <c r="S384" s="318">
        <v>20</v>
      </c>
      <c r="T384" s="318">
        <v>129.28</v>
      </c>
      <c r="U384" s="318">
        <v>77.567999999999998</v>
      </c>
      <c r="V384" s="315">
        <v>0.3</v>
      </c>
      <c r="W384" s="318">
        <v>1500</v>
      </c>
      <c r="X384" s="315">
        <v>41</v>
      </c>
      <c r="Y384" s="315" t="s">
        <v>1149</v>
      </c>
      <c r="Z384" s="315">
        <v>0</v>
      </c>
      <c r="AA384" s="315" t="s">
        <v>1190</v>
      </c>
      <c r="AB384" s="315">
        <v>0</v>
      </c>
      <c r="AC384" s="315">
        <v>1544</v>
      </c>
      <c r="AD384" s="315">
        <v>1508</v>
      </c>
      <c r="AE384" s="315">
        <v>0.65</v>
      </c>
      <c r="AF384" s="315">
        <v>1.095</v>
      </c>
      <c r="AG384" s="315">
        <v>4.5</v>
      </c>
      <c r="AH384" s="315">
        <v>185</v>
      </c>
    </row>
    <row r="385" spans="1:34">
      <c r="A385" s="315" t="s">
        <v>1717</v>
      </c>
      <c r="B385" s="315" t="s">
        <v>1074</v>
      </c>
      <c r="C385" s="316" t="s">
        <v>1718</v>
      </c>
      <c r="D385" s="316" t="s">
        <v>1718</v>
      </c>
      <c r="E385" s="317">
        <v>6.1185000000000009</v>
      </c>
      <c r="F385" s="317">
        <v>1.5249970114861287</v>
      </c>
      <c r="G385" s="317">
        <v>1.653635874807506</v>
      </c>
      <c r="H385" s="317">
        <v>1.653635874807506</v>
      </c>
      <c r="I385" s="318">
        <v>27.026818252962421</v>
      </c>
      <c r="J385" s="318">
        <v>55.531532876137703</v>
      </c>
      <c r="K385" s="319">
        <v>42.373774340930595</v>
      </c>
      <c r="L385" s="319">
        <v>15.346956087968174</v>
      </c>
      <c r="M385" s="319">
        <f t="shared" si="5"/>
        <v>15.346956087968174</v>
      </c>
      <c r="N385" s="317">
        <v>0.93900350824233292</v>
      </c>
      <c r="O385" s="315" t="s">
        <v>1148</v>
      </c>
      <c r="P385" s="318">
        <v>160</v>
      </c>
      <c r="R385" s="320">
        <v>71.111111111111114</v>
      </c>
      <c r="S385" s="318">
        <v>20</v>
      </c>
      <c r="T385" s="318">
        <v>51.75</v>
      </c>
      <c r="U385" s="318">
        <v>31.049999999999997</v>
      </c>
      <c r="V385" s="315">
        <v>0.3</v>
      </c>
      <c r="W385" s="318">
        <v>1500</v>
      </c>
      <c r="X385" s="315">
        <v>8</v>
      </c>
      <c r="Y385" s="315" t="s">
        <v>1149</v>
      </c>
      <c r="Z385" s="315">
        <v>0</v>
      </c>
      <c r="AA385" s="315" t="s">
        <v>1190</v>
      </c>
      <c r="AB385" s="315">
        <v>0</v>
      </c>
      <c r="AC385" s="315">
        <v>1583</v>
      </c>
      <c r="AD385" s="315">
        <v>1563</v>
      </c>
      <c r="AE385" s="315">
        <v>0.65</v>
      </c>
      <c r="AF385" s="315">
        <v>1.0960000000000001</v>
      </c>
      <c r="AG385" s="315">
        <v>4.5</v>
      </c>
      <c r="AH385" s="315">
        <v>185</v>
      </c>
    </row>
    <row r="386" spans="1:34">
      <c r="A386" s="315" t="s">
        <v>1145</v>
      </c>
      <c r="B386" s="315" t="s">
        <v>1074</v>
      </c>
      <c r="C386" s="316" t="s">
        <v>1719</v>
      </c>
      <c r="D386" s="316" t="s">
        <v>1719</v>
      </c>
      <c r="E386" s="317">
        <v>6.6894000000000009</v>
      </c>
      <c r="F386" s="317">
        <v>1.8265086730709705</v>
      </c>
      <c r="G386" s="317">
        <v>2.1409306378853099</v>
      </c>
      <c r="H386" s="317">
        <v>2.1409306378853099</v>
      </c>
      <c r="I386" s="318">
        <v>32.00482312143555</v>
      </c>
      <c r="J386" s="318">
        <v>56.061052619009999</v>
      </c>
      <c r="K386" s="319">
        <v>41.823293981602397</v>
      </c>
      <c r="L386" s="319">
        <v>9.8184708601668476</v>
      </c>
      <c r="M386" s="319">
        <f t="shared" ref="M386:M449" si="6">IF(L386&lt;0,0,L386)</f>
        <v>9.8184708601668476</v>
      </c>
      <c r="N386" s="317">
        <v>0.65679678972000122</v>
      </c>
      <c r="O386" s="315" t="s">
        <v>1148</v>
      </c>
      <c r="P386" s="318">
        <v>160</v>
      </c>
      <c r="R386" s="320">
        <v>71.111111111111114</v>
      </c>
      <c r="S386" s="318">
        <v>20</v>
      </c>
      <c r="T386" s="318">
        <v>24.1</v>
      </c>
      <c r="U386" s="318">
        <v>14.46</v>
      </c>
      <c r="V386" s="315">
        <v>0.3</v>
      </c>
      <c r="W386" s="318">
        <v>1500</v>
      </c>
      <c r="X386" s="315">
        <v>9</v>
      </c>
      <c r="Y386" s="315" t="s">
        <v>1149</v>
      </c>
      <c r="Z386" s="315">
        <v>0</v>
      </c>
      <c r="AA386" s="315" t="s">
        <v>1190</v>
      </c>
      <c r="AB386" s="315">
        <v>0</v>
      </c>
      <c r="AC386" s="315">
        <v>1583</v>
      </c>
      <c r="AD386" s="315">
        <v>1563</v>
      </c>
      <c r="AE386" s="315">
        <v>0.65</v>
      </c>
      <c r="AF386" s="315">
        <v>1.0980000000000001</v>
      </c>
      <c r="AG386" s="315">
        <v>4.5</v>
      </c>
      <c r="AH386" s="315">
        <v>185</v>
      </c>
    </row>
    <row r="387" spans="1:34">
      <c r="A387" s="315" t="s">
        <v>1145</v>
      </c>
      <c r="B387" s="315" t="s">
        <v>1074</v>
      </c>
      <c r="C387" s="316" t="s">
        <v>1720</v>
      </c>
      <c r="D387" s="316" t="s">
        <v>1720</v>
      </c>
      <c r="E387" s="317">
        <v>16.344400000000004</v>
      </c>
      <c r="F387" s="317">
        <v>8.5348065432649545</v>
      </c>
      <c r="G387" s="317">
        <v>8.8778822082976827</v>
      </c>
      <c r="H387" s="317">
        <v>8.8778822082976827</v>
      </c>
      <c r="I387" s="318">
        <v>54.317577936771499</v>
      </c>
      <c r="J387" s="318">
        <v>57.902836850704503</v>
      </c>
      <c r="K387" s="319">
        <v>41.029081449137401</v>
      </c>
      <c r="L387" s="319">
        <v>-13.288496487634099</v>
      </c>
      <c r="M387" s="319">
        <f t="shared" si="6"/>
        <v>0</v>
      </c>
      <c r="N387" s="317">
        <v>0</v>
      </c>
      <c r="O387" s="315" t="s">
        <v>1148</v>
      </c>
      <c r="P387" s="318">
        <v>160</v>
      </c>
      <c r="R387" s="320">
        <v>71.111111111111114</v>
      </c>
      <c r="S387" s="318">
        <v>19</v>
      </c>
      <c r="T387" s="318">
        <v>162.99</v>
      </c>
      <c r="U387" s="318">
        <v>97.793999999999997</v>
      </c>
      <c r="V387" s="315">
        <v>0.3</v>
      </c>
      <c r="W387" s="318">
        <v>1000</v>
      </c>
      <c r="X387" s="315">
        <v>11</v>
      </c>
      <c r="Y387" s="315" t="s">
        <v>1149</v>
      </c>
      <c r="Z387" s="315">
        <v>0</v>
      </c>
      <c r="AA387" s="315" t="s">
        <v>1150</v>
      </c>
      <c r="AB387" s="315">
        <v>0</v>
      </c>
      <c r="AC387" s="315">
        <v>1620</v>
      </c>
      <c r="AD387" s="315">
        <v>1590</v>
      </c>
      <c r="AE387" s="315">
        <v>0.64</v>
      </c>
      <c r="AF387" s="315">
        <v>1.1000000000000001</v>
      </c>
      <c r="AG387" s="315">
        <v>5</v>
      </c>
      <c r="AH387" s="315">
        <v>185</v>
      </c>
    </row>
    <row r="388" spans="1:34">
      <c r="A388" s="315" t="s">
        <v>1145</v>
      </c>
      <c r="B388" s="315" t="s">
        <v>1074</v>
      </c>
      <c r="C388" s="316" t="s">
        <v>1721</v>
      </c>
      <c r="D388" s="316" t="s">
        <v>1721</v>
      </c>
      <c r="E388" s="317">
        <v>97.986000000000033</v>
      </c>
      <c r="F388" s="317">
        <v>69.549304705695818</v>
      </c>
      <c r="G388" s="317">
        <v>71.448713772194566</v>
      </c>
      <c r="H388" s="317">
        <v>71.501405104226563</v>
      </c>
      <c r="I388" s="318">
        <v>72.971041887847804</v>
      </c>
      <c r="J388" s="318">
        <v>54.306168077827301</v>
      </c>
      <c r="K388" s="319">
        <v>43.511438479886202</v>
      </c>
      <c r="L388" s="319">
        <v>-29.459603407961602</v>
      </c>
      <c r="M388" s="319">
        <f t="shared" si="6"/>
        <v>0</v>
      </c>
      <c r="N388" s="317">
        <v>0</v>
      </c>
      <c r="O388" s="315" t="s">
        <v>1148</v>
      </c>
      <c r="P388" s="318">
        <v>160</v>
      </c>
      <c r="R388" s="320">
        <v>71.111111111111114</v>
      </c>
      <c r="S388" s="318">
        <v>26.6</v>
      </c>
      <c r="T388" s="318">
        <v>610</v>
      </c>
      <c r="U388" s="318">
        <v>290</v>
      </c>
      <c r="V388" s="315">
        <v>0.3</v>
      </c>
      <c r="W388" s="318">
        <v>600</v>
      </c>
      <c r="X388" s="315">
        <v>20</v>
      </c>
      <c r="Y388" s="315" t="s">
        <v>1149</v>
      </c>
      <c r="Z388" s="315">
        <v>0</v>
      </c>
      <c r="AA388" s="315" t="s">
        <v>1157</v>
      </c>
      <c r="AB388" s="315">
        <v>0</v>
      </c>
      <c r="AC388" s="315">
        <v>1960</v>
      </c>
      <c r="AD388" s="315">
        <v>1920</v>
      </c>
      <c r="AE388" s="315">
        <v>0.64</v>
      </c>
      <c r="AF388" s="315">
        <v>1.36</v>
      </c>
      <c r="AG388" s="315">
        <v>0.9</v>
      </c>
      <c r="AH388" s="315">
        <v>540</v>
      </c>
    </row>
    <row r="389" spans="1:34">
      <c r="A389" s="315" t="s">
        <v>1145</v>
      </c>
      <c r="B389" s="315" t="s">
        <v>1074</v>
      </c>
      <c r="C389" s="316" t="s">
        <v>1722</v>
      </c>
      <c r="D389" s="316" t="s">
        <v>1722</v>
      </c>
      <c r="E389" s="317">
        <v>42.488000000000007</v>
      </c>
      <c r="F389" s="317">
        <v>36.523227960000767</v>
      </c>
      <c r="G389" s="317">
        <v>37.237890742490663</v>
      </c>
      <c r="H389" s="317">
        <v>37.237890742490663</v>
      </c>
      <c r="I389" s="318">
        <v>87.643312800062745</v>
      </c>
      <c r="J389" s="318">
        <v>48.951421278965299</v>
      </c>
      <c r="K389" s="319">
        <v>45.087543635958696</v>
      </c>
      <c r="L389" s="319">
        <v>-42.555769164104049</v>
      </c>
      <c r="M389" s="319">
        <f t="shared" si="6"/>
        <v>0</v>
      </c>
      <c r="N389" s="317">
        <v>0</v>
      </c>
      <c r="O389" s="315" t="s">
        <v>1148</v>
      </c>
      <c r="P389" s="318">
        <v>160</v>
      </c>
      <c r="R389" s="320">
        <v>71.111111111111114</v>
      </c>
      <c r="S389" s="318">
        <v>36.5</v>
      </c>
      <c r="T389" s="318">
        <v>322</v>
      </c>
      <c r="U389" s="318">
        <v>126</v>
      </c>
      <c r="V389" s="315">
        <v>0.24</v>
      </c>
      <c r="W389" s="318">
        <v>500</v>
      </c>
      <c r="X389" s="315">
        <v>19</v>
      </c>
      <c r="Y389" s="315" t="s">
        <v>1149</v>
      </c>
      <c r="Z389" s="315">
        <v>0</v>
      </c>
      <c r="AA389" s="315" t="s">
        <v>1157</v>
      </c>
      <c r="AB389" s="315">
        <v>0</v>
      </c>
      <c r="AC389" s="315">
        <v>1958</v>
      </c>
      <c r="AD389" s="315">
        <v>2133.2242866385</v>
      </c>
      <c r="AE389" s="315">
        <v>0.72</v>
      </c>
      <c r="AF389" s="315">
        <v>1.282</v>
      </c>
      <c r="AG389" s="315">
        <v>0.5</v>
      </c>
      <c r="AH389" s="315">
        <v>540</v>
      </c>
    </row>
    <row r="390" spans="1:34">
      <c r="A390" s="315" t="s">
        <v>1723</v>
      </c>
      <c r="B390" s="315" t="s">
        <v>1074</v>
      </c>
      <c r="C390" s="316" t="s">
        <v>1724</v>
      </c>
      <c r="D390" s="316" t="s">
        <v>1724</v>
      </c>
      <c r="E390" s="317">
        <v>21.260000000000005</v>
      </c>
      <c r="F390" s="317">
        <v>5.7356858216148714</v>
      </c>
      <c r="G390" s="317">
        <v>5.7411825109891597</v>
      </c>
      <c r="H390" s="317">
        <v>5.7411825109891597</v>
      </c>
      <c r="I390" s="318">
        <v>27.00462140634599</v>
      </c>
      <c r="J390" s="318">
        <v>64.154765869498405</v>
      </c>
      <c r="K390" s="319">
        <v>40.070377451709497</v>
      </c>
      <c r="L390" s="319">
        <v>13.065756045363507</v>
      </c>
      <c r="M390" s="319">
        <f t="shared" si="6"/>
        <v>13.065756045363507</v>
      </c>
      <c r="N390" s="317">
        <v>2.7777797352442826</v>
      </c>
      <c r="O390" s="315" t="s">
        <v>1148</v>
      </c>
      <c r="P390" s="318">
        <v>160</v>
      </c>
      <c r="R390" s="320">
        <v>71.111111111111114</v>
      </c>
      <c r="S390" s="318">
        <v>37</v>
      </c>
      <c r="T390" s="318">
        <v>346.36</v>
      </c>
      <c r="U390" s="318">
        <v>207.816</v>
      </c>
      <c r="V390" s="315">
        <v>0.22500000000000001</v>
      </c>
      <c r="W390" s="318">
        <v>750</v>
      </c>
      <c r="X390" s="315">
        <v>12</v>
      </c>
      <c r="Y390" s="315" t="s">
        <v>1149</v>
      </c>
      <c r="Z390" s="315">
        <v>0</v>
      </c>
      <c r="AA390" s="315" t="s">
        <v>1190</v>
      </c>
      <c r="AB390" s="315">
        <v>0.25</v>
      </c>
      <c r="AC390" s="315">
        <v>2835</v>
      </c>
      <c r="AD390" s="315">
        <v>2807</v>
      </c>
      <c r="AE390" s="315">
        <v>62.5</v>
      </c>
      <c r="AF390" s="315">
        <v>1.403</v>
      </c>
      <c r="AG390" s="315">
        <v>0.4</v>
      </c>
      <c r="AH390" s="315">
        <v>715</v>
      </c>
    </row>
    <row r="391" spans="1:34">
      <c r="A391" s="315" t="s">
        <v>1725</v>
      </c>
      <c r="B391" s="315" t="s">
        <v>1074</v>
      </c>
      <c r="C391" s="316" t="s">
        <v>1726</v>
      </c>
      <c r="D391" s="316" t="s">
        <v>1726</v>
      </c>
      <c r="E391" s="317">
        <v>15.582000000000004</v>
      </c>
      <c r="F391" s="317">
        <v>5.8066530482017056</v>
      </c>
      <c r="G391" s="317">
        <v>6.5829995243004111</v>
      </c>
      <c r="H391" s="317">
        <v>6.7598462306386349</v>
      </c>
      <c r="I391" s="318">
        <v>43.382404252590376</v>
      </c>
      <c r="J391" s="318">
        <v>73.553217693095306</v>
      </c>
      <c r="K391" s="319">
        <v>34.438603715889101</v>
      </c>
      <c r="L391" s="319">
        <v>-8.943800536701275</v>
      </c>
      <c r="M391" s="319">
        <f t="shared" si="6"/>
        <v>0</v>
      </c>
      <c r="N391" s="317">
        <v>0</v>
      </c>
      <c r="O391" s="315" t="s">
        <v>1148</v>
      </c>
      <c r="P391" s="318">
        <v>160</v>
      </c>
      <c r="R391" s="320">
        <v>71.111111111111114</v>
      </c>
      <c r="S391" s="318">
        <v>36.5</v>
      </c>
      <c r="T391" s="318">
        <v>180.56</v>
      </c>
      <c r="U391" s="318">
        <v>108.336</v>
      </c>
      <c r="V391" s="315">
        <v>0.23499999999999999</v>
      </c>
      <c r="W391" s="318">
        <v>362</v>
      </c>
      <c r="X391" s="315">
        <v>6</v>
      </c>
      <c r="Y391" s="315" t="s">
        <v>1149</v>
      </c>
      <c r="Z391" s="315">
        <v>0</v>
      </c>
      <c r="AA391" s="315" t="s">
        <v>1157</v>
      </c>
      <c r="AB391" s="315">
        <v>0</v>
      </c>
      <c r="AC391" s="315">
        <v>2750</v>
      </c>
      <c r="AD391" s="315">
        <v>2418</v>
      </c>
      <c r="AE391" s="315">
        <v>0.22</v>
      </c>
      <c r="AF391" s="315">
        <v>1.4</v>
      </c>
      <c r="AG391" s="315">
        <v>0.6</v>
      </c>
      <c r="AH391" s="315">
        <v>750</v>
      </c>
    </row>
    <row r="392" spans="1:34">
      <c r="A392" s="315" t="s">
        <v>1145</v>
      </c>
      <c r="B392" s="315" t="s">
        <v>1074</v>
      </c>
      <c r="C392" s="316" t="s">
        <v>1727</v>
      </c>
      <c r="D392" s="316" t="s">
        <v>1727</v>
      </c>
      <c r="E392" s="317">
        <v>3.7930000000000006</v>
      </c>
      <c r="F392" s="317">
        <v>0.13899812839086803</v>
      </c>
      <c r="G392" s="317">
        <v>0.13899812839086803</v>
      </c>
      <c r="H392" s="317">
        <v>0.13899812839086803</v>
      </c>
      <c r="I392" s="318">
        <v>3.6645960556516739</v>
      </c>
      <c r="J392" s="318">
        <v>68.803619493124302</v>
      </c>
      <c r="K392" s="319">
        <v>37.4743015761237</v>
      </c>
      <c r="L392" s="319">
        <v>33.809705520472029</v>
      </c>
      <c r="M392" s="319">
        <f t="shared" si="6"/>
        <v>33.809705520472029</v>
      </c>
      <c r="N392" s="317">
        <v>1.2824021303915043</v>
      </c>
      <c r="O392" s="315" t="s">
        <v>1148</v>
      </c>
      <c r="P392" s="318">
        <v>160</v>
      </c>
      <c r="R392" s="320">
        <v>71.111111111111114</v>
      </c>
      <c r="S392" s="318">
        <v>36.5</v>
      </c>
      <c r="T392" s="318">
        <v>231.55</v>
      </c>
      <c r="U392" s="318">
        <v>138.93</v>
      </c>
      <c r="V392" s="315">
        <v>0.23499999999999999</v>
      </c>
      <c r="W392" s="318">
        <v>362</v>
      </c>
      <c r="X392" s="315">
        <v>5</v>
      </c>
      <c r="Y392" s="315" t="s">
        <v>1149</v>
      </c>
      <c r="Z392" s="315">
        <v>0</v>
      </c>
      <c r="AA392" s="315" t="s">
        <v>1157</v>
      </c>
      <c r="AB392" s="315">
        <v>0</v>
      </c>
      <c r="AC392" s="315">
        <v>2480</v>
      </c>
      <c r="AD392" s="315">
        <v>2416</v>
      </c>
      <c r="AE392" s="315">
        <v>0.22</v>
      </c>
      <c r="AF392" s="315">
        <v>1.4</v>
      </c>
      <c r="AG392" s="315">
        <v>0.6</v>
      </c>
      <c r="AH392" s="315">
        <v>750</v>
      </c>
    </row>
    <row r="393" spans="1:34">
      <c r="A393" s="315" t="s">
        <v>1145</v>
      </c>
      <c r="B393" s="315" t="s">
        <v>1074</v>
      </c>
      <c r="C393" s="316" t="s">
        <v>1728</v>
      </c>
      <c r="D393" s="316" t="s">
        <v>1728</v>
      </c>
      <c r="E393" s="317">
        <v>15.582000000000004</v>
      </c>
      <c r="F393" s="317">
        <v>5.8066530482017056</v>
      </c>
      <c r="G393" s="317">
        <v>6.5829995243004111</v>
      </c>
      <c r="H393" s="317">
        <v>6.7598462306386349</v>
      </c>
      <c r="I393" s="318">
        <v>43.382404252590376</v>
      </c>
      <c r="J393" s="318">
        <v>73.468051991804302</v>
      </c>
      <c r="K393" s="319">
        <v>34.8219570746841</v>
      </c>
      <c r="L393" s="319">
        <v>-8.5604471779062763</v>
      </c>
      <c r="M393" s="319">
        <f t="shared" si="6"/>
        <v>0</v>
      </c>
      <c r="N393" s="317">
        <v>0</v>
      </c>
      <c r="O393" s="315" t="s">
        <v>1148</v>
      </c>
      <c r="P393" s="318">
        <v>160</v>
      </c>
      <c r="R393" s="320">
        <v>71.111111111111114</v>
      </c>
      <c r="S393" s="318">
        <v>36.5</v>
      </c>
      <c r="T393" s="318">
        <v>180.56</v>
      </c>
      <c r="U393" s="318">
        <v>108.336</v>
      </c>
      <c r="V393" s="315">
        <v>0.23499999999999999</v>
      </c>
      <c r="W393" s="318">
        <v>362</v>
      </c>
      <c r="X393" s="315">
        <v>3</v>
      </c>
      <c r="Y393" s="315" t="s">
        <v>1149</v>
      </c>
      <c r="Z393" s="315">
        <v>0</v>
      </c>
      <c r="AA393" s="315" t="s">
        <v>1157</v>
      </c>
      <c r="AB393" s="315">
        <v>0</v>
      </c>
      <c r="AC393" s="315">
        <v>2750</v>
      </c>
      <c r="AD393" s="315">
        <v>2418</v>
      </c>
      <c r="AE393" s="315">
        <v>0.22</v>
      </c>
      <c r="AF393" s="315">
        <v>1.4</v>
      </c>
      <c r="AG393" s="315">
        <v>0.6</v>
      </c>
      <c r="AH393" s="315">
        <v>750</v>
      </c>
    </row>
    <row r="394" spans="1:34">
      <c r="A394" s="315" t="s">
        <v>1729</v>
      </c>
      <c r="B394" s="315" t="s">
        <v>1074</v>
      </c>
      <c r="C394" s="316" t="s">
        <v>1730</v>
      </c>
      <c r="D394" s="316" t="s">
        <v>1730</v>
      </c>
      <c r="E394" s="317">
        <v>11.988000000000001</v>
      </c>
      <c r="F394" s="317">
        <v>1.1797886409760765</v>
      </c>
      <c r="G394" s="317">
        <v>1.2665924290617077</v>
      </c>
      <c r="H394" s="317">
        <v>1.2665924290617077</v>
      </c>
      <c r="I394" s="318">
        <v>10.565502411258821</v>
      </c>
      <c r="J394" s="318">
        <v>40.595287924175103</v>
      </c>
      <c r="K394" s="319">
        <v>47.076214828255196</v>
      </c>
      <c r="L394" s="319">
        <v>36.510712416996377</v>
      </c>
      <c r="M394" s="319">
        <f t="shared" si="6"/>
        <v>36.510712416996377</v>
      </c>
      <c r="N394" s="317">
        <v>4.3769042045495263</v>
      </c>
      <c r="O394" s="315" t="s">
        <v>1148</v>
      </c>
      <c r="P394" s="318">
        <v>160</v>
      </c>
      <c r="R394" s="320">
        <v>71.111111111111114</v>
      </c>
      <c r="S394" s="318">
        <v>36.5</v>
      </c>
      <c r="T394" s="318">
        <v>307.77</v>
      </c>
      <c r="U394" s="318">
        <v>184.66199999999998</v>
      </c>
      <c r="V394" s="315">
        <v>0.24</v>
      </c>
      <c r="W394" s="318">
        <v>500</v>
      </c>
      <c r="X394" s="315">
        <v>3</v>
      </c>
      <c r="Y394" s="315" t="s">
        <v>1149</v>
      </c>
      <c r="Z394" s="315">
        <v>0</v>
      </c>
      <c r="AA394" s="315" t="s">
        <v>1157</v>
      </c>
      <c r="AB394" s="315">
        <v>0</v>
      </c>
      <c r="AC394" s="315">
        <v>2500</v>
      </c>
      <c r="AD394" s="315">
        <v>2368</v>
      </c>
      <c r="AE394" s="315">
        <v>0.72</v>
      </c>
      <c r="AF394" s="315">
        <v>1.3460000000000001</v>
      </c>
      <c r="AG394" s="315">
        <v>0.5</v>
      </c>
      <c r="AH394" s="315">
        <v>540</v>
      </c>
    </row>
    <row r="395" spans="1:34">
      <c r="A395" s="315" t="s">
        <v>1731</v>
      </c>
      <c r="B395" s="315" t="s">
        <v>1074</v>
      </c>
      <c r="C395" s="316" t="s">
        <v>1732</v>
      </c>
      <c r="D395" s="316" t="s">
        <v>1732</v>
      </c>
      <c r="E395" s="317">
        <v>7.6300000000000017</v>
      </c>
      <c r="F395" s="317">
        <v>0.23178894734372676</v>
      </c>
      <c r="G395" s="317">
        <v>0.85236409049608408</v>
      </c>
      <c r="H395" s="317">
        <v>0.85236409049608408</v>
      </c>
      <c r="I395" s="318">
        <v>11.171220058926394</v>
      </c>
      <c r="J395" s="318">
        <v>64.262043272001407</v>
      </c>
      <c r="K395" s="319">
        <v>39.071879385136697</v>
      </c>
      <c r="L395" s="319">
        <v>27.900659326210302</v>
      </c>
      <c r="M395" s="319">
        <f t="shared" si="6"/>
        <v>27.900659326210302</v>
      </c>
      <c r="N395" s="317">
        <v>2.1288203065898466</v>
      </c>
      <c r="O395" s="315" t="s">
        <v>1148</v>
      </c>
      <c r="P395" s="318">
        <v>160</v>
      </c>
      <c r="R395" s="320">
        <v>71.111111111111114</v>
      </c>
      <c r="S395" s="318">
        <v>37</v>
      </c>
      <c r="T395" s="318">
        <v>346.36</v>
      </c>
      <c r="U395" s="318">
        <v>207.816</v>
      </c>
      <c r="V395" s="315">
        <v>0.22500000000000001</v>
      </c>
      <c r="W395" s="318">
        <v>750</v>
      </c>
      <c r="X395" s="315">
        <v>1</v>
      </c>
      <c r="Y395" s="315" t="s">
        <v>1149</v>
      </c>
      <c r="Z395" s="315">
        <v>0</v>
      </c>
      <c r="AA395" s="315" t="s">
        <v>1190</v>
      </c>
      <c r="AB395" s="315">
        <v>0.25</v>
      </c>
      <c r="AC395" s="315">
        <v>2835</v>
      </c>
      <c r="AD395" s="315">
        <v>2807</v>
      </c>
      <c r="AE395" s="315">
        <v>62.5</v>
      </c>
      <c r="AF395" s="315">
        <v>1.403</v>
      </c>
      <c r="AG395" s="315">
        <v>0.4</v>
      </c>
      <c r="AH395" s="315">
        <v>715</v>
      </c>
    </row>
    <row r="396" spans="1:34">
      <c r="A396" s="315" t="s">
        <v>1733</v>
      </c>
      <c r="B396" s="315" t="s">
        <v>1074</v>
      </c>
      <c r="C396" s="316" t="s">
        <v>1734</v>
      </c>
      <c r="D396" s="316" t="s">
        <v>1734</v>
      </c>
      <c r="E396" s="317">
        <v>13.570000000000004</v>
      </c>
      <c r="F396" s="317">
        <v>2.8723616866902133</v>
      </c>
      <c r="G396" s="317">
        <v>3.1880596125354681</v>
      </c>
      <c r="H396" s="317">
        <v>3.1880596125354681</v>
      </c>
      <c r="I396" s="318">
        <v>23.493438559583399</v>
      </c>
      <c r="J396" s="318">
        <v>44.103155321127197</v>
      </c>
      <c r="K396" s="319">
        <v>44.918610126642299</v>
      </c>
      <c r="L396" s="319">
        <v>21.4251715670589</v>
      </c>
      <c r="M396" s="319">
        <f t="shared" si="6"/>
        <v>21.4251715670589</v>
      </c>
      <c r="N396" s="317">
        <v>2.9073957816498939</v>
      </c>
      <c r="O396" s="315" t="s">
        <v>1148</v>
      </c>
      <c r="P396" s="318">
        <v>160</v>
      </c>
      <c r="R396" s="320">
        <v>71.111111111111114</v>
      </c>
      <c r="S396" s="318">
        <v>26.6</v>
      </c>
      <c r="T396" s="318">
        <v>397.4</v>
      </c>
      <c r="U396" s="318">
        <v>238.43999999999997</v>
      </c>
      <c r="V396" s="315">
        <v>0.3</v>
      </c>
      <c r="W396" s="318">
        <v>600</v>
      </c>
      <c r="X396" s="315">
        <v>7</v>
      </c>
      <c r="Y396" s="315" t="s">
        <v>1149</v>
      </c>
      <c r="Z396" s="315">
        <v>0</v>
      </c>
      <c r="AA396" s="315" t="s">
        <v>1190</v>
      </c>
      <c r="AB396" s="315">
        <v>0</v>
      </c>
      <c r="AC396" s="315">
        <v>1960</v>
      </c>
      <c r="AD396" s="315">
        <v>1960</v>
      </c>
      <c r="AE396" s="315">
        <v>0.64</v>
      </c>
      <c r="AF396" s="315">
        <v>1.3320000000000001</v>
      </c>
      <c r="AG396" s="315">
        <v>0.9</v>
      </c>
      <c r="AH396" s="315">
        <v>540</v>
      </c>
    </row>
    <row r="397" spans="1:34">
      <c r="A397" s="315" t="s">
        <v>1735</v>
      </c>
      <c r="B397" s="315" t="s">
        <v>1074</v>
      </c>
      <c r="C397" s="316" t="s">
        <v>1736</v>
      </c>
      <c r="D397" s="316" t="s">
        <v>1736</v>
      </c>
      <c r="E397" s="317">
        <v>11.33</v>
      </c>
      <c r="F397" s="317">
        <v>1.204345</v>
      </c>
      <c r="G397" s="317">
        <v>1.2</v>
      </c>
      <c r="H397" s="317">
        <v>1.2</v>
      </c>
      <c r="I397" s="318">
        <v>10.591350397175638</v>
      </c>
      <c r="J397" s="318">
        <v>74.139044927025694</v>
      </c>
      <c r="K397" s="319">
        <v>33.922523694980399</v>
      </c>
      <c r="L397" s="319">
        <v>23.33117329780476</v>
      </c>
      <c r="M397" s="319">
        <f t="shared" si="6"/>
        <v>23.33117329780476</v>
      </c>
      <c r="N397" s="317">
        <v>2.6434219346412795</v>
      </c>
      <c r="O397" s="315" t="s">
        <v>1148</v>
      </c>
      <c r="P397" s="318">
        <v>160</v>
      </c>
      <c r="R397" s="320">
        <v>71.111111111111114</v>
      </c>
      <c r="S397" s="318">
        <v>36.5</v>
      </c>
      <c r="T397" s="318">
        <v>370.93</v>
      </c>
      <c r="U397" s="318">
        <v>222.55799999999999</v>
      </c>
      <c r="V397" s="315">
        <v>0.23499999999999999</v>
      </c>
      <c r="W397" s="318">
        <v>362</v>
      </c>
      <c r="X397" s="315">
        <v>9</v>
      </c>
      <c r="Y397" s="315" t="s">
        <v>1149</v>
      </c>
      <c r="Z397" s="315">
        <v>0</v>
      </c>
      <c r="AA397" s="315" t="s">
        <v>1157</v>
      </c>
      <c r="AB397" s="315">
        <v>0</v>
      </c>
      <c r="AC397" s="315">
        <v>2769</v>
      </c>
      <c r="AD397" s="315">
        <v>2418</v>
      </c>
      <c r="AE397" s="315">
        <v>0.22</v>
      </c>
      <c r="AF397" s="315">
        <v>1.4</v>
      </c>
      <c r="AG397" s="315">
        <v>0.6</v>
      </c>
      <c r="AH397" s="315">
        <v>750</v>
      </c>
    </row>
    <row r="398" spans="1:34">
      <c r="A398" s="315" t="s">
        <v>1145</v>
      </c>
      <c r="B398" s="315" t="s">
        <v>1074</v>
      </c>
      <c r="C398" s="316" t="s">
        <v>1737</v>
      </c>
      <c r="D398" s="316" t="s">
        <v>1737</v>
      </c>
      <c r="E398" s="317">
        <v>9.9400000000000013</v>
      </c>
      <c r="F398" s="317">
        <v>1.8830130846122002</v>
      </c>
      <c r="G398" s="317">
        <v>4.378162930322496</v>
      </c>
      <c r="H398" s="317">
        <v>4.378162930322496</v>
      </c>
      <c r="I398" s="318">
        <v>44.045904731614641</v>
      </c>
      <c r="J398" s="318">
        <v>73.553217693095306</v>
      </c>
      <c r="K398" s="319">
        <v>34.438603715889101</v>
      </c>
      <c r="L398" s="319">
        <v>-9.6073010157255396</v>
      </c>
      <c r="M398" s="319">
        <f t="shared" si="6"/>
        <v>0</v>
      </c>
      <c r="N398" s="317">
        <v>0</v>
      </c>
      <c r="O398" s="315" t="s">
        <v>1148</v>
      </c>
      <c r="P398" s="318">
        <v>160</v>
      </c>
      <c r="R398" s="320">
        <v>71.111111111111114</v>
      </c>
      <c r="S398" s="318">
        <v>36.5</v>
      </c>
      <c r="T398" s="318">
        <v>231.55</v>
      </c>
      <c r="U398" s="318">
        <v>138.93</v>
      </c>
      <c r="V398" s="315">
        <v>0.23499999999999999</v>
      </c>
      <c r="W398" s="318">
        <v>362</v>
      </c>
      <c r="X398" s="315">
        <v>1</v>
      </c>
      <c r="Y398" s="315" t="s">
        <v>1149</v>
      </c>
      <c r="Z398" s="315">
        <v>0</v>
      </c>
      <c r="AA398" s="315" t="s">
        <v>1150</v>
      </c>
      <c r="AB398" s="315">
        <v>0</v>
      </c>
      <c r="AC398" s="315">
        <v>2480</v>
      </c>
      <c r="AD398" s="315">
        <v>2675</v>
      </c>
      <c r="AE398" s="315">
        <v>0.22</v>
      </c>
      <c r="AF398" s="315">
        <v>1.4</v>
      </c>
      <c r="AG398" s="315">
        <v>0.6</v>
      </c>
      <c r="AH398" s="315">
        <v>750</v>
      </c>
    </row>
    <row r="399" spans="1:34">
      <c r="A399" s="315" t="s">
        <v>1145</v>
      </c>
      <c r="B399" s="315" t="s">
        <v>1074</v>
      </c>
      <c r="C399" s="316" t="s">
        <v>1738</v>
      </c>
      <c r="D399" s="316" t="s">
        <v>1738</v>
      </c>
      <c r="E399" s="317">
        <v>5.3990000000000009</v>
      </c>
      <c r="F399" s="317">
        <v>0.17697101430769827</v>
      </c>
      <c r="G399" s="317">
        <v>0.17697101430769827</v>
      </c>
      <c r="H399" s="317">
        <v>0.17697101430769827</v>
      </c>
      <c r="I399" s="318">
        <v>3.2778480145897064</v>
      </c>
      <c r="J399" s="318">
        <v>47.833058787023802</v>
      </c>
      <c r="K399" s="319">
        <v>45.2468947121315</v>
      </c>
      <c r="L399" s="319">
        <v>41.969046697541792</v>
      </c>
      <c r="M399" s="319">
        <f t="shared" si="6"/>
        <v>41.969046697541792</v>
      </c>
      <c r="N399" s="317">
        <v>2.2659088312002815</v>
      </c>
      <c r="O399" s="315" t="s">
        <v>1148</v>
      </c>
      <c r="P399" s="318">
        <v>160</v>
      </c>
      <c r="R399" s="320">
        <v>71.111111111111114</v>
      </c>
      <c r="S399" s="318">
        <v>35</v>
      </c>
      <c r="T399" s="318">
        <v>406.47</v>
      </c>
      <c r="U399" s="318">
        <v>243.88200000000001</v>
      </c>
      <c r="V399" s="315">
        <v>0.18</v>
      </c>
      <c r="W399" s="318">
        <v>500</v>
      </c>
      <c r="X399" s="315">
        <v>2</v>
      </c>
      <c r="Y399" s="315" t="s">
        <v>1149</v>
      </c>
      <c r="Z399" s="315">
        <v>0</v>
      </c>
      <c r="AA399" s="315" t="s">
        <v>1190</v>
      </c>
      <c r="AB399" s="315">
        <v>2.2000000000000002</v>
      </c>
      <c r="AC399" s="315">
        <v>3230</v>
      </c>
      <c r="AD399" s="315">
        <v>3234</v>
      </c>
      <c r="AE399" s="315">
        <v>0.56999999999999995</v>
      </c>
      <c r="AF399" s="315">
        <v>1.4370000000000001</v>
      </c>
      <c r="AG399" s="315">
        <v>0.4</v>
      </c>
      <c r="AH399" s="315">
        <v>785</v>
      </c>
    </row>
    <row r="400" spans="1:34">
      <c r="A400" s="315" t="s">
        <v>1145</v>
      </c>
      <c r="B400" s="315" t="s">
        <v>1074</v>
      </c>
      <c r="C400" s="316" t="s">
        <v>1739</v>
      </c>
      <c r="D400" s="316" t="s">
        <v>1739</v>
      </c>
      <c r="E400" s="317">
        <v>3.9350000000000009</v>
      </c>
      <c r="F400" s="317">
        <v>9.3207419037950823E-2</v>
      </c>
      <c r="G400" s="317">
        <v>9.3207419037950823E-2</v>
      </c>
      <c r="H400" s="317">
        <v>0.6140708190379508</v>
      </c>
      <c r="I400" s="318">
        <v>15.60535753590726</v>
      </c>
      <c r="J400" s="318">
        <v>50.026995006168299</v>
      </c>
      <c r="K400" s="319">
        <v>42.444669953376099</v>
      </c>
      <c r="L400" s="319">
        <v>26.83931241746884</v>
      </c>
      <c r="M400" s="319">
        <f t="shared" si="6"/>
        <v>26.83931241746884</v>
      </c>
      <c r="N400" s="317">
        <v>1.0561269436273992</v>
      </c>
      <c r="O400" s="315" t="s">
        <v>1148</v>
      </c>
      <c r="P400" s="318">
        <v>160</v>
      </c>
      <c r="R400" s="320">
        <v>71.111111111111114</v>
      </c>
      <c r="S400" s="318">
        <v>35</v>
      </c>
      <c r="T400" s="318">
        <v>215.24</v>
      </c>
      <c r="U400" s="318">
        <v>129.14400000000001</v>
      </c>
      <c r="V400" s="315">
        <v>0.19</v>
      </c>
      <c r="W400" s="318">
        <v>75</v>
      </c>
      <c r="X400" s="315">
        <v>7</v>
      </c>
      <c r="Y400" s="315" t="s">
        <v>1149</v>
      </c>
      <c r="Z400" s="315">
        <v>0</v>
      </c>
      <c r="AA400" s="315" t="s">
        <v>1190</v>
      </c>
      <c r="AB400" s="315">
        <v>0</v>
      </c>
      <c r="AC400" s="315">
        <v>2930</v>
      </c>
      <c r="AD400" s="315">
        <v>2958</v>
      </c>
      <c r="AE400" s="315">
        <v>0.56000000000000005</v>
      </c>
      <c r="AF400" s="315">
        <v>1.41</v>
      </c>
      <c r="AG400" s="315">
        <v>0.4</v>
      </c>
      <c r="AH400" s="315">
        <v>740</v>
      </c>
    </row>
    <row r="401" spans="1:34">
      <c r="A401" s="315" t="s">
        <v>1145</v>
      </c>
      <c r="B401" s="315" t="s">
        <v>1074</v>
      </c>
      <c r="C401" s="316" t="s">
        <v>1740</v>
      </c>
      <c r="D401" s="316" t="s">
        <v>1740</v>
      </c>
      <c r="E401" s="317">
        <v>14.634000000000002</v>
      </c>
      <c r="F401" s="317">
        <v>5.5278277290787097</v>
      </c>
      <c r="G401" s="317">
        <v>5.7538764104535973</v>
      </c>
      <c r="H401" s="317">
        <v>5.7538764104535973</v>
      </c>
      <c r="I401" s="318">
        <v>39.318548656919475</v>
      </c>
      <c r="J401" s="318">
        <v>50.3806069437818</v>
      </c>
      <c r="K401" s="319">
        <v>43.700217590134599</v>
      </c>
      <c r="L401" s="319">
        <v>4.3816689332151242</v>
      </c>
      <c r="M401" s="319">
        <f t="shared" si="6"/>
        <v>4.3816689332151242</v>
      </c>
      <c r="N401" s="317">
        <v>0.64121343168670142</v>
      </c>
      <c r="O401" s="315" t="s">
        <v>1148</v>
      </c>
      <c r="P401" s="318">
        <v>160</v>
      </c>
      <c r="R401" s="320">
        <v>71.111111111111114</v>
      </c>
      <c r="S401" s="318">
        <v>37</v>
      </c>
      <c r="T401" s="318">
        <v>204.84</v>
      </c>
      <c r="U401" s="318">
        <v>122.904</v>
      </c>
      <c r="V401" s="315">
        <v>0.22</v>
      </c>
      <c r="W401" s="318">
        <v>350</v>
      </c>
      <c r="X401" s="315">
        <v>5</v>
      </c>
      <c r="Y401" s="315" t="s">
        <v>1149</v>
      </c>
      <c r="Z401" s="315">
        <v>0</v>
      </c>
      <c r="AA401" s="315" t="s">
        <v>1190</v>
      </c>
      <c r="AB401" s="315">
        <v>0</v>
      </c>
      <c r="AC401" s="315">
        <v>2930</v>
      </c>
      <c r="AD401" s="315">
        <v>2807</v>
      </c>
      <c r="AE401" s="315">
        <v>0.56999999999999995</v>
      </c>
      <c r="AF401" s="315">
        <v>1.403</v>
      </c>
      <c r="AG401" s="315">
        <v>0.4</v>
      </c>
      <c r="AH401" s="315">
        <v>730</v>
      </c>
    </row>
    <row r="402" spans="1:34">
      <c r="A402" s="315" t="s">
        <v>1145</v>
      </c>
      <c r="B402" s="315" t="s">
        <v>1074</v>
      </c>
      <c r="C402" s="316" t="s">
        <v>1741</v>
      </c>
      <c r="D402" s="316" t="s">
        <v>1741</v>
      </c>
      <c r="E402" s="317">
        <v>34.373000000000005</v>
      </c>
      <c r="F402" s="317">
        <v>2.862453353637858</v>
      </c>
      <c r="G402" s="317">
        <v>2.862453353637858</v>
      </c>
      <c r="H402" s="317">
        <v>2.862453353637858</v>
      </c>
      <c r="I402" s="318">
        <v>8.3276215449272915</v>
      </c>
      <c r="J402" s="318">
        <v>48.281439851255598</v>
      </c>
      <c r="K402" s="319">
        <v>44.095328219558397</v>
      </c>
      <c r="L402" s="319">
        <v>35.767706674631107</v>
      </c>
      <c r="M402" s="319">
        <f t="shared" si="6"/>
        <v>35.767706674631107</v>
      </c>
      <c r="N402" s="317">
        <v>12.294433815270951</v>
      </c>
      <c r="O402" s="315" t="s">
        <v>1148</v>
      </c>
      <c r="P402" s="318">
        <v>160</v>
      </c>
      <c r="R402" s="320">
        <v>71.111111111111114</v>
      </c>
      <c r="S402" s="318">
        <v>35</v>
      </c>
      <c r="T402" s="318">
        <v>406.47</v>
      </c>
      <c r="U402" s="318">
        <v>243.88200000000001</v>
      </c>
      <c r="V402" s="315">
        <v>0.18</v>
      </c>
      <c r="W402" s="318">
        <v>175</v>
      </c>
      <c r="X402" s="315">
        <v>18</v>
      </c>
      <c r="Y402" s="315" t="s">
        <v>1149</v>
      </c>
      <c r="Z402" s="315">
        <v>0</v>
      </c>
      <c r="AA402" s="315" t="s">
        <v>1190</v>
      </c>
      <c r="AB402" s="315">
        <v>2.2000000000000002</v>
      </c>
      <c r="AC402" s="315">
        <v>3230</v>
      </c>
      <c r="AD402" s="315">
        <v>3267</v>
      </c>
      <c r="AE402" s="315">
        <v>0.56999999999999995</v>
      </c>
      <c r="AF402" s="315">
        <v>1.4370000000000001</v>
      </c>
      <c r="AG402" s="315">
        <v>0.4</v>
      </c>
      <c r="AH402" s="315">
        <v>785</v>
      </c>
    </row>
    <row r="403" spans="1:34">
      <c r="A403" s="315" t="s">
        <v>1145</v>
      </c>
      <c r="B403" s="315" t="s">
        <v>1074</v>
      </c>
      <c r="C403" s="316" t="s">
        <v>1742</v>
      </c>
      <c r="D403" s="316" t="s">
        <v>1742</v>
      </c>
      <c r="E403" s="317">
        <v>7.1940000000000008</v>
      </c>
      <c r="F403" s="317">
        <v>2.9044438932431191</v>
      </c>
      <c r="G403" s="317">
        <v>2.9044438932431191</v>
      </c>
      <c r="H403" s="317">
        <v>4.1432405932431191</v>
      </c>
      <c r="I403" s="318">
        <v>57.593002408161233</v>
      </c>
      <c r="J403" s="318">
        <v>49.965508015644097</v>
      </c>
      <c r="K403" s="319">
        <v>42.061596244975803</v>
      </c>
      <c r="L403" s="319">
        <v>-15.53140616318543</v>
      </c>
      <c r="M403" s="319">
        <f t="shared" si="6"/>
        <v>0</v>
      </c>
      <c r="N403" s="317">
        <v>0</v>
      </c>
      <c r="O403" s="315" t="s">
        <v>1148</v>
      </c>
      <c r="P403" s="318">
        <v>160</v>
      </c>
      <c r="R403" s="320">
        <v>71.111111111111114</v>
      </c>
      <c r="S403" s="318">
        <v>35</v>
      </c>
      <c r="T403" s="318">
        <v>223.45</v>
      </c>
      <c r="U403" s="318">
        <v>134.07</v>
      </c>
      <c r="V403" s="315">
        <v>0.15</v>
      </c>
      <c r="W403" s="318">
        <v>35</v>
      </c>
      <c r="X403" s="315">
        <v>2</v>
      </c>
      <c r="Y403" s="315" t="s">
        <v>1149</v>
      </c>
      <c r="Z403" s="315">
        <v>0</v>
      </c>
      <c r="AA403" s="315" t="s">
        <v>1190</v>
      </c>
      <c r="AB403" s="315">
        <v>0.4</v>
      </c>
      <c r="AC403" s="315">
        <v>3450</v>
      </c>
      <c r="AD403" s="315">
        <v>3450</v>
      </c>
      <c r="AE403" s="315">
        <v>0.56999999999999995</v>
      </c>
      <c r="AF403" s="315">
        <v>1.4419999999999999</v>
      </c>
      <c r="AG403" s="315">
        <v>0.4</v>
      </c>
      <c r="AH403" s="315">
        <v>785</v>
      </c>
    </row>
    <row r="404" spans="1:34">
      <c r="A404" s="315" t="s">
        <v>1145</v>
      </c>
      <c r="B404" s="315" t="s">
        <v>1074</v>
      </c>
      <c r="C404" s="316" t="s">
        <v>1743</v>
      </c>
      <c r="D404" s="316" t="s">
        <v>1743</v>
      </c>
      <c r="E404" s="317">
        <v>5.13</v>
      </c>
      <c r="F404" s="317">
        <v>0.27301999999999998</v>
      </c>
      <c r="G404" s="317">
        <v>0.27</v>
      </c>
      <c r="H404" s="317">
        <v>0.27</v>
      </c>
      <c r="I404" s="318">
        <v>5.2631578947368425</v>
      </c>
      <c r="J404" s="318">
        <v>51.702102674350897</v>
      </c>
      <c r="K404" s="319">
        <v>42.0776271109291</v>
      </c>
      <c r="L404" s="319">
        <v>36.814469216192258</v>
      </c>
      <c r="M404" s="319">
        <f t="shared" si="6"/>
        <v>36.814469216192258</v>
      </c>
      <c r="N404" s="317">
        <v>1.8885822707906628</v>
      </c>
      <c r="O404" s="315" t="s">
        <v>1148</v>
      </c>
      <c r="P404" s="318">
        <v>160</v>
      </c>
      <c r="R404" s="320">
        <v>71.111111111111114</v>
      </c>
      <c r="S404" s="318">
        <v>35</v>
      </c>
      <c r="T404" s="318">
        <v>105.31</v>
      </c>
      <c r="U404" s="318">
        <v>63.186</v>
      </c>
      <c r="V404" s="315">
        <v>0.15</v>
      </c>
      <c r="W404" s="318">
        <v>35</v>
      </c>
      <c r="X404" s="315">
        <v>1</v>
      </c>
      <c r="Y404" s="315" t="s">
        <v>1149</v>
      </c>
      <c r="Z404" s="315">
        <v>0</v>
      </c>
      <c r="AA404" s="315" t="s">
        <v>1190</v>
      </c>
      <c r="AB404" s="315">
        <v>0.4</v>
      </c>
      <c r="AC404" s="315">
        <v>3372</v>
      </c>
      <c r="AD404" s="315">
        <v>3030</v>
      </c>
      <c r="AE404" s="315">
        <v>0.52</v>
      </c>
      <c r="AF404" s="315">
        <v>1.46</v>
      </c>
      <c r="AG404" s="315">
        <v>0.4</v>
      </c>
      <c r="AH404" s="315">
        <v>785</v>
      </c>
    </row>
    <row r="405" spans="1:34">
      <c r="A405" s="315" t="s">
        <v>1145</v>
      </c>
      <c r="B405" s="315" t="s">
        <v>1074</v>
      </c>
      <c r="C405" s="316" t="s">
        <v>1744</v>
      </c>
      <c r="D405" s="316" t="s">
        <v>1744</v>
      </c>
      <c r="E405" s="317">
        <v>4.4220000000000006</v>
      </c>
      <c r="F405" s="317">
        <v>9.3207419037950823E-2</v>
      </c>
      <c r="G405" s="317">
        <v>9.3207419037950823E-2</v>
      </c>
      <c r="H405" s="317">
        <v>0.6140708190379508</v>
      </c>
      <c r="I405" s="318">
        <v>13.886721371278849</v>
      </c>
      <c r="J405" s="318">
        <v>47.515794708800499</v>
      </c>
      <c r="K405" s="319">
        <v>39.2099605073196</v>
      </c>
      <c r="L405" s="319">
        <v>25.323239136040751</v>
      </c>
      <c r="M405" s="319">
        <f t="shared" si="6"/>
        <v>25.323239136040751</v>
      </c>
      <c r="N405" s="317">
        <v>1.1197936345957222</v>
      </c>
      <c r="O405" s="315" t="s">
        <v>1148</v>
      </c>
      <c r="P405" s="318">
        <v>160</v>
      </c>
      <c r="R405" s="320">
        <v>71.111111111111114</v>
      </c>
      <c r="S405" s="318">
        <v>34</v>
      </c>
      <c r="T405" s="318">
        <v>134.30000000000001</v>
      </c>
      <c r="U405" s="318">
        <v>80.58</v>
      </c>
      <c r="V405" s="315">
        <v>0.15</v>
      </c>
      <c r="W405" s="318">
        <v>35</v>
      </c>
      <c r="X405" s="315">
        <v>2</v>
      </c>
      <c r="Y405" s="315" t="s">
        <v>1149</v>
      </c>
      <c r="Z405" s="315">
        <v>0</v>
      </c>
      <c r="AA405" s="315" t="s">
        <v>1190</v>
      </c>
      <c r="AB405" s="315">
        <v>0</v>
      </c>
      <c r="AC405" s="315">
        <v>3480</v>
      </c>
      <c r="AD405" s="315">
        <v>3449</v>
      </c>
      <c r="AE405" s="315">
        <v>0.62</v>
      </c>
      <c r="AF405" s="315">
        <v>1.4710000000000001</v>
      </c>
      <c r="AG405" s="315">
        <v>0.4</v>
      </c>
      <c r="AH405" s="315">
        <v>890</v>
      </c>
    </row>
    <row r="406" spans="1:34">
      <c r="A406" s="315" t="s">
        <v>1145</v>
      </c>
      <c r="B406" s="315" t="s">
        <v>1745</v>
      </c>
      <c r="C406" s="316" t="s">
        <v>1746</v>
      </c>
      <c r="D406" s="316" t="s">
        <v>1746</v>
      </c>
      <c r="E406" s="317">
        <v>96.97898740337962</v>
      </c>
      <c r="F406" s="317">
        <v>0</v>
      </c>
      <c r="G406" s="317">
        <v>0</v>
      </c>
      <c r="H406" s="317">
        <v>8.2702949501661891</v>
      </c>
      <c r="I406" s="318">
        <v>8.5279246273899307</v>
      </c>
      <c r="J406" s="318">
        <v>70.334610809869403</v>
      </c>
      <c r="K406" s="319">
        <v>34.708985625422002</v>
      </c>
      <c r="L406" s="319">
        <v>26.181060998032073</v>
      </c>
      <c r="M406" s="319">
        <f t="shared" si="6"/>
        <v>26.181060998032073</v>
      </c>
      <c r="N406" s="317">
        <v>25.390127847352659</v>
      </c>
      <c r="O406" s="315" t="s">
        <v>1168</v>
      </c>
      <c r="P406" s="318">
        <v>217</v>
      </c>
      <c r="R406" s="320">
        <v>102.77777777777777</v>
      </c>
      <c r="S406" s="318">
        <v>39.4</v>
      </c>
      <c r="T406" s="318">
        <v>81.565660000000008</v>
      </c>
      <c r="U406" s="318">
        <v>174</v>
      </c>
      <c r="V406" s="315">
        <v>0.18</v>
      </c>
      <c r="W406" s="318">
        <v>116</v>
      </c>
      <c r="X406" s="315">
        <v>0</v>
      </c>
      <c r="Y406" s="315" t="s">
        <v>1149</v>
      </c>
      <c r="Z406" s="315">
        <v>0</v>
      </c>
      <c r="AA406" s="315" t="s">
        <v>1150</v>
      </c>
      <c r="AB406" s="315">
        <v>1.24</v>
      </c>
      <c r="AC406" s="315">
        <v>2083</v>
      </c>
      <c r="AD406" s="315">
        <v>1710</v>
      </c>
      <c r="AE406" s="315">
        <v>0.55000000000000004</v>
      </c>
      <c r="AF406" s="315">
        <v>1.2210000000000001</v>
      </c>
      <c r="AG406" s="315">
        <v>0.92</v>
      </c>
      <c r="AH406" s="315">
        <v>300</v>
      </c>
    </row>
    <row r="407" spans="1:34">
      <c r="A407" s="315" t="s">
        <v>1145</v>
      </c>
      <c r="B407" s="315" t="s">
        <v>1745</v>
      </c>
      <c r="C407" s="316" t="s">
        <v>1747</v>
      </c>
      <c r="D407" s="316" t="s">
        <v>1747</v>
      </c>
      <c r="E407" s="317">
        <v>282.44893312649344</v>
      </c>
      <c r="F407" s="317">
        <v>10.500128506952917</v>
      </c>
      <c r="G407" s="317">
        <v>13.883796246794731</v>
      </c>
      <c r="H407" s="317">
        <v>65.178065415290561</v>
      </c>
      <c r="I407" s="318">
        <v>23.07605296781237</v>
      </c>
      <c r="J407" s="318">
        <v>72.188069449395201</v>
      </c>
      <c r="K407" s="319">
        <v>31.038336604959699</v>
      </c>
      <c r="L407" s="319">
        <v>7.9622836371473298</v>
      </c>
      <c r="M407" s="319">
        <f t="shared" si="6"/>
        <v>7.9622836371473298</v>
      </c>
      <c r="N407" s="317">
        <v>22.489385185627992</v>
      </c>
      <c r="O407" s="315" t="s">
        <v>1148</v>
      </c>
      <c r="P407" s="318">
        <v>217</v>
      </c>
      <c r="R407" s="320">
        <v>102.77777777777777</v>
      </c>
      <c r="S407" s="318">
        <v>35.799999999999997</v>
      </c>
      <c r="T407" s="318">
        <v>83.632689999999997</v>
      </c>
      <c r="U407" s="318">
        <v>124</v>
      </c>
      <c r="V407" s="315">
        <v>0.22</v>
      </c>
      <c r="W407" s="318">
        <v>103</v>
      </c>
      <c r="X407" s="315">
        <v>4</v>
      </c>
      <c r="Y407" s="315" t="s">
        <v>1149</v>
      </c>
      <c r="Z407" s="315">
        <v>0</v>
      </c>
      <c r="AA407" s="315" t="s">
        <v>1150</v>
      </c>
      <c r="AB407" s="315">
        <v>0.23</v>
      </c>
      <c r="AC407" s="315">
        <v>2120</v>
      </c>
      <c r="AD407" s="315">
        <v>1794</v>
      </c>
      <c r="AE407" s="315">
        <v>0.55000000000000004</v>
      </c>
      <c r="AF407" s="315">
        <v>1.2629999999999999</v>
      </c>
      <c r="AG407" s="315">
        <v>0.92</v>
      </c>
      <c r="AH407" s="315">
        <v>405</v>
      </c>
    </row>
    <row r="408" spans="1:34">
      <c r="A408" s="315" t="s">
        <v>1748</v>
      </c>
      <c r="B408" s="315" t="s">
        <v>1745</v>
      </c>
      <c r="C408" s="316" t="s">
        <v>1749</v>
      </c>
      <c r="D408" s="316" t="s">
        <v>1749</v>
      </c>
      <c r="E408" s="317">
        <v>77.899943701918914</v>
      </c>
      <c r="F408" s="317">
        <v>3.5160430314710904</v>
      </c>
      <c r="G408" s="317">
        <v>3.911425568175634</v>
      </c>
      <c r="H408" s="317">
        <v>15.758233635946478</v>
      </c>
      <c r="I408" s="318">
        <v>20.228812611527349</v>
      </c>
      <c r="J408" s="318">
        <v>71.250049463968296</v>
      </c>
      <c r="K408" s="319">
        <v>30.172803288425996</v>
      </c>
      <c r="L408" s="319">
        <v>9.9439906768986468</v>
      </c>
      <c r="M408" s="319">
        <f t="shared" si="6"/>
        <v>9.9439906768986468</v>
      </c>
      <c r="N408" s="317">
        <v>7.7463631390281114</v>
      </c>
      <c r="O408" s="315" t="s">
        <v>1148</v>
      </c>
      <c r="P408" s="318">
        <v>218</v>
      </c>
      <c r="R408" s="320">
        <v>103.33333333333333</v>
      </c>
      <c r="S408" s="318">
        <v>35.5</v>
      </c>
      <c r="T408" s="318">
        <v>61.321890000000003</v>
      </c>
      <c r="U408" s="318">
        <v>180</v>
      </c>
      <c r="V408" s="315">
        <v>0.18</v>
      </c>
      <c r="W408" s="318">
        <v>70</v>
      </c>
      <c r="X408" s="315">
        <v>1</v>
      </c>
      <c r="Y408" s="315" t="s">
        <v>1149</v>
      </c>
      <c r="Z408" s="315">
        <v>0</v>
      </c>
      <c r="AA408" s="315" t="s">
        <v>1150</v>
      </c>
      <c r="AB408" s="315">
        <v>0.27</v>
      </c>
      <c r="AC408" s="315">
        <v>2092</v>
      </c>
      <c r="AD408" s="315">
        <v>1552</v>
      </c>
      <c r="AE408" s="315">
        <v>0.55000000000000004</v>
      </c>
      <c r="AF408" s="315">
        <v>1.22</v>
      </c>
      <c r="AG408" s="315">
        <v>0.92</v>
      </c>
      <c r="AH408" s="315">
        <v>342</v>
      </c>
    </row>
    <row r="409" spans="1:34">
      <c r="A409" s="315" t="s">
        <v>1750</v>
      </c>
      <c r="B409" s="315" t="s">
        <v>1745</v>
      </c>
      <c r="C409" s="316" t="s">
        <v>1751</v>
      </c>
      <c r="D409" s="316" t="s">
        <v>1751</v>
      </c>
      <c r="E409" s="317">
        <v>137.92860386054005</v>
      </c>
      <c r="F409" s="317">
        <v>0.54400665788403679</v>
      </c>
      <c r="G409" s="317">
        <v>0.7833282914475832</v>
      </c>
      <c r="H409" s="317">
        <v>27.081970247198306</v>
      </c>
      <c r="I409" s="318">
        <v>19.634774433431481</v>
      </c>
      <c r="J409" s="318">
        <v>68.5947286069444</v>
      </c>
      <c r="K409" s="319">
        <v>34.603277024876803</v>
      </c>
      <c r="L409" s="319">
        <v>14.968502591445322</v>
      </c>
      <c r="M409" s="319">
        <f t="shared" si="6"/>
        <v>14.968502591445322</v>
      </c>
      <c r="N409" s="317">
        <v>20.645846643209289</v>
      </c>
      <c r="O409" s="315" t="s">
        <v>1148</v>
      </c>
      <c r="P409" s="318">
        <v>218</v>
      </c>
      <c r="R409" s="320">
        <v>103.33333333333333</v>
      </c>
      <c r="S409" s="318">
        <v>39.4</v>
      </c>
      <c r="T409" s="318">
        <v>83.763930000000002</v>
      </c>
      <c r="U409" s="318">
        <v>180</v>
      </c>
      <c r="V409" s="315">
        <v>0.21</v>
      </c>
      <c r="W409" s="318">
        <v>152</v>
      </c>
      <c r="X409" s="315">
        <v>1</v>
      </c>
      <c r="Y409" s="315" t="s">
        <v>1149</v>
      </c>
      <c r="Z409" s="315">
        <v>0</v>
      </c>
      <c r="AA409" s="315" t="s">
        <v>1150</v>
      </c>
      <c r="AB409" s="315">
        <v>0.7</v>
      </c>
      <c r="AC409" s="315">
        <v>2096</v>
      </c>
      <c r="AD409" s="315">
        <v>1561</v>
      </c>
      <c r="AE409" s="315">
        <v>0.57999999999999996</v>
      </c>
      <c r="AF409" s="315">
        <v>1.204</v>
      </c>
      <c r="AG409" s="315">
        <v>0.92</v>
      </c>
      <c r="AH409" s="315">
        <v>271</v>
      </c>
    </row>
    <row r="410" spans="1:34">
      <c r="A410" s="315" t="s">
        <v>1145</v>
      </c>
      <c r="B410" s="315" t="s">
        <v>1745</v>
      </c>
      <c r="C410" s="316" t="s">
        <v>1752</v>
      </c>
      <c r="D410" s="316" t="s">
        <v>1752</v>
      </c>
      <c r="E410" s="317">
        <v>101.74353408237923</v>
      </c>
      <c r="F410" s="317">
        <v>10.034122803691957</v>
      </c>
      <c r="G410" s="317">
        <v>12.409192987926051</v>
      </c>
      <c r="H410" s="317">
        <v>28.224474799108044</v>
      </c>
      <c r="I410" s="318">
        <v>27.74080441933085</v>
      </c>
      <c r="J410" s="318">
        <v>69.378515315545798</v>
      </c>
      <c r="K410" s="319">
        <v>32.251190159572801</v>
      </c>
      <c r="L410" s="319">
        <v>4.5103857402419507</v>
      </c>
      <c r="M410" s="319">
        <f t="shared" si="6"/>
        <v>4.5103857402419507</v>
      </c>
      <c r="N410" s="317">
        <v>4.5890258528698418</v>
      </c>
      <c r="O410" s="315" t="s">
        <v>1148</v>
      </c>
      <c r="P410" s="318">
        <v>224</v>
      </c>
      <c r="R410" s="320">
        <v>106.66666666666667</v>
      </c>
      <c r="S410" s="318">
        <v>35.6</v>
      </c>
      <c r="T410" s="318">
        <v>81.467230000000001</v>
      </c>
      <c r="U410" s="318">
        <v>93</v>
      </c>
      <c r="V410" s="315">
        <v>0.21</v>
      </c>
      <c r="W410" s="318">
        <v>84</v>
      </c>
      <c r="X410" s="315">
        <v>4</v>
      </c>
      <c r="Y410" s="315" t="s">
        <v>1149</v>
      </c>
      <c r="Z410" s="315">
        <v>0</v>
      </c>
      <c r="AA410" s="315" t="s">
        <v>1150</v>
      </c>
      <c r="AB410" s="315">
        <v>0.57999999999999996</v>
      </c>
      <c r="AC410" s="315">
        <v>2205</v>
      </c>
      <c r="AD410" s="315">
        <v>1335</v>
      </c>
      <c r="AE410" s="315">
        <v>0.6</v>
      </c>
      <c r="AF410" s="315">
        <v>1.2</v>
      </c>
      <c r="AG410" s="315">
        <v>0.92</v>
      </c>
      <c r="AH410" s="315">
        <v>293</v>
      </c>
    </row>
    <row r="411" spans="1:34">
      <c r="A411" s="315" t="s">
        <v>1145</v>
      </c>
      <c r="B411" s="315" t="s">
        <v>1753</v>
      </c>
      <c r="C411" s="316" t="s">
        <v>1754</v>
      </c>
      <c r="D411" s="316" t="s">
        <v>1754</v>
      </c>
      <c r="E411" s="317">
        <v>4.3221838295736381</v>
      </c>
      <c r="F411" s="317">
        <v>1.4239999999999999</v>
      </c>
      <c r="G411" s="317">
        <v>1.4239999999999999</v>
      </c>
      <c r="H411" s="317">
        <v>1.4239999999999999</v>
      </c>
      <c r="I411" s="318">
        <v>32.946308073631158</v>
      </c>
      <c r="J411" s="318">
        <v>67.317964036202099</v>
      </c>
      <c r="K411" s="319">
        <v>34.837292643664405</v>
      </c>
      <c r="L411" s="319">
        <v>1.8909845700332468</v>
      </c>
      <c r="M411" s="319">
        <f t="shared" si="6"/>
        <v>1.8909845700332468</v>
      </c>
      <c r="N411" s="317">
        <v>8.1731829305709575E-2</v>
      </c>
      <c r="O411" s="315" t="s">
        <v>1148</v>
      </c>
      <c r="P411" s="318">
        <v>129.375</v>
      </c>
      <c r="R411" s="320">
        <v>54.097222222222221</v>
      </c>
      <c r="S411" s="318">
        <v>20</v>
      </c>
      <c r="T411" s="318">
        <v>30</v>
      </c>
      <c r="U411" s="318">
        <v>68</v>
      </c>
      <c r="V411" s="315">
        <v>0.24</v>
      </c>
      <c r="W411" s="318">
        <v>320</v>
      </c>
      <c r="X411" s="315">
        <v>1</v>
      </c>
      <c r="Y411" s="315" t="s">
        <v>1149</v>
      </c>
      <c r="Z411" s="315">
        <v>0</v>
      </c>
      <c r="AA411" s="315" t="s">
        <v>1157</v>
      </c>
      <c r="AB411" s="315">
        <v>0</v>
      </c>
      <c r="AC411" s="315">
        <v>1226</v>
      </c>
      <c r="AD411" s="315">
        <v>1226</v>
      </c>
      <c r="AE411" s="315">
        <v>0.45</v>
      </c>
      <c r="AF411" s="315">
        <v>1.0780000000000001</v>
      </c>
      <c r="AG411" s="315">
        <v>7.4</v>
      </c>
      <c r="AH411" s="315">
        <v>142</v>
      </c>
    </row>
    <row r="412" spans="1:34">
      <c r="A412" s="315" t="s">
        <v>1145</v>
      </c>
      <c r="B412" s="315" t="s">
        <v>1753</v>
      </c>
      <c r="C412" s="316" t="s">
        <v>1755</v>
      </c>
      <c r="D412" s="316" t="s">
        <v>1756</v>
      </c>
      <c r="E412" s="317">
        <v>9.8757630521732782</v>
      </c>
      <c r="F412" s="317">
        <v>2.2040000000000002</v>
      </c>
      <c r="G412" s="317">
        <v>2.2040000000000002</v>
      </c>
      <c r="H412" s="317">
        <v>2.2040000000000002</v>
      </c>
      <c r="I412" s="318">
        <v>22.317262862184446</v>
      </c>
      <c r="J412" s="318">
        <v>60.889415385687698</v>
      </c>
      <c r="K412" s="319">
        <v>36.948460034009699</v>
      </c>
      <c r="L412" s="319">
        <v>14.631197171825253</v>
      </c>
      <c r="M412" s="319">
        <f t="shared" si="6"/>
        <v>14.631197171825253</v>
      </c>
      <c r="N412" s="317">
        <v>1.44494236438574</v>
      </c>
      <c r="O412" s="315" t="s">
        <v>1148</v>
      </c>
      <c r="P412" s="318">
        <v>151.71250000000001</v>
      </c>
      <c r="R412" s="320">
        <v>66.506944444444443</v>
      </c>
      <c r="S412" s="318">
        <v>20</v>
      </c>
      <c r="T412" s="318">
        <v>48</v>
      </c>
      <c r="U412" s="318">
        <v>91</v>
      </c>
      <c r="V412" s="315">
        <v>0.27</v>
      </c>
      <c r="W412" s="318">
        <v>300</v>
      </c>
      <c r="X412" s="315">
        <v>2</v>
      </c>
      <c r="Y412" s="315" t="s">
        <v>1149</v>
      </c>
      <c r="Z412" s="315">
        <v>0</v>
      </c>
      <c r="AA412" s="315" t="s">
        <v>1190</v>
      </c>
      <c r="AB412" s="315">
        <v>0.04</v>
      </c>
      <c r="AC412" s="315">
        <v>1591</v>
      </c>
      <c r="AD412" s="315">
        <v>1591</v>
      </c>
      <c r="AE412" s="315">
        <v>0.63</v>
      </c>
      <c r="AF412" s="315">
        <v>1.101</v>
      </c>
      <c r="AG412" s="315">
        <v>5.52</v>
      </c>
      <c r="AH412" s="315">
        <v>190</v>
      </c>
    </row>
    <row r="413" spans="1:34">
      <c r="A413" s="315" t="s">
        <v>1145</v>
      </c>
      <c r="B413" s="315" t="s">
        <v>1753</v>
      </c>
      <c r="C413" s="316" t="s">
        <v>1757</v>
      </c>
      <c r="D413" s="316" t="s">
        <v>1757</v>
      </c>
      <c r="E413" s="317">
        <v>3.0215740000000002</v>
      </c>
      <c r="F413" s="317">
        <v>0.443</v>
      </c>
      <c r="G413" s="317">
        <v>0.443</v>
      </c>
      <c r="H413" s="317">
        <v>0.443</v>
      </c>
      <c r="I413" s="318">
        <v>14.661232854134965</v>
      </c>
      <c r="J413" s="318">
        <v>80.925525760534597</v>
      </c>
      <c r="K413" s="319">
        <v>26.910667030803097</v>
      </c>
      <c r="L413" s="319">
        <v>12.249434176668132</v>
      </c>
      <c r="M413" s="319">
        <f t="shared" si="6"/>
        <v>12.249434176668132</v>
      </c>
      <c r="N413" s="317">
        <v>0.37012571822931839</v>
      </c>
      <c r="O413" s="315" t="s">
        <v>1148</v>
      </c>
      <c r="P413" s="318">
        <v>156.25</v>
      </c>
      <c r="R413" s="320">
        <v>69.027777777777771</v>
      </c>
      <c r="S413" s="318">
        <v>20</v>
      </c>
      <c r="T413" s="318">
        <v>20</v>
      </c>
      <c r="U413" s="318">
        <v>51</v>
      </c>
      <c r="V413" s="315">
        <v>0.2</v>
      </c>
      <c r="W413" s="318">
        <v>300</v>
      </c>
      <c r="X413" s="315">
        <v>2</v>
      </c>
      <c r="Y413" s="315" t="s">
        <v>1149</v>
      </c>
      <c r="Z413" s="315">
        <v>0</v>
      </c>
      <c r="AA413" s="315" t="s">
        <v>1157</v>
      </c>
      <c r="AB413" s="315">
        <v>0.3</v>
      </c>
      <c r="AC413" s="315">
        <v>1703</v>
      </c>
      <c r="AD413" s="315">
        <v>1703</v>
      </c>
      <c r="AE413" s="315">
        <v>0.28000000000000003</v>
      </c>
      <c r="AF413" s="315">
        <v>1.107</v>
      </c>
      <c r="AG413" s="315">
        <v>5.52</v>
      </c>
      <c r="AH413" s="315">
        <v>201</v>
      </c>
    </row>
    <row r="414" spans="1:34">
      <c r="A414" s="315" t="s">
        <v>1758</v>
      </c>
      <c r="B414" s="315" t="s">
        <v>1753</v>
      </c>
      <c r="C414" s="316" t="s">
        <v>1759</v>
      </c>
      <c r="D414" s="316" t="s">
        <v>1759</v>
      </c>
      <c r="E414" s="317">
        <v>17.302835265542946</v>
      </c>
      <c r="F414" s="317">
        <v>0.57899999999999996</v>
      </c>
      <c r="G414" s="317">
        <v>0.57899999999999996</v>
      </c>
      <c r="H414" s="317">
        <v>0.57899999999999996</v>
      </c>
      <c r="I414" s="318">
        <v>3.3462723947503958</v>
      </c>
      <c r="J414" s="318">
        <v>57.152914868742499</v>
      </c>
      <c r="K414" s="319">
        <v>36.948212443431999</v>
      </c>
      <c r="L414" s="319">
        <v>33.601940048681605</v>
      </c>
      <c r="M414" s="319">
        <f t="shared" si="6"/>
        <v>33.601940048681605</v>
      </c>
      <c r="N414" s="317">
        <v>5.8140883326498791</v>
      </c>
      <c r="O414" s="315" t="s">
        <v>1148</v>
      </c>
      <c r="P414" s="318">
        <v>175.51249999999999</v>
      </c>
      <c r="R414" s="320">
        <v>79.729166666666671</v>
      </c>
      <c r="S414" s="318">
        <v>31</v>
      </c>
      <c r="T414" s="318">
        <v>70</v>
      </c>
      <c r="U414" s="318">
        <v>39</v>
      </c>
      <c r="V414" s="315">
        <v>0.19</v>
      </c>
      <c r="W414" s="318">
        <v>300</v>
      </c>
      <c r="X414" s="315">
        <v>3</v>
      </c>
      <c r="Y414" s="315" t="s">
        <v>1149</v>
      </c>
      <c r="Z414" s="315">
        <v>0</v>
      </c>
      <c r="AA414" s="315" t="s">
        <v>1190</v>
      </c>
      <c r="AB414" s="315">
        <v>1.4</v>
      </c>
      <c r="AC414" s="315">
        <v>2020</v>
      </c>
      <c r="AD414" s="315">
        <v>2020</v>
      </c>
      <c r="AE414" s="315">
        <v>0.49</v>
      </c>
      <c r="AF414" s="315">
        <v>1.177</v>
      </c>
      <c r="AG414" s="315">
        <v>0.95</v>
      </c>
      <c r="AH414" s="315">
        <v>350</v>
      </c>
    </row>
    <row r="415" spans="1:34">
      <c r="A415" s="315" t="s">
        <v>1145</v>
      </c>
      <c r="B415" s="315" t="s">
        <v>1753</v>
      </c>
      <c r="C415" s="316" t="s">
        <v>1760</v>
      </c>
      <c r="D415" s="316" t="s">
        <v>1760</v>
      </c>
      <c r="E415" s="317">
        <v>5.4678795432246767</v>
      </c>
      <c r="F415" s="317">
        <v>0.63800000000000001</v>
      </c>
      <c r="G415" s="317">
        <v>0.63800000000000001</v>
      </c>
      <c r="H415" s="317">
        <v>0.63800000000000001</v>
      </c>
      <c r="I415" s="318">
        <v>11.668142923714449</v>
      </c>
      <c r="J415" s="318">
        <v>57.8100636464426</v>
      </c>
      <c r="K415" s="319">
        <v>34.4823667094931</v>
      </c>
      <c r="L415" s="319">
        <v>22.814223785778651</v>
      </c>
      <c r="M415" s="319">
        <f t="shared" si="6"/>
        <v>22.814223785778651</v>
      </c>
      <c r="N415" s="317">
        <v>1.2474542753280893</v>
      </c>
      <c r="O415" s="315" t="s">
        <v>1148</v>
      </c>
      <c r="P415" s="318">
        <v>192.77500000000001</v>
      </c>
      <c r="R415" s="320">
        <v>89.319444444444443</v>
      </c>
      <c r="S415" s="318">
        <v>31</v>
      </c>
      <c r="T415" s="318">
        <v>40</v>
      </c>
      <c r="U415" s="318">
        <v>30</v>
      </c>
      <c r="V415" s="315">
        <v>0.2</v>
      </c>
      <c r="W415" s="318">
        <v>320</v>
      </c>
      <c r="X415" s="315">
        <v>3</v>
      </c>
      <c r="Y415" s="315" t="s">
        <v>1149</v>
      </c>
      <c r="Z415" s="315">
        <v>0</v>
      </c>
      <c r="AA415" s="315" t="s">
        <v>1190</v>
      </c>
      <c r="AB415" s="315">
        <v>1.7</v>
      </c>
      <c r="AC415" s="315">
        <v>2150</v>
      </c>
      <c r="AD415" s="315">
        <v>2150</v>
      </c>
      <c r="AE415" s="315">
        <v>0.45</v>
      </c>
      <c r="AF415" s="315">
        <v>1.2050000000000001</v>
      </c>
      <c r="AG415" s="315">
        <v>0.83</v>
      </c>
      <c r="AH415" s="315">
        <v>410</v>
      </c>
    </row>
    <row r="416" spans="1:34">
      <c r="A416" s="315" t="s">
        <v>1145</v>
      </c>
      <c r="B416" s="315" t="s">
        <v>1753</v>
      </c>
      <c r="C416" s="316" t="s">
        <v>1761</v>
      </c>
      <c r="D416" s="316" t="s">
        <v>1761</v>
      </c>
      <c r="E416" s="317">
        <v>2.0953921605868779</v>
      </c>
      <c r="F416" s="317">
        <v>1.3089999999999999</v>
      </c>
      <c r="G416" s="317">
        <v>1.3089999999999999</v>
      </c>
      <c r="H416" s="317">
        <v>1.3089999999999999</v>
      </c>
      <c r="I416" s="318">
        <v>62.470406476722474</v>
      </c>
      <c r="J416" s="318">
        <v>57.916414452449303</v>
      </c>
      <c r="K416" s="319">
        <v>39.129903425989298</v>
      </c>
      <c r="L416" s="319">
        <v>-23.340503050733176</v>
      </c>
      <c r="M416" s="319">
        <f t="shared" si="6"/>
        <v>0</v>
      </c>
      <c r="N416" s="317">
        <v>0</v>
      </c>
      <c r="O416" s="315" t="s">
        <v>1148</v>
      </c>
      <c r="P416" s="318">
        <v>192.77500000000001</v>
      </c>
      <c r="R416" s="320">
        <v>89.319444444444443</v>
      </c>
      <c r="S416" s="318">
        <v>31</v>
      </c>
      <c r="T416" s="318">
        <v>40</v>
      </c>
      <c r="U416" s="318">
        <v>30</v>
      </c>
      <c r="V416" s="315">
        <v>0.2</v>
      </c>
      <c r="W416" s="318">
        <v>320</v>
      </c>
      <c r="X416" s="315">
        <v>2</v>
      </c>
      <c r="Y416" s="315" t="s">
        <v>1149</v>
      </c>
      <c r="Z416" s="315">
        <v>0</v>
      </c>
      <c r="AA416" s="315" t="s">
        <v>1190</v>
      </c>
      <c r="AB416" s="315">
        <v>1.7</v>
      </c>
      <c r="AC416" s="315">
        <v>2300</v>
      </c>
      <c r="AD416" s="315">
        <v>2300</v>
      </c>
      <c r="AE416" s="315">
        <v>0.45</v>
      </c>
      <c r="AF416" s="315">
        <v>1.2050000000000001</v>
      </c>
      <c r="AG416" s="315">
        <v>0.83</v>
      </c>
      <c r="AH416" s="315">
        <v>410</v>
      </c>
    </row>
    <row r="417" spans="1:34">
      <c r="A417" s="315" t="s">
        <v>1145</v>
      </c>
      <c r="B417" s="315" t="s">
        <v>1762</v>
      </c>
      <c r="C417" s="316" t="s">
        <v>1763</v>
      </c>
      <c r="D417" s="316" t="s">
        <v>1764</v>
      </c>
      <c r="E417" s="317">
        <v>24.830000000000002</v>
      </c>
      <c r="F417" s="317">
        <v>14.378645432249941</v>
      </c>
      <c r="G417" s="317">
        <v>14.684558914294513</v>
      </c>
      <c r="H417" s="317">
        <v>14.859230200173089</v>
      </c>
      <c r="I417" s="318">
        <v>59.843859042179169</v>
      </c>
      <c r="J417" s="318">
        <v>45.346758885414197</v>
      </c>
      <c r="K417" s="319">
        <v>46</v>
      </c>
      <c r="L417" s="319">
        <v>-13.843859042179169</v>
      </c>
      <c r="M417" s="319">
        <f t="shared" si="6"/>
        <v>0</v>
      </c>
      <c r="N417" s="317">
        <v>0</v>
      </c>
      <c r="O417" s="315" t="s">
        <v>1148</v>
      </c>
      <c r="P417" s="318">
        <v>133</v>
      </c>
      <c r="R417" s="320">
        <v>56.111111111111114</v>
      </c>
      <c r="S417" s="318">
        <v>25</v>
      </c>
      <c r="T417" s="318">
        <v>354.33072000000004</v>
      </c>
      <c r="U417" s="318">
        <v>354.33072000000004</v>
      </c>
      <c r="V417" s="315">
        <v>0.26</v>
      </c>
      <c r="W417" s="318">
        <v>300</v>
      </c>
      <c r="X417" s="315">
        <v>15</v>
      </c>
      <c r="Y417" s="315" t="s">
        <v>1149</v>
      </c>
      <c r="Z417" s="315">
        <v>4</v>
      </c>
      <c r="AA417" s="315" t="s">
        <v>1150</v>
      </c>
      <c r="AB417" s="315">
        <v>0</v>
      </c>
      <c r="AC417" s="315">
        <v>1755</v>
      </c>
      <c r="AD417" s="315">
        <v>1755</v>
      </c>
      <c r="AE417" s="315">
        <v>0.8</v>
      </c>
      <c r="AF417" s="315">
        <v>1.1000000000000001</v>
      </c>
      <c r="AG417" s="315">
        <v>1.64</v>
      </c>
      <c r="AH417" s="315">
        <v>236</v>
      </c>
    </row>
    <row r="418" spans="1:34">
      <c r="A418" s="315" t="s">
        <v>1145</v>
      </c>
      <c r="B418" s="315" t="s">
        <v>1762</v>
      </c>
      <c r="C418" s="316" t="s">
        <v>1765</v>
      </c>
      <c r="D418" s="316" t="s">
        <v>1766</v>
      </c>
      <c r="E418" s="317">
        <v>4.05</v>
      </c>
      <c r="F418" s="317">
        <v>0.30492082940954102</v>
      </c>
      <c r="G418" s="317">
        <v>0.30492082940954102</v>
      </c>
      <c r="H418" s="317">
        <v>0.30492082940954102</v>
      </c>
      <c r="I418" s="318">
        <v>7.5289093681368158</v>
      </c>
      <c r="J418" s="318">
        <v>46.180116756133202</v>
      </c>
      <c r="K418" s="319">
        <v>39.261761470280298</v>
      </c>
      <c r="L418" s="319">
        <v>31.732852102143482</v>
      </c>
      <c r="M418" s="319">
        <f t="shared" si="6"/>
        <v>31.732852102143482</v>
      </c>
      <c r="N418" s="317">
        <v>1.285180510136811</v>
      </c>
      <c r="O418" s="315" t="s">
        <v>1148</v>
      </c>
      <c r="P418" s="318">
        <v>134</v>
      </c>
      <c r="R418" s="320">
        <v>56.666666666666664</v>
      </c>
      <c r="S418" s="318">
        <v>25</v>
      </c>
      <c r="T418" s="318">
        <v>85.301839999999999</v>
      </c>
      <c r="U418" s="318">
        <v>85.301839999999999</v>
      </c>
      <c r="V418" s="315">
        <v>0.18</v>
      </c>
      <c r="W418" s="318">
        <v>5</v>
      </c>
      <c r="X418" s="315">
        <v>1</v>
      </c>
      <c r="Y418" s="315" t="s">
        <v>1149</v>
      </c>
      <c r="Z418" s="315">
        <v>0</v>
      </c>
      <c r="AA418" s="315" t="s">
        <v>1150</v>
      </c>
      <c r="AB418" s="315">
        <v>0</v>
      </c>
      <c r="AC418" s="315">
        <v>1800</v>
      </c>
      <c r="AD418" s="315">
        <v>1755</v>
      </c>
      <c r="AE418" s="315">
        <v>0.8</v>
      </c>
      <c r="AF418" s="315">
        <v>1.1000000000000001</v>
      </c>
      <c r="AG418" s="315">
        <v>1.64</v>
      </c>
      <c r="AH418" s="315">
        <v>236</v>
      </c>
    </row>
    <row r="419" spans="1:34">
      <c r="A419" s="315" t="s">
        <v>1229</v>
      </c>
      <c r="B419" s="315" t="s">
        <v>1762</v>
      </c>
      <c r="C419" s="316" t="s">
        <v>1767</v>
      </c>
      <c r="D419" s="316" t="s">
        <v>1768</v>
      </c>
      <c r="E419" s="317">
        <v>18.010000000000002</v>
      </c>
      <c r="F419" s="317">
        <v>8.0613497383405193</v>
      </c>
      <c r="G419" s="317">
        <v>8.3049922929009465</v>
      </c>
      <c r="H419" s="317">
        <v>8.5644888679823694</v>
      </c>
      <c r="I419" s="318">
        <v>47.554074780579505</v>
      </c>
      <c r="J419" s="318">
        <v>44.6266882576111</v>
      </c>
      <c r="K419" s="319">
        <v>46.221629385012506</v>
      </c>
      <c r="L419" s="319">
        <v>-1.3324453955669995</v>
      </c>
      <c r="M419" s="319">
        <f t="shared" si="6"/>
        <v>0</v>
      </c>
      <c r="N419" s="317">
        <v>0</v>
      </c>
      <c r="O419" s="315" t="s">
        <v>1148</v>
      </c>
      <c r="P419" s="318">
        <v>135</v>
      </c>
      <c r="R419" s="320">
        <v>57.222222222222221</v>
      </c>
      <c r="S419" s="318">
        <v>24.5</v>
      </c>
      <c r="T419" s="318">
        <v>209.97376</v>
      </c>
      <c r="U419" s="318">
        <v>209.97376</v>
      </c>
      <c r="V419" s="315">
        <v>0.24</v>
      </c>
      <c r="W419" s="318">
        <v>400</v>
      </c>
      <c r="X419" s="315">
        <v>11</v>
      </c>
      <c r="Y419" s="315" t="s">
        <v>1149</v>
      </c>
      <c r="Z419" s="315">
        <v>5</v>
      </c>
      <c r="AA419" s="315" t="s">
        <v>1150</v>
      </c>
      <c r="AB419" s="315">
        <v>0.2</v>
      </c>
      <c r="AC419" s="315">
        <v>1794</v>
      </c>
      <c r="AD419" s="315">
        <v>1755</v>
      </c>
      <c r="AE419" s="315">
        <v>0.8</v>
      </c>
      <c r="AF419" s="315">
        <v>1.1000000000000001</v>
      </c>
      <c r="AG419" s="315">
        <v>1.64</v>
      </c>
      <c r="AH419" s="315">
        <v>236</v>
      </c>
    </row>
    <row r="420" spans="1:34">
      <c r="A420" s="315" t="s">
        <v>1145</v>
      </c>
      <c r="B420" s="315" t="s">
        <v>1769</v>
      </c>
      <c r="C420" s="316" t="s">
        <v>1770</v>
      </c>
      <c r="D420" s="316" t="s">
        <v>1771</v>
      </c>
      <c r="E420" s="317">
        <v>17.049700000000001</v>
      </c>
      <c r="F420" s="317">
        <v>3.6403940000000006</v>
      </c>
      <c r="G420" s="317">
        <v>3.8492445096289929</v>
      </c>
      <c r="H420" s="317">
        <v>3.8492445096289929</v>
      </c>
      <c r="I420" s="318">
        <v>22.57661137515025</v>
      </c>
      <c r="J420" s="318">
        <v>57.842940110645401</v>
      </c>
      <c r="K420" s="319">
        <v>41.898698972308502</v>
      </c>
      <c r="L420" s="319">
        <v>19.322087597158252</v>
      </c>
      <c r="M420" s="319">
        <f t="shared" si="6"/>
        <v>19.322087597158252</v>
      </c>
      <c r="N420" s="317">
        <v>3.2943579690526907</v>
      </c>
      <c r="O420" s="315" t="s">
        <v>1148</v>
      </c>
      <c r="P420" s="318">
        <v>155</v>
      </c>
      <c r="Q420" s="315">
        <v>2</v>
      </c>
      <c r="R420" s="320">
        <v>68.333333333333329</v>
      </c>
      <c r="S420" s="318">
        <v>24</v>
      </c>
      <c r="T420" s="318">
        <v>153.71485000000001</v>
      </c>
      <c r="U420" s="318">
        <v>124.67800000000001</v>
      </c>
      <c r="V420" s="315">
        <v>0.28000000000000003</v>
      </c>
      <c r="W420" s="318">
        <v>47</v>
      </c>
      <c r="X420" s="315">
        <v>6</v>
      </c>
      <c r="Y420" s="315" t="s">
        <v>1154</v>
      </c>
      <c r="Z420" s="315">
        <v>1</v>
      </c>
      <c r="AA420" s="315" t="s">
        <v>1150</v>
      </c>
      <c r="AB420" s="315">
        <v>2</v>
      </c>
      <c r="AC420" s="315">
        <v>2142</v>
      </c>
      <c r="AD420" s="315">
        <v>2029</v>
      </c>
      <c r="AE420" s="315">
        <v>0.7</v>
      </c>
      <c r="AF420" s="315">
        <v>1.169</v>
      </c>
      <c r="AG420" s="315">
        <v>1.3373999999999999</v>
      </c>
      <c r="AH420" s="315">
        <v>377</v>
      </c>
    </row>
    <row r="421" spans="1:34">
      <c r="A421" s="315" t="s">
        <v>1772</v>
      </c>
      <c r="B421" s="315" t="s">
        <v>1769</v>
      </c>
      <c r="C421" s="316" t="s">
        <v>1773</v>
      </c>
      <c r="D421" s="316" t="s">
        <v>1774</v>
      </c>
      <c r="E421" s="317">
        <v>4.7934000000000001</v>
      </c>
      <c r="F421" s="317">
        <v>3.0875250000000003</v>
      </c>
      <c r="G421" s="317">
        <v>3.0875250000000003</v>
      </c>
      <c r="H421" s="317">
        <v>3.0875250000000003</v>
      </c>
      <c r="I421" s="318">
        <v>64.412004005507569</v>
      </c>
      <c r="J421" s="318">
        <v>58.557921683232699</v>
      </c>
      <c r="K421" s="319">
        <v>41.886791855874499</v>
      </c>
      <c r="L421" s="319">
        <v>-22.52521214963307</v>
      </c>
      <c r="M421" s="319">
        <f t="shared" si="6"/>
        <v>0</v>
      </c>
      <c r="N421" s="317">
        <v>0</v>
      </c>
      <c r="O421" s="315" t="s">
        <v>1148</v>
      </c>
      <c r="P421" s="318">
        <v>155</v>
      </c>
      <c r="Q421" s="315">
        <v>1</v>
      </c>
      <c r="R421" s="320">
        <v>68.333333333333329</v>
      </c>
      <c r="S421" s="318">
        <v>24</v>
      </c>
      <c r="T421" s="318">
        <v>93.246020000000016</v>
      </c>
      <c r="U421" s="318">
        <v>124.67800000000001</v>
      </c>
      <c r="V421" s="315">
        <v>0.28000000000000003</v>
      </c>
      <c r="W421" s="318">
        <v>18</v>
      </c>
      <c r="X421" s="315">
        <v>3</v>
      </c>
      <c r="Y421" s="315" t="s">
        <v>1154</v>
      </c>
      <c r="Z421" s="315">
        <v>2</v>
      </c>
      <c r="AA421" s="315" t="s">
        <v>1150</v>
      </c>
      <c r="AB421" s="315">
        <v>2</v>
      </c>
      <c r="AC421" s="315">
        <v>2156</v>
      </c>
      <c r="AD421" s="315">
        <v>2029</v>
      </c>
      <c r="AE421" s="315">
        <v>0.7</v>
      </c>
      <c r="AF421" s="315">
        <v>1.169</v>
      </c>
      <c r="AG421" s="315">
        <v>1.3373999999999999</v>
      </c>
      <c r="AH421" s="315">
        <v>377</v>
      </c>
    </row>
    <row r="422" spans="1:34">
      <c r="A422" s="315" t="s">
        <v>1145</v>
      </c>
      <c r="B422" s="315" t="s">
        <v>1769</v>
      </c>
      <c r="C422" s="316" t="s">
        <v>1775</v>
      </c>
      <c r="D422" s="316" t="s">
        <v>1776</v>
      </c>
      <c r="E422" s="317">
        <v>38.305900000000001</v>
      </c>
      <c r="F422" s="317">
        <v>10.509362000000001</v>
      </c>
      <c r="G422" s="317">
        <v>10.998980908097439</v>
      </c>
      <c r="H422" s="317">
        <v>10.998980908097439</v>
      </c>
      <c r="I422" s="318">
        <v>28.713542582467554</v>
      </c>
      <c r="J422" s="318">
        <v>57.455945655965103</v>
      </c>
      <c r="K422" s="319">
        <v>43.232233394207597</v>
      </c>
      <c r="L422" s="319">
        <v>14.518690811740001</v>
      </c>
      <c r="M422" s="319">
        <f t="shared" si="6"/>
        <v>14.518690811740001</v>
      </c>
      <c r="N422" s="317">
        <v>5.5615151836543291</v>
      </c>
      <c r="O422" s="315" t="s">
        <v>1148</v>
      </c>
      <c r="P422" s="318">
        <v>155</v>
      </c>
      <c r="Q422" s="315">
        <v>1</v>
      </c>
      <c r="R422" s="320">
        <v>68.333333333333329</v>
      </c>
      <c r="S422" s="318">
        <v>24</v>
      </c>
      <c r="T422" s="318">
        <v>145.02020000000002</v>
      </c>
      <c r="U422" s="318">
        <v>124.67800000000001</v>
      </c>
      <c r="V422" s="315">
        <v>0.27</v>
      </c>
      <c r="W422" s="318">
        <v>93</v>
      </c>
      <c r="X422" s="315">
        <v>12</v>
      </c>
      <c r="Y422" s="315" t="s">
        <v>1154</v>
      </c>
      <c r="Z422" s="315">
        <v>2</v>
      </c>
      <c r="AA422" s="315" t="s">
        <v>1190</v>
      </c>
      <c r="AB422" s="315">
        <v>2</v>
      </c>
      <c r="AC422" s="315">
        <v>2156</v>
      </c>
      <c r="AD422" s="315">
        <v>2029</v>
      </c>
      <c r="AE422" s="315">
        <v>0.7</v>
      </c>
      <c r="AF422" s="315">
        <v>1.169</v>
      </c>
      <c r="AG422" s="315">
        <v>1.3373999999999999</v>
      </c>
      <c r="AH422" s="315">
        <v>377</v>
      </c>
    </row>
    <row r="423" spans="1:34">
      <c r="A423" s="315" t="s">
        <v>1485</v>
      </c>
      <c r="B423" s="315" t="s">
        <v>1777</v>
      </c>
      <c r="C423" s="316" t="s">
        <v>1778</v>
      </c>
      <c r="D423" s="316" t="s">
        <v>1779</v>
      </c>
      <c r="E423" s="317">
        <v>14.6</v>
      </c>
      <c r="F423" s="317">
        <v>4.8960992706456841</v>
      </c>
      <c r="G423" s="317">
        <v>5.8778853532790629</v>
      </c>
      <c r="H423" s="317">
        <v>6.7477943562369047</v>
      </c>
      <c r="I423" s="318">
        <v>46.217769563266472</v>
      </c>
      <c r="J423" s="318">
        <v>47.672861895692002</v>
      </c>
      <c r="K423" s="319">
        <v>46.831064002691804</v>
      </c>
      <c r="L423" s="319">
        <v>0.61329443942533146</v>
      </c>
      <c r="M423" s="319">
        <f t="shared" si="6"/>
        <v>0.61329443942533146</v>
      </c>
      <c r="N423" s="317">
        <v>8.9540988156098386E-2</v>
      </c>
      <c r="O423" s="315" t="s">
        <v>1148</v>
      </c>
      <c r="P423" s="318">
        <v>145</v>
      </c>
      <c r="Q423" s="315">
        <v>3</v>
      </c>
      <c r="R423" s="320">
        <v>62.777777777777779</v>
      </c>
      <c r="S423" s="318">
        <v>20.7</v>
      </c>
      <c r="T423" s="318">
        <v>300</v>
      </c>
      <c r="U423" s="318">
        <v>164</v>
      </c>
      <c r="V423" s="315">
        <v>0.25</v>
      </c>
      <c r="W423" s="318">
        <v>500</v>
      </c>
      <c r="X423" s="315">
        <v>4</v>
      </c>
      <c r="Y423" s="315" t="s">
        <v>1154</v>
      </c>
      <c r="Z423" s="315">
        <v>1</v>
      </c>
      <c r="AA423" s="315" t="s">
        <v>1150</v>
      </c>
      <c r="AB423" s="315">
        <v>0.64</v>
      </c>
      <c r="AC423" s="315">
        <v>1762</v>
      </c>
      <c r="AD423" s="315">
        <v>1762</v>
      </c>
      <c r="AE423" s="315">
        <v>0.7</v>
      </c>
      <c r="AF423" s="315">
        <v>1.1160000000000001</v>
      </c>
      <c r="AG423" s="315">
        <v>1.68</v>
      </c>
      <c r="AH423" s="315">
        <v>221</v>
      </c>
    </row>
    <row r="424" spans="1:34">
      <c r="A424" s="315" t="s">
        <v>1145</v>
      </c>
      <c r="B424" s="315" t="s">
        <v>1777</v>
      </c>
      <c r="C424" s="316" t="s">
        <v>1780</v>
      </c>
      <c r="D424" s="316" t="s">
        <v>1781</v>
      </c>
      <c r="E424" s="317">
        <v>9.1300000000000008</v>
      </c>
      <c r="F424" s="317">
        <v>2.0248894122583048</v>
      </c>
      <c r="G424" s="317">
        <v>2.5892088715770067</v>
      </c>
      <c r="H424" s="317">
        <v>2.9483419463655678</v>
      </c>
      <c r="I424" s="318">
        <v>32.292901931714866</v>
      </c>
      <c r="J424" s="318">
        <v>47.425488129567199</v>
      </c>
      <c r="K424" s="319">
        <v>46.958632326899505</v>
      </c>
      <c r="L424" s="319">
        <v>14.665730395184639</v>
      </c>
      <c r="M424" s="319">
        <f t="shared" si="6"/>
        <v>14.665730395184639</v>
      </c>
      <c r="N424" s="317">
        <v>1.3389811850803577</v>
      </c>
      <c r="O424" s="315" t="s">
        <v>1148</v>
      </c>
      <c r="P424" s="318">
        <v>149</v>
      </c>
      <c r="Q424" s="315">
        <v>3</v>
      </c>
      <c r="R424" s="320">
        <v>65</v>
      </c>
      <c r="S424" s="318">
        <v>20.7</v>
      </c>
      <c r="T424" s="318">
        <v>150</v>
      </c>
      <c r="U424" s="318">
        <v>92</v>
      </c>
      <c r="V424" s="315">
        <v>0.25</v>
      </c>
      <c r="W424" s="318">
        <v>200</v>
      </c>
      <c r="X424" s="315">
        <v>3</v>
      </c>
      <c r="Y424" s="315" t="s">
        <v>1154</v>
      </c>
      <c r="Z424" s="315">
        <v>2</v>
      </c>
      <c r="AA424" s="315" t="s">
        <v>1150</v>
      </c>
      <c r="AB424" s="315">
        <v>0.37</v>
      </c>
      <c r="AC424" s="315">
        <v>1901</v>
      </c>
      <c r="AD424" s="315">
        <v>1901</v>
      </c>
      <c r="AE424" s="315">
        <v>0.7</v>
      </c>
      <c r="AF424" s="315">
        <v>1.1160000000000001</v>
      </c>
      <c r="AG424" s="315">
        <v>1.68</v>
      </c>
      <c r="AH424" s="315">
        <v>221</v>
      </c>
    </row>
    <row r="425" spans="1:34">
      <c r="A425" s="315" t="s">
        <v>1782</v>
      </c>
      <c r="B425" s="315" t="s">
        <v>663</v>
      </c>
      <c r="C425" s="316" t="s">
        <v>1783</v>
      </c>
      <c r="D425" s="316" t="s">
        <v>1784</v>
      </c>
      <c r="E425" s="317">
        <v>2.494217837444153</v>
      </c>
      <c r="F425" s="317">
        <v>7.8288999999999997E-3</v>
      </c>
      <c r="G425" s="317">
        <v>8.1343000000000006E-3</v>
      </c>
      <c r="H425" s="317">
        <v>8.1343000000000006E-3</v>
      </c>
      <c r="I425" s="318">
        <v>0.3261262860799396</v>
      </c>
      <c r="J425" s="318">
        <v>75.081900098017002</v>
      </c>
      <c r="K425" s="319">
        <v>30.936391365386299</v>
      </c>
      <c r="L425" s="319">
        <v>30.610265079306359</v>
      </c>
      <c r="M425" s="319">
        <f t="shared" si="6"/>
        <v>30.610265079306359</v>
      </c>
      <c r="N425" s="317">
        <v>0.76348669169699779</v>
      </c>
      <c r="O425" s="315" t="s">
        <v>1148</v>
      </c>
      <c r="P425" s="318">
        <v>130</v>
      </c>
      <c r="R425" s="320">
        <v>54.444444444444443</v>
      </c>
      <c r="S425" s="318">
        <v>21</v>
      </c>
      <c r="T425" s="318">
        <v>12.82</v>
      </c>
      <c r="U425" s="318">
        <v>141.083</v>
      </c>
      <c r="V425" s="315">
        <v>0.3</v>
      </c>
      <c r="W425" s="318">
        <v>114.04</v>
      </c>
      <c r="X425" s="315">
        <v>0</v>
      </c>
      <c r="Y425" s="315" t="s">
        <v>1149</v>
      </c>
      <c r="Z425" s="315">
        <v>0</v>
      </c>
      <c r="AA425" s="315" t="s">
        <v>1190</v>
      </c>
      <c r="AB425" s="315">
        <v>1.1172177187583106</v>
      </c>
      <c r="AC425" s="315">
        <v>760</v>
      </c>
      <c r="AD425" s="315">
        <v>760</v>
      </c>
      <c r="AE425" s="315">
        <v>0.49</v>
      </c>
      <c r="AF425" s="315">
        <v>1.0719399999999999</v>
      </c>
      <c r="AG425" s="315">
        <v>10.48</v>
      </c>
      <c r="AH425" s="315">
        <v>108</v>
      </c>
    </row>
    <row r="426" spans="1:34">
      <c r="A426" s="315" t="s">
        <v>1145</v>
      </c>
      <c r="B426" s="315" t="s">
        <v>663</v>
      </c>
      <c r="C426" s="316" t="s">
        <v>1785</v>
      </c>
      <c r="D426" s="316" t="s">
        <v>1785</v>
      </c>
      <c r="E426" s="317">
        <v>1.7860430700274443</v>
      </c>
      <c r="F426" s="317">
        <v>1.5845634</v>
      </c>
      <c r="G426" s="317">
        <v>1.5845634</v>
      </c>
      <c r="H426" s="317">
        <v>1.5845634</v>
      </c>
      <c r="I426" s="318">
        <v>88.719215487656271</v>
      </c>
      <c r="J426" s="318">
        <v>72.637474732457505</v>
      </c>
      <c r="K426" s="319">
        <v>32.944959497833295</v>
      </c>
      <c r="L426" s="319">
        <v>-55.774255989822976</v>
      </c>
      <c r="M426" s="319">
        <f t="shared" si="6"/>
        <v>0</v>
      </c>
      <c r="N426" s="317">
        <v>0</v>
      </c>
      <c r="O426" s="315" t="s">
        <v>1148</v>
      </c>
      <c r="P426" s="318">
        <v>130</v>
      </c>
      <c r="R426" s="320">
        <v>54.444444444444443</v>
      </c>
      <c r="S426" s="318">
        <v>21</v>
      </c>
      <c r="T426" s="318">
        <v>42.5</v>
      </c>
      <c r="U426" s="318">
        <v>141.083</v>
      </c>
      <c r="V426" s="315">
        <v>0.33</v>
      </c>
      <c r="W426" s="318">
        <v>3000</v>
      </c>
      <c r="X426" s="315">
        <v>0</v>
      </c>
      <c r="Y426" s="315" t="s">
        <v>1149</v>
      </c>
      <c r="Z426" s="315">
        <v>0</v>
      </c>
      <c r="AA426" s="315" t="s">
        <v>1190</v>
      </c>
      <c r="AB426" s="315">
        <v>0.15899341580207504</v>
      </c>
      <c r="AC426" s="315">
        <v>790</v>
      </c>
      <c r="AD426" s="315">
        <v>790</v>
      </c>
      <c r="AE426" s="315">
        <v>0.53</v>
      </c>
      <c r="AF426" s="315">
        <v>1.0751999999999999</v>
      </c>
      <c r="AG426" s="315">
        <v>9.66</v>
      </c>
      <c r="AH426" s="315">
        <v>112</v>
      </c>
    </row>
    <row r="427" spans="1:34">
      <c r="A427" s="315" t="s">
        <v>1145</v>
      </c>
      <c r="B427" s="315" t="s">
        <v>663</v>
      </c>
      <c r="C427" s="316" t="s">
        <v>1786</v>
      </c>
      <c r="D427" s="316" t="s">
        <v>1786</v>
      </c>
      <c r="E427" s="317">
        <v>7.2764400927013879</v>
      </c>
      <c r="F427" s="317">
        <v>2.0327117000000001</v>
      </c>
      <c r="G427" s="317">
        <v>2.1832482</v>
      </c>
      <c r="H427" s="317">
        <v>2.1832482</v>
      </c>
      <c r="I427" s="318">
        <v>30.004345149352645</v>
      </c>
      <c r="J427" s="318">
        <v>74.319217193670099</v>
      </c>
      <c r="K427" s="319">
        <v>31.448525771078799</v>
      </c>
      <c r="L427" s="319">
        <v>1.4441806217261544</v>
      </c>
      <c r="M427" s="319">
        <f t="shared" si="6"/>
        <v>1.4441806217261544</v>
      </c>
      <c r="N427" s="317">
        <v>0.10508493777030607</v>
      </c>
      <c r="O427" s="315" t="s">
        <v>1148</v>
      </c>
      <c r="P427" s="318">
        <v>135</v>
      </c>
      <c r="R427" s="320">
        <v>57.222222222222221</v>
      </c>
      <c r="S427" s="318">
        <v>20</v>
      </c>
      <c r="T427" s="318">
        <v>29.81</v>
      </c>
      <c r="U427" s="318">
        <v>301.85200000000003</v>
      </c>
      <c r="V427" s="315">
        <v>0.27</v>
      </c>
      <c r="W427" s="318">
        <v>697</v>
      </c>
      <c r="X427" s="315">
        <v>1</v>
      </c>
      <c r="Y427" s="315" t="s">
        <v>1149</v>
      </c>
      <c r="Z427" s="315">
        <v>0</v>
      </c>
      <c r="AA427" s="315" t="s">
        <v>1190</v>
      </c>
      <c r="AB427" s="315">
        <v>0.18941654408904288</v>
      </c>
      <c r="AC427" s="315">
        <v>839</v>
      </c>
      <c r="AD427" s="315">
        <v>839</v>
      </c>
      <c r="AE427" s="315">
        <v>0.5</v>
      </c>
      <c r="AF427" s="315">
        <v>1.07908</v>
      </c>
      <c r="AG427" s="315">
        <v>9.5824999999999996</v>
      </c>
      <c r="AH427" s="315">
        <v>115</v>
      </c>
    </row>
    <row r="428" spans="1:34">
      <c r="A428" s="315" t="s">
        <v>1145</v>
      </c>
      <c r="B428" s="315" t="s">
        <v>663</v>
      </c>
      <c r="C428" s="316" t="s">
        <v>1787</v>
      </c>
      <c r="D428" s="316" t="s">
        <v>1788</v>
      </c>
      <c r="E428" s="317">
        <v>3.9258061737282723</v>
      </c>
      <c r="F428" s="317">
        <v>0.20504059999999999</v>
      </c>
      <c r="G428" s="317">
        <v>0.20504059999999999</v>
      </c>
      <c r="H428" s="317">
        <v>0.20504059999999999</v>
      </c>
      <c r="I428" s="318">
        <v>5.2228915775858686</v>
      </c>
      <c r="J428" s="318">
        <v>78.529936104335803</v>
      </c>
      <c r="K428" s="319">
        <v>28.5763329412483</v>
      </c>
      <c r="L428" s="319">
        <v>23.35344136366243</v>
      </c>
      <c r="M428" s="319">
        <f t="shared" si="6"/>
        <v>23.35344136366243</v>
      </c>
      <c r="N428" s="317">
        <v>0.91681084283267178</v>
      </c>
      <c r="O428" s="315" t="s">
        <v>1148</v>
      </c>
      <c r="P428" s="318">
        <v>140.1414</v>
      </c>
      <c r="R428" s="320">
        <v>60.078555555555553</v>
      </c>
      <c r="S428" s="318">
        <v>19</v>
      </c>
      <c r="T428" s="318">
        <v>19</v>
      </c>
      <c r="U428" s="318">
        <v>301.85200000000003</v>
      </c>
      <c r="V428" s="315">
        <v>0.27500000000000002</v>
      </c>
      <c r="W428" s="318">
        <v>1174</v>
      </c>
      <c r="X428" s="315">
        <v>0</v>
      </c>
      <c r="Y428" s="315" t="s">
        <v>1149</v>
      </c>
      <c r="Z428" s="315">
        <v>0</v>
      </c>
      <c r="AA428" s="315" t="s">
        <v>1190</v>
      </c>
      <c r="AB428" s="315">
        <v>2.364985374901905</v>
      </c>
      <c r="AC428" s="315">
        <v>839.4</v>
      </c>
      <c r="AD428" s="315">
        <v>839.4</v>
      </c>
      <c r="AE428" s="315">
        <v>0.44500000000000001</v>
      </c>
      <c r="AF428" s="315">
        <v>1.08</v>
      </c>
      <c r="AG428" s="315">
        <v>10</v>
      </c>
      <c r="AH428" s="315">
        <v>109</v>
      </c>
    </row>
    <row r="429" spans="1:34">
      <c r="A429" s="315" t="s">
        <v>1145</v>
      </c>
      <c r="B429" s="315" t="s">
        <v>663</v>
      </c>
      <c r="C429" s="316" t="s">
        <v>1789</v>
      </c>
      <c r="D429" s="316" t="s">
        <v>1789</v>
      </c>
      <c r="E429" s="317">
        <v>20.489573650563177</v>
      </c>
      <c r="F429" s="317">
        <v>8.4318492999999997</v>
      </c>
      <c r="G429" s="317">
        <v>8.5689171999999996</v>
      </c>
      <c r="H429" s="317">
        <v>8.5689171999999996</v>
      </c>
      <c r="I429" s="318">
        <v>41.820866291009793</v>
      </c>
      <c r="J429" s="318">
        <v>67.078165653222001</v>
      </c>
      <c r="K429" s="319">
        <v>37.995691109856601</v>
      </c>
      <c r="L429" s="319">
        <v>-3.8251751811531918</v>
      </c>
      <c r="M429" s="319">
        <f t="shared" si="6"/>
        <v>0</v>
      </c>
      <c r="N429" s="317">
        <v>0</v>
      </c>
      <c r="O429" s="315" t="s">
        <v>1148</v>
      </c>
      <c r="P429" s="318">
        <v>141.1294</v>
      </c>
      <c r="R429" s="320">
        <v>60.62744444444445</v>
      </c>
      <c r="S429" s="318">
        <v>18.899999999999999</v>
      </c>
      <c r="T429" s="318">
        <v>11</v>
      </c>
      <c r="U429" s="318">
        <v>73</v>
      </c>
      <c r="V429" s="315">
        <v>0.21199399999999999</v>
      </c>
      <c r="W429" s="318">
        <v>527.63279999999997</v>
      </c>
      <c r="X429" s="315">
        <v>2</v>
      </c>
      <c r="Y429" s="315" t="s">
        <v>1149</v>
      </c>
      <c r="Z429" s="315">
        <v>0</v>
      </c>
      <c r="AA429" s="315" t="s">
        <v>1150</v>
      </c>
      <c r="AB429" s="315">
        <v>0</v>
      </c>
      <c r="AC429" s="315">
        <v>765</v>
      </c>
      <c r="AD429" s="315">
        <v>703</v>
      </c>
      <c r="AE429" s="315">
        <v>0.6</v>
      </c>
      <c r="AF429" s="315">
        <v>1.05</v>
      </c>
      <c r="AG429" s="315">
        <v>9</v>
      </c>
      <c r="AH429" s="315">
        <v>123</v>
      </c>
    </row>
    <row r="430" spans="1:34">
      <c r="A430" s="315" t="s">
        <v>1145</v>
      </c>
      <c r="B430" s="315" t="s">
        <v>663</v>
      </c>
      <c r="C430" s="316" t="s">
        <v>1790</v>
      </c>
      <c r="D430" s="316" t="s">
        <v>1790</v>
      </c>
      <c r="E430" s="317">
        <v>6.0292426739708862</v>
      </c>
      <c r="F430" s="317">
        <v>1.8137821999999999</v>
      </c>
      <c r="G430" s="317">
        <v>1.8757378999999998</v>
      </c>
      <c r="H430" s="317">
        <v>1.8757378999999998</v>
      </c>
      <c r="I430" s="318">
        <v>31.110671794615797</v>
      </c>
      <c r="J430" s="318">
        <v>79.526049834129097</v>
      </c>
      <c r="K430" s="319">
        <v>27.645696035945399</v>
      </c>
      <c r="L430" s="319">
        <v>-3.4649757586703984</v>
      </c>
      <c r="M430" s="319">
        <f t="shared" si="6"/>
        <v>0</v>
      </c>
      <c r="N430" s="317">
        <v>0</v>
      </c>
      <c r="O430" s="315" t="s">
        <v>1148</v>
      </c>
      <c r="P430" s="318">
        <v>142</v>
      </c>
      <c r="R430" s="320">
        <v>61.111111111111114</v>
      </c>
      <c r="S430" s="318">
        <v>19</v>
      </c>
      <c r="T430" s="318">
        <v>56</v>
      </c>
      <c r="U430" s="318">
        <v>206.703</v>
      </c>
      <c r="V430" s="315">
        <v>0.27500000000000002</v>
      </c>
      <c r="W430" s="318">
        <v>1767</v>
      </c>
      <c r="X430" s="315">
        <v>1</v>
      </c>
      <c r="Y430" s="315" t="s">
        <v>1149</v>
      </c>
      <c r="Z430" s="315">
        <v>0</v>
      </c>
      <c r="AA430" s="315" t="s">
        <v>1190</v>
      </c>
      <c r="AB430" s="315">
        <v>2.1341888687404102</v>
      </c>
      <c r="AC430" s="315">
        <v>839.4</v>
      </c>
      <c r="AD430" s="315">
        <v>839.4</v>
      </c>
      <c r="AE430" s="315">
        <v>0.45</v>
      </c>
      <c r="AF430" s="315">
        <v>1.08</v>
      </c>
      <c r="AG430" s="315">
        <v>10</v>
      </c>
      <c r="AH430" s="315">
        <v>109</v>
      </c>
    </row>
    <row r="431" spans="1:34">
      <c r="A431" s="315" t="s">
        <v>1145</v>
      </c>
      <c r="B431" s="315" t="s">
        <v>663</v>
      </c>
      <c r="C431" s="316" t="s">
        <v>1791</v>
      </c>
      <c r="D431" s="316" t="s">
        <v>1792</v>
      </c>
      <c r="E431" s="317">
        <v>4.6699206445663641</v>
      </c>
      <c r="F431" s="317">
        <v>0.1750159</v>
      </c>
      <c r="G431" s="317">
        <v>0.1750159</v>
      </c>
      <c r="H431" s="317">
        <v>0.1750159</v>
      </c>
      <c r="I431" s="318">
        <v>3.7477274951906918</v>
      </c>
      <c r="J431" s="318">
        <v>88.6449840969576</v>
      </c>
      <c r="K431" s="319">
        <v>19.962930407739201</v>
      </c>
      <c r="L431" s="319">
        <v>16.215202912548509</v>
      </c>
      <c r="M431" s="319">
        <f t="shared" si="6"/>
        <v>16.215202912548509</v>
      </c>
      <c r="N431" s="317">
        <v>0.75723710837142921</v>
      </c>
      <c r="O431" s="315" t="s">
        <v>1148</v>
      </c>
      <c r="P431" s="318">
        <v>144.53800000000001</v>
      </c>
      <c r="R431" s="320">
        <v>62.521111111111118</v>
      </c>
      <c r="S431" s="318">
        <v>19</v>
      </c>
      <c r="T431" s="318">
        <v>12</v>
      </c>
      <c r="U431" s="318">
        <v>301.85200000000003</v>
      </c>
      <c r="V431" s="315">
        <v>0.255</v>
      </c>
      <c r="W431" s="318">
        <v>41</v>
      </c>
      <c r="X431" s="315">
        <v>0</v>
      </c>
      <c r="Y431" s="315" t="s">
        <v>1149</v>
      </c>
      <c r="Z431" s="315">
        <v>0</v>
      </c>
      <c r="AA431" s="315" t="s">
        <v>1190</v>
      </c>
      <c r="AB431" s="315">
        <v>0.58176069162880983</v>
      </c>
      <c r="AC431" s="315">
        <v>839</v>
      </c>
      <c r="AD431" s="315">
        <v>839</v>
      </c>
      <c r="AE431" s="315">
        <v>0.42</v>
      </c>
      <c r="AF431" s="315">
        <v>1.08</v>
      </c>
      <c r="AG431" s="315">
        <v>10</v>
      </c>
      <c r="AH431" s="315">
        <v>109</v>
      </c>
    </row>
    <row r="432" spans="1:34">
      <c r="A432" s="315" t="s">
        <v>1145</v>
      </c>
      <c r="B432" s="315" t="s">
        <v>663</v>
      </c>
      <c r="C432" s="316" t="s">
        <v>1793</v>
      </c>
      <c r="D432" s="316" t="s">
        <v>1793</v>
      </c>
      <c r="E432" s="317">
        <v>31.292929379019316</v>
      </c>
      <c r="F432" s="317">
        <v>18.335083000000001</v>
      </c>
      <c r="G432" s="317">
        <v>18.651429200000003</v>
      </c>
      <c r="H432" s="317">
        <v>18.651429200000003</v>
      </c>
      <c r="I432" s="318">
        <v>59.602694826343281</v>
      </c>
      <c r="J432" s="318">
        <v>60.496879459529097</v>
      </c>
      <c r="K432" s="319">
        <v>40.868153801667802</v>
      </c>
      <c r="L432" s="319">
        <v>-18.73454102467548</v>
      </c>
      <c r="M432" s="319">
        <f t="shared" si="6"/>
        <v>0</v>
      </c>
      <c r="N432" s="317">
        <v>0</v>
      </c>
      <c r="O432" s="315" t="s">
        <v>1148</v>
      </c>
      <c r="P432" s="318">
        <v>144.785</v>
      </c>
      <c r="R432" s="320">
        <v>62.658333333333331</v>
      </c>
      <c r="S432" s="318">
        <v>18.5</v>
      </c>
      <c r="T432" s="318">
        <v>19</v>
      </c>
      <c r="U432" s="318">
        <v>92</v>
      </c>
      <c r="V432" s="315">
        <v>0.213009</v>
      </c>
      <c r="W432" s="318">
        <v>530.21569999999997</v>
      </c>
      <c r="X432" s="315">
        <v>0</v>
      </c>
      <c r="Y432" s="315" t="s">
        <v>1149</v>
      </c>
      <c r="Z432" s="315">
        <v>0</v>
      </c>
      <c r="AA432" s="315" t="s">
        <v>1150</v>
      </c>
      <c r="AB432" s="315">
        <v>0</v>
      </c>
      <c r="AC432" s="315">
        <v>950</v>
      </c>
      <c r="AD432" s="315">
        <v>950</v>
      </c>
      <c r="AE432" s="315">
        <v>0.7</v>
      </c>
      <c r="AF432" s="315">
        <v>1.05</v>
      </c>
      <c r="AG432" s="315">
        <v>5</v>
      </c>
      <c r="AH432" s="315">
        <v>132</v>
      </c>
    </row>
    <row r="433" spans="1:34">
      <c r="A433" s="315" t="s">
        <v>1145</v>
      </c>
      <c r="B433" s="315" t="s">
        <v>663</v>
      </c>
      <c r="C433" s="316" t="s">
        <v>1794</v>
      </c>
      <c r="D433" s="316" t="s">
        <v>1794</v>
      </c>
      <c r="E433" s="317">
        <v>8.6278583213534858</v>
      </c>
      <c r="F433" s="317">
        <v>3.6737712999999999</v>
      </c>
      <c r="G433" s="317">
        <v>3.6996881999999998</v>
      </c>
      <c r="H433" s="317">
        <v>3.6996881999999998</v>
      </c>
      <c r="I433" s="318">
        <v>42.880724998038858</v>
      </c>
      <c r="J433" s="318">
        <v>74.354226235731304</v>
      </c>
      <c r="K433" s="319">
        <v>30.966209550748303</v>
      </c>
      <c r="L433" s="319">
        <v>-11.914515447290555</v>
      </c>
      <c r="M433" s="319">
        <f t="shared" si="6"/>
        <v>0</v>
      </c>
      <c r="N433" s="317">
        <v>0</v>
      </c>
      <c r="O433" s="315" t="s">
        <v>1148</v>
      </c>
      <c r="P433" s="318">
        <v>145</v>
      </c>
      <c r="R433" s="320">
        <v>62.777777777777779</v>
      </c>
      <c r="S433" s="318">
        <v>20</v>
      </c>
      <c r="T433" s="318">
        <v>27.53</v>
      </c>
      <c r="U433" s="318">
        <v>302</v>
      </c>
      <c r="V433" s="315">
        <v>0.28499999999999998</v>
      </c>
      <c r="W433" s="318">
        <v>2433</v>
      </c>
      <c r="X433" s="315">
        <v>1</v>
      </c>
      <c r="Y433" s="315" t="s">
        <v>1149</v>
      </c>
      <c r="Z433" s="315">
        <v>0</v>
      </c>
      <c r="AA433" s="315" t="s">
        <v>1190</v>
      </c>
      <c r="AB433" s="315">
        <v>0.27430738438849678</v>
      </c>
      <c r="AC433" s="315">
        <v>852</v>
      </c>
      <c r="AD433" s="315">
        <v>852</v>
      </c>
      <c r="AE433" s="315">
        <v>0.51</v>
      </c>
      <c r="AF433" s="315">
        <v>1.1000000000000001</v>
      </c>
      <c r="AG433" s="315">
        <v>10</v>
      </c>
      <c r="AH433" s="315">
        <v>133</v>
      </c>
    </row>
    <row r="434" spans="1:34">
      <c r="A434" s="315" t="s">
        <v>1717</v>
      </c>
      <c r="B434" s="315" t="s">
        <v>663</v>
      </c>
      <c r="C434" s="316" t="s">
        <v>1795</v>
      </c>
      <c r="D434" s="316" t="s">
        <v>1795</v>
      </c>
      <c r="E434" s="317">
        <v>8.6224594208395224</v>
      </c>
      <c r="F434" s="317">
        <v>0</v>
      </c>
      <c r="G434" s="317">
        <v>0</v>
      </c>
      <c r="H434" s="317">
        <v>0</v>
      </c>
      <c r="I434" s="318">
        <v>0</v>
      </c>
      <c r="J434" s="318">
        <v>85.376408009409801</v>
      </c>
      <c r="K434" s="319">
        <v>21.3583913635279</v>
      </c>
      <c r="L434" s="319">
        <v>21.3583913635279</v>
      </c>
      <c r="M434" s="319">
        <f t="shared" si="6"/>
        <v>21.3583913635279</v>
      </c>
      <c r="N434" s="317">
        <v>1.8416186282642864</v>
      </c>
      <c r="O434" s="315" t="s">
        <v>1168</v>
      </c>
      <c r="P434" s="318">
        <v>147</v>
      </c>
      <c r="R434" s="320">
        <v>63.888888888888886</v>
      </c>
      <c r="S434" s="318">
        <v>20</v>
      </c>
      <c r="T434" s="318">
        <v>19.190000000000001</v>
      </c>
      <c r="U434" s="318">
        <v>243</v>
      </c>
      <c r="V434" s="315">
        <v>0.24</v>
      </c>
      <c r="W434" s="318">
        <v>389</v>
      </c>
      <c r="X434" s="315">
        <v>0</v>
      </c>
      <c r="Y434" s="315" t="s">
        <v>1149</v>
      </c>
      <c r="Z434" s="315">
        <v>0</v>
      </c>
      <c r="AA434" s="315" t="s">
        <v>1150</v>
      </c>
      <c r="AB434" s="315">
        <v>0</v>
      </c>
      <c r="AC434" s="315">
        <v>880</v>
      </c>
      <c r="AD434" s="315">
        <v>880</v>
      </c>
      <c r="AE434" s="315">
        <v>0.28999999999999998</v>
      </c>
      <c r="AF434" s="315">
        <v>1.1000000000000001</v>
      </c>
      <c r="AG434" s="315">
        <v>10</v>
      </c>
      <c r="AH434" s="315">
        <v>115</v>
      </c>
    </row>
    <row r="435" spans="1:34">
      <c r="A435" s="315" t="s">
        <v>1717</v>
      </c>
      <c r="B435" s="315" t="s">
        <v>663</v>
      </c>
      <c r="C435" s="316" t="s">
        <v>1796</v>
      </c>
      <c r="D435" s="316" t="s">
        <v>1796</v>
      </c>
      <c r="E435" s="317">
        <v>7.6170743251290318</v>
      </c>
      <c r="F435" s="317">
        <v>0</v>
      </c>
      <c r="G435" s="317">
        <v>0</v>
      </c>
      <c r="H435" s="317">
        <v>0</v>
      </c>
      <c r="I435" s="318">
        <v>0</v>
      </c>
      <c r="J435" s="318">
        <v>66.258325918628898</v>
      </c>
      <c r="K435" s="319">
        <v>32.461816922746202</v>
      </c>
      <c r="L435" s="319">
        <v>32.461816922746202</v>
      </c>
      <c r="M435" s="319">
        <f t="shared" si="6"/>
        <v>32.461816922746202</v>
      </c>
      <c r="N435" s="317">
        <v>2.4726407222928919</v>
      </c>
      <c r="O435" s="315" t="s">
        <v>1168</v>
      </c>
      <c r="P435" s="318">
        <v>147</v>
      </c>
      <c r="R435" s="320">
        <v>63.888888888888886</v>
      </c>
      <c r="S435" s="318">
        <v>20</v>
      </c>
      <c r="T435" s="318">
        <v>17.100000000000001</v>
      </c>
      <c r="U435" s="318">
        <v>134</v>
      </c>
      <c r="V435" s="315">
        <v>0.27</v>
      </c>
      <c r="W435" s="318">
        <v>1289</v>
      </c>
      <c r="X435" s="315">
        <v>0</v>
      </c>
      <c r="Y435" s="315" t="s">
        <v>1149</v>
      </c>
      <c r="Z435" s="315">
        <v>0</v>
      </c>
      <c r="AA435" s="315" t="s">
        <v>1150</v>
      </c>
      <c r="AB435" s="315">
        <v>0</v>
      </c>
      <c r="AC435" s="315">
        <v>877</v>
      </c>
      <c r="AD435" s="315">
        <v>877</v>
      </c>
      <c r="AE435" s="315">
        <v>0.15000000000000002</v>
      </c>
      <c r="AF435" s="315">
        <v>1.1000000000000001</v>
      </c>
      <c r="AG435" s="315">
        <v>10</v>
      </c>
      <c r="AH435" s="315">
        <v>115</v>
      </c>
    </row>
    <row r="436" spans="1:34">
      <c r="A436" s="315" t="s">
        <v>1797</v>
      </c>
      <c r="B436" s="315" t="s">
        <v>663</v>
      </c>
      <c r="C436" s="316" t="s">
        <v>1798</v>
      </c>
      <c r="D436" s="316" t="s">
        <v>1799</v>
      </c>
      <c r="E436" s="317">
        <v>3.1610257009228229</v>
      </c>
      <c r="F436" s="317">
        <v>2.1570000000000001E-4</v>
      </c>
      <c r="G436" s="317">
        <v>2.1570000000000001E-4</v>
      </c>
      <c r="H436" s="317">
        <v>2.1570000000000001E-4</v>
      </c>
      <c r="I436" s="318">
        <v>6.8237344586293313E-3</v>
      </c>
      <c r="J436" s="318">
        <v>78.815259499074898</v>
      </c>
      <c r="K436" s="319">
        <v>28.584940269248499</v>
      </c>
      <c r="L436" s="319">
        <v>28.578116534789871</v>
      </c>
      <c r="M436" s="319">
        <f t="shared" si="6"/>
        <v>28.578116534789871</v>
      </c>
      <c r="N436" s="317">
        <v>0.90336160850438263</v>
      </c>
      <c r="O436" s="315" t="s">
        <v>1148</v>
      </c>
      <c r="P436" s="318">
        <v>148</v>
      </c>
      <c r="R436" s="320">
        <v>64.444444444444443</v>
      </c>
      <c r="S436" s="318">
        <v>19.3</v>
      </c>
      <c r="T436" s="318">
        <v>29</v>
      </c>
      <c r="U436" s="318">
        <v>242.79400000000001</v>
      </c>
      <c r="V436" s="315">
        <v>0.3</v>
      </c>
      <c r="W436" s="318">
        <v>1182</v>
      </c>
      <c r="X436" s="315">
        <v>0</v>
      </c>
      <c r="Y436" s="315" t="s">
        <v>1149</v>
      </c>
      <c r="Z436" s="315">
        <v>0</v>
      </c>
      <c r="AA436" s="315" t="s">
        <v>1190</v>
      </c>
      <c r="AB436" s="315">
        <v>3.8342301334195007E-2</v>
      </c>
      <c r="AC436" s="315">
        <v>863.08</v>
      </c>
      <c r="AD436" s="315">
        <v>863.08</v>
      </c>
      <c r="AE436" s="315">
        <v>0.43</v>
      </c>
      <c r="AF436" s="315">
        <v>1.085</v>
      </c>
      <c r="AG436" s="315">
        <v>8.5</v>
      </c>
      <c r="AH436" s="315">
        <v>112</v>
      </c>
    </row>
    <row r="437" spans="1:34">
      <c r="A437" s="315" t="s">
        <v>1161</v>
      </c>
      <c r="B437" s="315" t="s">
        <v>663</v>
      </c>
      <c r="C437" s="316" t="s">
        <v>1800</v>
      </c>
      <c r="D437" s="316" t="s">
        <v>1800</v>
      </c>
      <c r="E437" s="317">
        <v>4.1116870914237342</v>
      </c>
      <c r="F437" s="317">
        <v>0</v>
      </c>
      <c r="G437" s="317">
        <v>0</v>
      </c>
      <c r="H437" s="317">
        <v>0</v>
      </c>
      <c r="I437" s="318">
        <v>0</v>
      </c>
      <c r="J437" s="318">
        <v>85.821314385994995</v>
      </c>
      <c r="K437" s="319">
        <v>19.800305786204401</v>
      </c>
      <c r="L437" s="319">
        <v>19.800305786204401</v>
      </c>
      <c r="M437" s="319">
        <f t="shared" si="6"/>
        <v>19.800305786204401</v>
      </c>
      <c r="N437" s="317">
        <v>0.81412661707379308</v>
      </c>
      <c r="O437" s="315" t="s">
        <v>1168</v>
      </c>
      <c r="P437" s="318">
        <v>148</v>
      </c>
      <c r="R437" s="320">
        <v>64.444444444444443</v>
      </c>
      <c r="S437" s="318">
        <v>20</v>
      </c>
      <c r="T437" s="318">
        <v>30.9</v>
      </c>
      <c r="U437" s="318">
        <v>92</v>
      </c>
      <c r="V437" s="315">
        <v>0.27500000000000002</v>
      </c>
      <c r="W437" s="318">
        <v>1058</v>
      </c>
      <c r="X437" s="315">
        <v>0</v>
      </c>
      <c r="Y437" s="315" t="s">
        <v>1149</v>
      </c>
      <c r="Z437" s="315">
        <v>0</v>
      </c>
      <c r="AA437" s="315" t="s">
        <v>1150</v>
      </c>
      <c r="AB437" s="315">
        <v>0</v>
      </c>
      <c r="AC437" s="315">
        <v>880</v>
      </c>
      <c r="AD437" s="315">
        <v>880</v>
      </c>
      <c r="AE437" s="315">
        <v>0.29499999999999998</v>
      </c>
      <c r="AF437" s="315">
        <v>1.1000000000000001</v>
      </c>
      <c r="AG437" s="315">
        <v>10</v>
      </c>
      <c r="AH437" s="315">
        <v>115</v>
      </c>
    </row>
    <row r="438" spans="1:34">
      <c r="A438" s="315" t="s">
        <v>1161</v>
      </c>
      <c r="B438" s="315" t="s">
        <v>663</v>
      </c>
      <c r="C438" s="316" t="s">
        <v>1801</v>
      </c>
      <c r="D438" s="316" t="s">
        <v>1801</v>
      </c>
      <c r="E438" s="317">
        <v>5.7078813433779816</v>
      </c>
      <c r="F438" s="317">
        <v>0</v>
      </c>
      <c r="G438" s="317">
        <v>0</v>
      </c>
      <c r="H438" s="317">
        <v>2.3620000000000001</v>
      </c>
      <c r="I438" s="318">
        <v>41.381378797235904</v>
      </c>
      <c r="J438" s="318">
        <v>77.565989818347205</v>
      </c>
      <c r="K438" s="319">
        <v>27.439064391196201</v>
      </c>
      <c r="L438" s="319">
        <v>-13.942314406039703</v>
      </c>
      <c r="M438" s="319">
        <f t="shared" si="6"/>
        <v>0</v>
      </c>
      <c r="N438" s="317">
        <v>0</v>
      </c>
      <c r="O438" s="315" t="s">
        <v>1168</v>
      </c>
      <c r="P438" s="318">
        <v>149</v>
      </c>
      <c r="R438" s="320">
        <v>65</v>
      </c>
      <c r="S438" s="318">
        <v>19</v>
      </c>
      <c r="T438" s="318">
        <v>47.38</v>
      </c>
      <c r="U438" s="318">
        <v>92</v>
      </c>
      <c r="V438" s="315">
        <v>0.33</v>
      </c>
      <c r="W438" s="318">
        <v>899.23</v>
      </c>
      <c r="X438" s="315">
        <v>0</v>
      </c>
      <c r="Y438" s="315" t="s">
        <v>1149</v>
      </c>
      <c r="Z438" s="315">
        <v>0</v>
      </c>
      <c r="AA438" s="315" t="s">
        <v>1150</v>
      </c>
      <c r="AB438" s="315">
        <v>0</v>
      </c>
      <c r="AC438" s="315">
        <v>900</v>
      </c>
      <c r="AD438" s="315">
        <v>878</v>
      </c>
      <c r="AE438" s="315">
        <v>0.57000000000000006</v>
      </c>
      <c r="AF438" s="315">
        <v>1.1000000000000001</v>
      </c>
      <c r="AG438" s="315">
        <v>10</v>
      </c>
      <c r="AH438" s="315">
        <v>120</v>
      </c>
    </row>
    <row r="439" spans="1:34">
      <c r="A439" s="315" t="s">
        <v>1161</v>
      </c>
      <c r="B439" s="315" t="s">
        <v>663</v>
      </c>
      <c r="C439" s="316" t="s">
        <v>1802</v>
      </c>
      <c r="D439" s="316" t="s">
        <v>1802</v>
      </c>
      <c r="E439" s="317">
        <v>17.461560762302888</v>
      </c>
      <c r="F439" s="317">
        <v>7.3872251999999996</v>
      </c>
      <c r="G439" s="317">
        <v>7.4090276999999993</v>
      </c>
      <c r="H439" s="317">
        <v>7.4090276999999993</v>
      </c>
      <c r="I439" s="318">
        <v>42.430500920599677</v>
      </c>
      <c r="J439" s="318">
        <v>60.714314965283101</v>
      </c>
      <c r="K439" s="319">
        <v>40.787028914298702</v>
      </c>
      <c r="L439" s="319">
        <v>-1.6434720063009749</v>
      </c>
      <c r="M439" s="319">
        <f t="shared" si="6"/>
        <v>0</v>
      </c>
      <c r="N439" s="317">
        <v>0</v>
      </c>
      <c r="O439" s="315" t="s">
        <v>1148</v>
      </c>
      <c r="P439" s="318">
        <v>150.0461</v>
      </c>
      <c r="R439" s="320">
        <v>65.581166666666661</v>
      </c>
      <c r="S439" s="318">
        <v>20</v>
      </c>
      <c r="T439" s="318">
        <v>12</v>
      </c>
      <c r="U439" s="318">
        <v>92</v>
      </c>
      <c r="V439" s="315">
        <v>0.213002</v>
      </c>
      <c r="W439" s="318">
        <v>533.98450000000003</v>
      </c>
      <c r="X439" s="315">
        <v>2</v>
      </c>
      <c r="Y439" s="315" t="s">
        <v>1149</v>
      </c>
      <c r="Z439" s="315">
        <v>0</v>
      </c>
      <c r="AA439" s="315" t="s">
        <v>1150</v>
      </c>
      <c r="AB439" s="315">
        <v>0</v>
      </c>
      <c r="AC439" s="315">
        <v>950</v>
      </c>
      <c r="AD439" s="315">
        <v>950</v>
      </c>
      <c r="AE439" s="315">
        <v>0.7</v>
      </c>
      <c r="AF439" s="315">
        <v>1.05</v>
      </c>
      <c r="AG439" s="315">
        <v>5</v>
      </c>
      <c r="AH439" s="315">
        <v>123</v>
      </c>
    </row>
    <row r="440" spans="1:34">
      <c r="A440" s="315" t="s">
        <v>1145</v>
      </c>
      <c r="B440" s="315" t="s">
        <v>663</v>
      </c>
      <c r="C440" s="316" t="s">
        <v>1803</v>
      </c>
      <c r="D440" s="316" t="s">
        <v>1804</v>
      </c>
      <c r="E440" s="317">
        <v>21.941702688802728</v>
      </c>
      <c r="F440" s="317">
        <v>2.1570000000000001E-4</v>
      </c>
      <c r="G440" s="317">
        <v>2.1570000000000001E-4</v>
      </c>
      <c r="H440" s="317">
        <v>3.8092157000000002</v>
      </c>
      <c r="I440" s="318">
        <v>17.360620340298002</v>
      </c>
      <c r="J440" s="318">
        <v>71.608492125445494</v>
      </c>
      <c r="K440" s="319">
        <v>30.531545443573801</v>
      </c>
      <c r="L440" s="319">
        <v>13.170925103275801</v>
      </c>
      <c r="M440" s="319">
        <f t="shared" si="6"/>
        <v>13.170925103275801</v>
      </c>
      <c r="N440" s="317">
        <v>2.8899252275256591</v>
      </c>
      <c r="O440" s="315" t="s">
        <v>1148</v>
      </c>
      <c r="P440" s="318">
        <v>151</v>
      </c>
      <c r="R440" s="320">
        <v>66.111111111111114</v>
      </c>
      <c r="S440" s="318">
        <v>18</v>
      </c>
      <c r="T440" s="318">
        <v>73.97</v>
      </c>
      <c r="U440" s="318">
        <v>167</v>
      </c>
      <c r="V440" s="315">
        <v>0.3</v>
      </c>
      <c r="W440" s="318">
        <v>5300</v>
      </c>
      <c r="X440" s="315">
        <v>0</v>
      </c>
      <c r="Y440" s="315" t="s">
        <v>1149</v>
      </c>
      <c r="Z440" s="315">
        <v>0</v>
      </c>
      <c r="AA440" s="315" t="s">
        <v>1150</v>
      </c>
      <c r="AB440" s="315">
        <v>0</v>
      </c>
      <c r="AC440" s="315">
        <v>868</v>
      </c>
      <c r="AD440" s="315">
        <v>868</v>
      </c>
      <c r="AE440" s="315">
        <v>0.6</v>
      </c>
      <c r="AF440" s="315">
        <v>1.1000000000000001</v>
      </c>
      <c r="AG440" s="315">
        <v>10</v>
      </c>
      <c r="AH440" s="315">
        <v>114</v>
      </c>
    </row>
    <row r="441" spans="1:34">
      <c r="A441" s="315" t="s">
        <v>1145</v>
      </c>
      <c r="B441" s="315" t="s">
        <v>663</v>
      </c>
      <c r="C441" s="316" t="s">
        <v>1805</v>
      </c>
      <c r="D441" s="316" t="s">
        <v>1805</v>
      </c>
      <c r="E441" s="317">
        <v>3.0318249886231934</v>
      </c>
      <c r="F441" s="317">
        <v>0</v>
      </c>
      <c r="G441" s="317">
        <v>0</v>
      </c>
      <c r="H441" s="317">
        <v>1.4630000000000001</v>
      </c>
      <c r="I441" s="318">
        <v>48.254764225832666</v>
      </c>
      <c r="J441" s="318">
        <v>65.605756178816307</v>
      </c>
      <c r="K441" s="319">
        <v>32.8364220154862</v>
      </c>
      <c r="L441" s="319">
        <v>-15.418342210346466</v>
      </c>
      <c r="M441" s="319">
        <f t="shared" si="6"/>
        <v>0</v>
      </c>
      <c r="N441" s="317">
        <v>0</v>
      </c>
      <c r="O441" s="315" t="s">
        <v>1168</v>
      </c>
      <c r="P441" s="318">
        <v>151</v>
      </c>
      <c r="R441" s="320">
        <v>66.111111111111114</v>
      </c>
      <c r="S441" s="318">
        <v>21</v>
      </c>
      <c r="T441" s="318">
        <v>41.33</v>
      </c>
      <c r="U441" s="318">
        <v>236</v>
      </c>
      <c r="V441" s="315">
        <v>0.36</v>
      </c>
      <c r="W441" s="318">
        <v>3000</v>
      </c>
      <c r="X441" s="315">
        <v>0</v>
      </c>
      <c r="Y441" s="315" t="s">
        <v>1149</v>
      </c>
      <c r="Z441" s="315">
        <v>0</v>
      </c>
      <c r="AA441" s="315" t="s">
        <v>1150</v>
      </c>
      <c r="AB441" s="315">
        <v>0</v>
      </c>
      <c r="AC441" s="315">
        <v>769</v>
      </c>
      <c r="AD441" s="315">
        <v>770</v>
      </c>
      <c r="AE441" s="315">
        <v>0.86</v>
      </c>
      <c r="AF441" s="315">
        <v>1.1000000000000001</v>
      </c>
      <c r="AG441" s="315">
        <v>10</v>
      </c>
      <c r="AH441" s="315">
        <v>100</v>
      </c>
    </row>
    <row r="442" spans="1:34">
      <c r="A442" s="315" t="s">
        <v>1806</v>
      </c>
      <c r="B442" s="315" t="s">
        <v>663</v>
      </c>
      <c r="C442" s="316" t="s">
        <v>1807</v>
      </c>
      <c r="D442" s="316" t="s">
        <v>1807</v>
      </c>
      <c r="E442" s="317">
        <v>5.6528281381370347</v>
      </c>
      <c r="F442" s="317">
        <v>0</v>
      </c>
      <c r="G442" s="317">
        <v>0</v>
      </c>
      <c r="H442" s="317">
        <v>0</v>
      </c>
      <c r="I442" s="318">
        <v>0</v>
      </c>
      <c r="J442" s="318">
        <v>89.124795550823407</v>
      </c>
      <c r="K442" s="319">
        <v>17.680781432421398</v>
      </c>
      <c r="L442" s="319">
        <v>17.680781432421398</v>
      </c>
      <c r="M442" s="319">
        <f t="shared" si="6"/>
        <v>17.680781432421398</v>
      </c>
      <c r="N442" s="317">
        <v>0.99946418785442492</v>
      </c>
      <c r="O442" s="315" t="s">
        <v>1168</v>
      </c>
      <c r="P442" s="318">
        <v>152</v>
      </c>
      <c r="R442" s="320">
        <v>66.666666666666671</v>
      </c>
      <c r="S442" s="318">
        <v>19</v>
      </c>
      <c r="T442" s="318">
        <v>36.69</v>
      </c>
      <c r="U442" s="318">
        <v>220</v>
      </c>
      <c r="V442" s="315">
        <v>0.25</v>
      </c>
      <c r="W442" s="318">
        <v>25.99</v>
      </c>
      <c r="X442" s="315">
        <v>0</v>
      </c>
      <c r="Y442" s="315" t="s">
        <v>1149</v>
      </c>
      <c r="Z442" s="315">
        <v>0</v>
      </c>
      <c r="AA442" s="315" t="s">
        <v>1150</v>
      </c>
      <c r="AB442" s="315">
        <v>0</v>
      </c>
      <c r="AC442" s="315">
        <v>960</v>
      </c>
      <c r="AD442" s="315">
        <v>878</v>
      </c>
      <c r="AE442" s="315">
        <v>0.36</v>
      </c>
      <c r="AF442" s="315">
        <v>1.1000000000000001</v>
      </c>
      <c r="AG442" s="315">
        <v>10</v>
      </c>
      <c r="AH442" s="315">
        <v>120</v>
      </c>
    </row>
    <row r="443" spans="1:34">
      <c r="A443" s="315" t="s">
        <v>1808</v>
      </c>
      <c r="B443" s="315" t="s">
        <v>663</v>
      </c>
      <c r="C443" s="316" t="s">
        <v>1809</v>
      </c>
      <c r="D443" s="316" t="s">
        <v>1809</v>
      </c>
      <c r="E443" s="317">
        <v>2.5400002418025394</v>
      </c>
      <c r="F443" s="317">
        <v>1.1114355</v>
      </c>
      <c r="G443" s="317">
        <v>1.1214168</v>
      </c>
      <c r="H443" s="317">
        <v>1.1214168</v>
      </c>
      <c r="I443" s="318">
        <v>44.15026351352526</v>
      </c>
      <c r="J443" s="318">
        <v>67.742093944533195</v>
      </c>
      <c r="K443" s="319">
        <v>34.837344665638895</v>
      </c>
      <c r="L443" s="319">
        <v>-9.3129188478863654</v>
      </c>
      <c r="M443" s="319">
        <f t="shared" si="6"/>
        <v>0</v>
      </c>
      <c r="N443" s="317">
        <v>0</v>
      </c>
      <c r="O443" s="315" t="s">
        <v>1148</v>
      </c>
      <c r="P443" s="318">
        <v>155</v>
      </c>
      <c r="R443" s="320">
        <v>68.333333333333329</v>
      </c>
      <c r="S443" s="318">
        <v>41</v>
      </c>
      <c r="T443" s="318">
        <v>39.869999999999997</v>
      </c>
      <c r="U443" s="318">
        <v>216.54600000000002</v>
      </c>
      <c r="V443" s="315">
        <v>0.24</v>
      </c>
      <c r="W443" s="318">
        <v>172.85</v>
      </c>
      <c r="X443" s="315">
        <v>1</v>
      </c>
      <c r="Y443" s="315" t="s">
        <v>1149</v>
      </c>
      <c r="Z443" s="315">
        <v>0</v>
      </c>
      <c r="AA443" s="315" t="s">
        <v>1190</v>
      </c>
      <c r="AB443" s="315">
        <v>0</v>
      </c>
      <c r="AC443" s="315">
        <v>1200</v>
      </c>
      <c r="AD443" s="315">
        <v>1023</v>
      </c>
      <c r="AE443" s="315">
        <v>0.46</v>
      </c>
      <c r="AF443" s="315">
        <v>1.21</v>
      </c>
      <c r="AG443" s="315">
        <v>0.75</v>
      </c>
      <c r="AH443" s="315">
        <v>333</v>
      </c>
    </row>
    <row r="444" spans="1:34">
      <c r="A444" s="315" t="s">
        <v>1145</v>
      </c>
      <c r="B444" s="315" t="s">
        <v>663</v>
      </c>
      <c r="C444" s="316" t="s">
        <v>1810</v>
      </c>
      <c r="D444" s="316" t="s">
        <v>1810</v>
      </c>
      <c r="E444" s="317">
        <v>2.9123075772453939</v>
      </c>
      <c r="F444" s="317">
        <v>0</v>
      </c>
      <c r="G444" s="317">
        <v>0</v>
      </c>
      <c r="H444" s="317">
        <v>0</v>
      </c>
      <c r="I444" s="318">
        <v>0</v>
      </c>
      <c r="J444" s="318">
        <v>82.721316170854706</v>
      </c>
      <c r="K444" s="319">
        <v>22.003884606901799</v>
      </c>
      <c r="L444" s="319">
        <v>22.003884606901799</v>
      </c>
      <c r="M444" s="319">
        <f t="shared" si="6"/>
        <v>22.003884606901799</v>
      </c>
      <c r="N444" s="317">
        <v>0.64082079869513398</v>
      </c>
      <c r="O444" s="315" t="s">
        <v>1168</v>
      </c>
      <c r="P444" s="318">
        <v>156</v>
      </c>
      <c r="R444" s="320">
        <v>68.888888888888886</v>
      </c>
      <c r="S444" s="318">
        <v>41</v>
      </c>
      <c r="T444" s="318">
        <v>68.59</v>
      </c>
      <c r="U444" s="318">
        <v>46</v>
      </c>
      <c r="V444" s="315">
        <v>0.28999999999999998</v>
      </c>
      <c r="W444" s="318">
        <v>10</v>
      </c>
      <c r="X444" s="315">
        <v>0</v>
      </c>
      <c r="Y444" s="315" t="s">
        <v>1149</v>
      </c>
      <c r="Z444" s="315">
        <v>0</v>
      </c>
      <c r="AA444" s="315" t="s">
        <v>1150</v>
      </c>
      <c r="AB444" s="315">
        <v>0</v>
      </c>
      <c r="AC444" s="315">
        <v>1080</v>
      </c>
      <c r="AD444" s="315">
        <v>1080</v>
      </c>
      <c r="AE444" s="315">
        <v>0.41</v>
      </c>
      <c r="AF444" s="315">
        <v>1.2</v>
      </c>
      <c r="AG444" s="315">
        <v>0.8</v>
      </c>
      <c r="AH444" s="315">
        <v>300</v>
      </c>
    </row>
    <row r="445" spans="1:34">
      <c r="A445" s="315" t="s">
        <v>1145</v>
      </c>
      <c r="B445" s="315" t="s">
        <v>663</v>
      </c>
      <c r="C445" s="316" t="s">
        <v>1811</v>
      </c>
      <c r="D445" s="316" t="s">
        <v>1812</v>
      </c>
      <c r="E445" s="317">
        <v>3.0000002855935506</v>
      </c>
      <c r="F445" s="317">
        <v>0.41198990000000002</v>
      </c>
      <c r="G445" s="317">
        <v>0.41587150000000001</v>
      </c>
      <c r="H445" s="317">
        <v>0.41587150000000001</v>
      </c>
      <c r="I445" s="318">
        <v>13.862382013664368</v>
      </c>
      <c r="J445" s="318">
        <v>69.563933099273399</v>
      </c>
      <c r="K445" s="319">
        <v>34.264061676006904</v>
      </c>
      <c r="L445" s="319">
        <v>20.401679662342538</v>
      </c>
      <c r="M445" s="319">
        <f t="shared" si="6"/>
        <v>20.401679662342538</v>
      </c>
      <c r="N445" s="317">
        <v>0.61205044813615739</v>
      </c>
      <c r="O445" s="315" t="s">
        <v>1148</v>
      </c>
      <c r="P445" s="318">
        <v>156.8642633</v>
      </c>
      <c r="R445" s="320">
        <v>69.369035166666663</v>
      </c>
      <c r="S445" s="318">
        <v>40</v>
      </c>
      <c r="T445" s="318">
        <v>48.44</v>
      </c>
      <c r="U445" s="318">
        <v>275.60399999999998</v>
      </c>
      <c r="V445" s="315">
        <v>0.27</v>
      </c>
      <c r="W445" s="318">
        <v>187.8</v>
      </c>
      <c r="X445" s="315">
        <v>1</v>
      </c>
      <c r="Y445" s="315" t="s">
        <v>1149</v>
      </c>
      <c r="Z445" s="315">
        <v>0</v>
      </c>
      <c r="AA445" s="315" t="s">
        <v>1190</v>
      </c>
      <c r="AB445" s="315">
        <v>0</v>
      </c>
      <c r="AC445" s="315">
        <v>1039.791553</v>
      </c>
      <c r="AD445" s="315">
        <v>1000</v>
      </c>
      <c r="AE445" s="315">
        <v>0.44</v>
      </c>
      <c r="AF445" s="315">
        <v>1.1599999999999999</v>
      </c>
      <c r="AG445" s="315">
        <v>0.85</v>
      </c>
      <c r="AH445" s="315">
        <v>270</v>
      </c>
    </row>
    <row r="446" spans="1:34">
      <c r="A446" s="315" t="s">
        <v>1813</v>
      </c>
      <c r="B446" s="315" t="s">
        <v>663</v>
      </c>
      <c r="C446" s="316" t="s">
        <v>1814</v>
      </c>
      <c r="D446" s="316" t="s">
        <v>1814</v>
      </c>
      <c r="E446" s="317">
        <v>6.1792221882486125</v>
      </c>
      <c r="F446" s="317">
        <v>0</v>
      </c>
      <c r="G446" s="317">
        <v>0</v>
      </c>
      <c r="H446" s="317">
        <v>0</v>
      </c>
      <c r="I446" s="318">
        <v>0</v>
      </c>
      <c r="J446" s="318">
        <v>71.885766255578105</v>
      </c>
      <c r="K446" s="319">
        <v>30.940052264963104</v>
      </c>
      <c r="L446" s="319">
        <v>30.940052264963104</v>
      </c>
      <c r="M446" s="319">
        <f t="shared" si="6"/>
        <v>30.940052264963104</v>
      </c>
      <c r="N446" s="317">
        <v>1.9118545746123174</v>
      </c>
      <c r="O446" s="315" t="s">
        <v>1168</v>
      </c>
      <c r="P446" s="318">
        <v>158</v>
      </c>
      <c r="R446" s="320">
        <v>70</v>
      </c>
      <c r="S446" s="318">
        <v>32</v>
      </c>
      <c r="T446" s="318">
        <v>31.82</v>
      </c>
      <c r="U446" s="318">
        <v>102</v>
      </c>
      <c r="V446" s="315">
        <v>0.3</v>
      </c>
      <c r="W446" s="318">
        <v>3000</v>
      </c>
      <c r="X446" s="315">
        <v>0</v>
      </c>
      <c r="Y446" s="315" t="s">
        <v>1149</v>
      </c>
      <c r="Z446" s="315">
        <v>0</v>
      </c>
      <c r="AA446" s="315" t="s">
        <v>1150</v>
      </c>
      <c r="AB446" s="315">
        <v>0</v>
      </c>
      <c r="AC446" s="315">
        <v>1150</v>
      </c>
      <c r="AD446" s="315">
        <v>1050</v>
      </c>
      <c r="AE446" s="315">
        <v>0.44999999999999996</v>
      </c>
      <c r="AF446" s="315">
        <v>1.1000000000000001</v>
      </c>
      <c r="AG446" s="315">
        <v>2</v>
      </c>
      <c r="AH446" s="315">
        <v>210</v>
      </c>
    </row>
    <row r="447" spans="1:34">
      <c r="A447" s="315" t="s">
        <v>1145</v>
      </c>
      <c r="B447" s="315" t="s">
        <v>663</v>
      </c>
      <c r="C447" s="316" t="s">
        <v>1815</v>
      </c>
      <c r="D447" s="316" t="s">
        <v>1815</v>
      </c>
      <c r="E447" s="317">
        <v>10.15000096625818</v>
      </c>
      <c r="F447" s="317">
        <v>3.3714759000000001</v>
      </c>
      <c r="G447" s="317">
        <v>3.4917910999999999</v>
      </c>
      <c r="H447" s="317">
        <v>3.4917910999999999</v>
      </c>
      <c r="I447" s="318">
        <v>34.401879483635717</v>
      </c>
      <c r="J447" s="318">
        <v>72.457445698239098</v>
      </c>
      <c r="K447" s="319">
        <v>30.6456557177539</v>
      </c>
      <c r="L447" s="319">
        <v>-3.7562237658818169</v>
      </c>
      <c r="M447" s="319">
        <f t="shared" si="6"/>
        <v>0</v>
      </c>
      <c r="N447" s="317">
        <v>0</v>
      </c>
      <c r="O447" s="315" t="s">
        <v>1148</v>
      </c>
      <c r="P447" s="318">
        <v>158</v>
      </c>
      <c r="R447" s="320">
        <v>70</v>
      </c>
      <c r="S447" s="318">
        <v>41</v>
      </c>
      <c r="T447" s="318">
        <v>36</v>
      </c>
      <c r="U447" s="318">
        <v>577</v>
      </c>
      <c r="V447" s="315">
        <v>0.23</v>
      </c>
      <c r="W447" s="318">
        <v>71</v>
      </c>
      <c r="X447" s="315">
        <v>1</v>
      </c>
      <c r="Y447" s="315" t="s">
        <v>1149</v>
      </c>
      <c r="Z447" s="315">
        <v>0</v>
      </c>
      <c r="AA447" s="315" t="s">
        <v>1190</v>
      </c>
      <c r="AB447" s="315">
        <v>2.9556650246305417E-2</v>
      </c>
      <c r="AC447" s="315">
        <v>1172</v>
      </c>
      <c r="AD447" s="315">
        <v>1171</v>
      </c>
      <c r="AE447" s="315">
        <v>0.44500000000000001</v>
      </c>
      <c r="AF447" s="315">
        <v>1.24</v>
      </c>
      <c r="AG447" s="315">
        <v>1.55</v>
      </c>
      <c r="AH447" s="315">
        <v>383</v>
      </c>
    </row>
    <row r="448" spans="1:34">
      <c r="A448" s="315" t="s">
        <v>1145</v>
      </c>
      <c r="B448" s="315" t="s">
        <v>663</v>
      </c>
      <c r="C448" s="316" t="s">
        <v>1816</v>
      </c>
      <c r="D448" s="316" t="s">
        <v>1816</v>
      </c>
      <c r="E448" s="317">
        <v>3.5746345402974913</v>
      </c>
      <c r="F448" s="317">
        <v>1.3438995</v>
      </c>
      <c r="G448" s="317">
        <v>1.4045198000000001</v>
      </c>
      <c r="H448" s="317">
        <v>1.4045198000000001</v>
      </c>
      <c r="I448" s="318">
        <v>39.291283742900106</v>
      </c>
      <c r="J448" s="318">
        <v>75.794208913175495</v>
      </c>
      <c r="K448" s="319">
        <v>30.013327662470601</v>
      </c>
      <c r="L448" s="319">
        <v>-9.2779560804295045</v>
      </c>
      <c r="M448" s="319">
        <f t="shared" si="6"/>
        <v>0</v>
      </c>
      <c r="N448" s="317">
        <v>0</v>
      </c>
      <c r="O448" s="315" t="s">
        <v>1148</v>
      </c>
      <c r="P448" s="318">
        <v>159</v>
      </c>
      <c r="R448" s="320">
        <v>70.555555555555557</v>
      </c>
      <c r="S448" s="318">
        <v>20</v>
      </c>
      <c r="T448" s="318">
        <v>42.898000000000003</v>
      </c>
      <c r="U448" s="318">
        <v>183.73600000000002</v>
      </c>
      <c r="V448" s="315">
        <v>0.28000000000000003</v>
      </c>
      <c r="W448" s="318">
        <v>3783</v>
      </c>
      <c r="X448" s="315">
        <v>0</v>
      </c>
      <c r="Y448" s="315" t="s">
        <v>1149</v>
      </c>
      <c r="Z448" s="315">
        <v>0</v>
      </c>
      <c r="AA448" s="315" t="s">
        <v>1190</v>
      </c>
      <c r="AB448" s="315">
        <v>0.4564717575325376</v>
      </c>
      <c r="AC448" s="315">
        <v>1075</v>
      </c>
      <c r="AD448" s="315">
        <v>1075</v>
      </c>
      <c r="AE448" s="315">
        <v>0.47</v>
      </c>
      <c r="AF448" s="315">
        <v>1.1057900000000001</v>
      </c>
      <c r="AG448" s="315">
        <v>5.0829000000000004</v>
      </c>
      <c r="AH448" s="315">
        <v>144</v>
      </c>
    </row>
    <row r="449" spans="1:34">
      <c r="A449" s="315" t="s">
        <v>1817</v>
      </c>
      <c r="B449" s="315" t="s">
        <v>663</v>
      </c>
      <c r="C449" s="316" t="s">
        <v>1818</v>
      </c>
      <c r="D449" s="316" t="s">
        <v>1818</v>
      </c>
      <c r="E449" s="317">
        <v>6.2248980925968596</v>
      </c>
      <c r="F449" s="317">
        <v>0</v>
      </c>
      <c r="G449" s="317">
        <v>0</v>
      </c>
      <c r="H449" s="317">
        <v>0</v>
      </c>
      <c r="I449" s="318">
        <v>0</v>
      </c>
      <c r="J449" s="318">
        <v>87.120999271425305</v>
      </c>
      <c r="K449" s="319">
        <v>19.2628024514086</v>
      </c>
      <c r="L449" s="319">
        <v>19.2628024514086</v>
      </c>
      <c r="M449" s="319">
        <f t="shared" si="6"/>
        <v>19.2628024514086</v>
      </c>
      <c r="N449" s="317">
        <v>1.199089822378435</v>
      </c>
      <c r="O449" s="315" t="s">
        <v>1168</v>
      </c>
      <c r="P449" s="318">
        <v>159</v>
      </c>
      <c r="R449" s="320">
        <v>70.555555555555557</v>
      </c>
      <c r="S449" s="318">
        <v>42</v>
      </c>
      <c r="T449" s="318">
        <v>32.72</v>
      </c>
      <c r="U449" s="318">
        <v>141</v>
      </c>
      <c r="V449" s="315">
        <v>0.12</v>
      </c>
      <c r="W449" s="318">
        <v>6.79</v>
      </c>
      <c r="X449" s="315">
        <v>0</v>
      </c>
      <c r="Y449" s="315" t="s">
        <v>1149</v>
      </c>
      <c r="Z449" s="315">
        <v>0</v>
      </c>
      <c r="AA449" s="315" t="s">
        <v>1150</v>
      </c>
      <c r="AB449" s="315">
        <v>0</v>
      </c>
      <c r="AC449" s="315">
        <v>1250</v>
      </c>
      <c r="AD449" s="315">
        <v>1100</v>
      </c>
      <c r="AE449" s="315">
        <v>0.33</v>
      </c>
      <c r="AF449" s="315">
        <v>1.2</v>
      </c>
      <c r="AG449" s="315">
        <v>0.7</v>
      </c>
      <c r="AH449" s="315">
        <v>315</v>
      </c>
    </row>
    <row r="450" spans="1:34">
      <c r="A450" s="315" t="s">
        <v>1145</v>
      </c>
      <c r="B450" s="315" t="s">
        <v>663</v>
      </c>
      <c r="C450" s="316" t="s">
        <v>1819</v>
      </c>
      <c r="D450" s="316" t="s">
        <v>1819</v>
      </c>
      <c r="E450" s="317">
        <v>2.5600002437064964</v>
      </c>
      <c r="F450" s="317">
        <v>0</v>
      </c>
      <c r="G450" s="317">
        <v>0</v>
      </c>
      <c r="H450" s="317">
        <v>0</v>
      </c>
      <c r="I450" s="318">
        <v>0</v>
      </c>
      <c r="J450" s="318">
        <v>85.160942742168899</v>
      </c>
      <c r="K450" s="319">
        <v>23.186395316304601</v>
      </c>
      <c r="L450" s="319">
        <v>23.186395316304601</v>
      </c>
      <c r="M450" s="319">
        <f t="shared" ref="M450:M513" si="7">IF(L450&lt;0,0,L450)</f>
        <v>23.186395316304601</v>
      </c>
      <c r="N450" s="317">
        <v>0.59357177660414939</v>
      </c>
      <c r="O450" s="315" t="s">
        <v>1168</v>
      </c>
      <c r="P450" s="318">
        <v>159</v>
      </c>
      <c r="R450" s="320">
        <v>70.555555555555557</v>
      </c>
      <c r="S450" s="318">
        <v>42</v>
      </c>
      <c r="T450" s="318">
        <v>35.36</v>
      </c>
      <c r="U450" s="318">
        <v>295</v>
      </c>
      <c r="V450" s="315">
        <v>0.22</v>
      </c>
      <c r="W450" s="318">
        <v>123</v>
      </c>
      <c r="X450" s="315">
        <v>0</v>
      </c>
      <c r="Y450" s="315" t="s">
        <v>1149</v>
      </c>
      <c r="Z450" s="315">
        <v>0</v>
      </c>
      <c r="AA450" s="315" t="s">
        <v>1150</v>
      </c>
      <c r="AB450" s="315">
        <v>0</v>
      </c>
      <c r="AC450" s="315">
        <v>1400</v>
      </c>
      <c r="AD450" s="315">
        <v>1200</v>
      </c>
      <c r="AE450" s="315">
        <v>0.38</v>
      </c>
      <c r="AF450" s="315">
        <v>1.2</v>
      </c>
      <c r="AG450" s="315">
        <v>0.7</v>
      </c>
      <c r="AH450" s="315">
        <v>350</v>
      </c>
    </row>
    <row r="451" spans="1:34">
      <c r="A451" s="315" t="s">
        <v>1145</v>
      </c>
      <c r="B451" s="315" t="s">
        <v>663</v>
      </c>
      <c r="C451" s="316" t="s">
        <v>1820</v>
      </c>
      <c r="D451" s="316" t="s">
        <v>1820</v>
      </c>
      <c r="E451" s="317">
        <v>13.677313202050689</v>
      </c>
      <c r="F451" s="317">
        <v>0</v>
      </c>
      <c r="G451" s="317">
        <v>0</v>
      </c>
      <c r="H451" s="317">
        <v>0</v>
      </c>
      <c r="I451" s="318">
        <v>0</v>
      </c>
      <c r="J451" s="318">
        <v>75.731881713055898</v>
      </c>
      <c r="K451" s="319">
        <v>24.7530201099561</v>
      </c>
      <c r="L451" s="319">
        <v>24.7530201099561</v>
      </c>
      <c r="M451" s="319">
        <f t="shared" si="7"/>
        <v>24.7530201099561</v>
      </c>
      <c r="N451" s="317">
        <v>3.3855480874052875</v>
      </c>
      <c r="O451" s="315" t="s">
        <v>1168</v>
      </c>
      <c r="P451" s="318">
        <v>160</v>
      </c>
      <c r="R451" s="320">
        <v>71.111111111111114</v>
      </c>
      <c r="S451" s="318">
        <v>19</v>
      </c>
      <c r="T451" s="318">
        <v>23.21</v>
      </c>
      <c r="U451" s="318">
        <v>184</v>
      </c>
      <c r="V451" s="315">
        <v>0.26500000000000001</v>
      </c>
      <c r="W451" s="318">
        <v>21</v>
      </c>
      <c r="X451" s="315">
        <v>0</v>
      </c>
      <c r="Y451" s="315" t="s">
        <v>1149</v>
      </c>
      <c r="Z451" s="315">
        <v>0</v>
      </c>
      <c r="AA451" s="315" t="s">
        <v>1150</v>
      </c>
      <c r="AB451" s="315">
        <v>0</v>
      </c>
      <c r="AC451" s="315">
        <v>1085</v>
      </c>
      <c r="AD451" s="315">
        <v>1065</v>
      </c>
      <c r="AE451" s="315">
        <v>0.56000000000000005</v>
      </c>
      <c r="AF451" s="315">
        <v>1.1200000000000001</v>
      </c>
      <c r="AG451" s="315">
        <v>10</v>
      </c>
      <c r="AH451" s="315">
        <v>123</v>
      </c>
    </row>
    <row r="452" spans="1:34">
      <c r="A452" s="315" t="s">
        <v>1145</v>
      </c>
      <c r="B452" s="315" t="s">
        <v>663</v>
      </c>
      <c r="C452" s="316" t="s">
        <v>1821</v>
      </c>
      <c r="D452" s="316" t="s">
        <v>1821</v>
      </c>
      <c r="E452" s="317">
        <v>5.53</v>
      </c>
      <c r="F452" s="317">
        <v>0</v>
      </c>
      <c r="G452" s="317">
        <v>0</v>
      </c>
      <c r="H452" s="317">
        <v>0</v>
      </c>
      <c r="I452" s="318">
        <v>0</v>
      </c>
      <c r="J452" s="318">
        <v>86.226643327923696</v>
      </c>
      <c r="K452" s="319">
        <v>19.796015724732101</v>
      </c>
      <c r="L452" s="319">
        <v>19.796015724732101</v>
      </c>
      <c r="M452" s="319">
        <f t="shared" si="7"/>
        <v>19.796015724732101</v>
      </c>
      <c r="N452" s="317">
        <v>1.0947196695776851</v>
      </c>
      <c r="O452" s="315" t="s">
        <v>1168</v>
      </c>
      <c r="P452" s="318">
        <v>160</v>
      </c>
      <c r="R452" s="320">
        <v>71.111111111111114</v>
      </c>
      <c r="S452" s="318">
        <v>40</v>
      </c>
      <c r="T452" s="318">
        <v>43.76</v>
      </c>
      <c r="U452" s="318">
        <v>1407</v>
      </c>
      <c r="V452" s="315">
        <v>0.26</v>
      </c>
      <c r="W452" s="318">
        <v>18.77</v>
      </c>
      <c r="X452" s="315">
        <v>0</v>
      </c>
      <c r="Y452" s="315" t="s">
        <v>1149</v>
      </c>
      <c r="Z452" s="315">
        <v>0</v>
      </c>
      <c r="AA452" s="315" t="s">
        <v>1150</v>
      </c>
      <c r="AB452" s="315">
        <v>0</v>
      </c>
      <c r="AC452" s="315">
        <v>1420</v>
      </c>
      <c r="AD452" s="315">
        <v>1320</v>
      </c>
      <c r="AE452" s="315">
        <v>0.38</v>
      </c>
      <c r="AF452" s="315">
        <v>1.2</v>
      </c>
      <c r="AG452" s="315">
        <v>0.8</v>
      </c>
      <c r="AH452" s="315">
        <v>365</v>
      </c>
    </row>
    <row r="453" spans="1:34">
      <c r="A453" s="315" t="s">
        <v>1145</v>
      </c>
      <c r="B453" s="315" t="s">
        <v>663</v>
      </c>
      <c r="C453" s="316" t="s">
        <v>1822</v>
      </c>
      <c r="D453" s="316" t="s">
        <v>1822</v>
      </c>
      <c r="E453" s="317">
        <v>16.46</v>
      </c>
      <c r="F453" s="317">
        <v>0</v>
      </c>
      <c r="G453" s="317">
        <v>0</v>
      </c>
      <c r="H453" s="317">
        <v>0</v>
      </c>
      <c r="I453" s="318">
        <v>0</v>
      </c>
      <c r="J453" s="318">
        <v>70.035728522269594</v>
      </c>
      <c r="K453" s="319">
        <v>28.020821043574202</v>
      </c>
      <c r="L453" s="319">
        <v>28.020821043574202</v>
      </c>
      <c r="M453" s="319">
        <f t="shared" si="7"/>
        <v>28.020821043574202</v>
      </c>
      <c r="N453" s="317">
        <v>4.6122271437723139</v>
      </c>
      <c r="O453" s="315" t="s">
        <v>1168</v>
      </c>
      <c r="P453" s="318">
        <v>160</v>
      </c>
      <c r="R453" s="320">
        <v>71.111111111111114</v>
      </c>
      <c r="S453" s="318">
        <v>35</v>
      </c>
      <c r="T453" s="318">
        <v>70</v>
      </c>
      <c r="U453" s="318">
        <v>410</v>
      </c>
      <c r="V453" s="315">
        <v>0.25</v>
      </c>
      <c r="W453" s="318">
        <v>70</v>
      </c>
      <c r="X453" s="315">
        <v>0</v>
      </c>
      <c r="Y453" s="315" t="s">
        <v>1149</v>
      </c>
      <c r="Z453" s="315">
        <v>0</v>
      </c>
      <c r="AA453" s="315" t="s">
        <v>1150</v>
      </c>
      <c r="AB453" s="315">
        <v>0</v>
      </c>
      <c r="AC453" s="315">
        <v>1173</v>
      </c>
      <c r="AD453" s="315">
        <v>1173</v>
      </c>
      <c r="AE453" s="315">
        <v>0.47</v>
      </c>
      <c r="AF453" s="315">
        <v>1.2</v>
      </c>
      <c r="AG453" s="315">
        <v>1.2</v>
      </c>
      <c r="AH453" s="315">
        <v>270</v>
      </c>
    </row>
    <row r="454" spans="1:34">
      <c r="A454" s="315" t="s">
        <v>1806</v>
      </c>
      <c r="B454" s="315" t="s">
        <v>663</v>
      </c>
      <c r="C454" s="316" t="s">
        <v>1823</v>
      </c>
      <c r="D454" s="316" t="s">
        <v>1823</v>
      </c>
      <c r="E454" s="317">
        <v>5.58</v>
      </c>
      <c r="F454" s="317">
        <v>0</v>
      </c>
      <c r="G454" s="317">
        <v>0</v>
      </c>
      <c r="H454" s="317">
        <v>0</v>
      </c>
      <c r="I454" s="318">
        <v>0</v>
      </c>
      <c r="J454" s="318">
        <v>86.574853352280101</v>
      </c>
      <c r="K454" s="319">
        <v>20.080171049589602</v>
      </c>
      <c r="L454" s="319">
        <v>20.080171049589602</v>
      </c>
      <c r="M454" s="319">
        <f t="shared" si="7"/>
        <v>20.080171049589602</v>
      </c>
      <c r="N454" s="317">
        <v>1.1204735445670997</v>
      </c>
      <c r="O454" s="315" t="s">
        <v>1168</v>
      </c>
      <c r="P454" s="318">
        <v>160.22745234999999</v>
      </c>
      <c r="R454" s="320">
        <v>71.23747352777778</v>
      </c>
      <c r="S454" s="318">
        <v>32</v>
      </c>
      <c r="T454" s="318">
        <v>43</v>
      </c>
      <c r="U454" s="318">
        <v>331.38100000000003</v>
      </c>
      <c r="V454" s="315">
        <v>0.16800000000000001</v>
      </c>
      <c r="W454" s="318">
        <v>6.23</v>
      </c>
      <c r="X454" s="315">
        <v>0</v>
      </c>
      <c r="Y454" s="315" t="s">
        <v>1149</v>
      </c>
      <c r="Z454" s="315">
        <v>0</v>
      </c>
      <c r="AA454" s="315" t="s">
        <v>1190</v>
      </c>
      <c r="AB454" s="315">
        <v>0</v>
      </c>
      <c r="AC454" s="315">
        <v>1134.389345</v>
      </c>
      <c r="AD454" s="315">
        <v>1100</v>
      </c>
      <c r="AE454" s="315">
        <v>0.43</v>
      </c>
      <c r="AF454" s="315">
        <v>1.1499999999999999</v>
      </c>
      <c r="AG454" s="315">
        <v>2</v>
      </c>
      <c r="AH454" s="315">
        <v>230</v>
      </c>
    </row>
    <row r="455" spans="1:34">
      <c r="A455" s="315" t="s">
        <v>1161</v>
      </c>
      <c r="B455" s="315" t="s">
        <v>663</v>
      </c>
      <c r="C455" s="316" t="s">
        <v>1824</v>
      </c>
      <c r="D455" s="316" t="s">
        <v>1824</v>
      </c>
      <c r="E455" s="317">
        <v>3.897225871007489</v>
      </c>
      <c r="F455" s="317">
        <v>0.5501123</v>
      </c>
      <c r="G455" s="317">
        <v>0.5501123</v>
      </c>
      <c r="H455" s="317">
        <v>1.0701122999999999</v>
      </c>
      <c r="I455" s="318">
        <v>27.458308433207655</v>
      </c>
      <c r="J455" s="318">
        <v>76.276483929997696</v>
      </c>
      <c r="K455" s="319">
        <v>29.857478966972799</v>
      </c>
      <c r="L455" s="319">
        <v>2.3991705337651439</v>
      </c>
      <c r="M455" s="319">
        <f t="shared" si="7"/>
        <v>2.3991705337651439</v>
      </c>
      <c r="N455" s="317">
        <v>9.3501094731483658E-2</v>
      </c>
      <c r="O455" s="315" t="s">
        <v>1148</v>
      </c>
      <c r="P455" s="318">
        <v>160.346</v>
      </c>
      <c r="R455" s="320">
        <v>71.303333333333342</v>
      </c>
      <c r="S455" s="318">
        <v>34.1</v>
      </c>
      <c r="T455" s="318">
        <v>22</v>
      </c>
      <c r="U455" s="318">
        <v>357.62900000000002</v>
      </c>
      <c r="V455" s="315">
        <v>0.25</v>
      </c>
      <c r="W455" s="318">
        <v>140</v>
      </c>
      <c r="X455" s="315">
        <v>0</v>
      </c>
      <c r="Y455" s="315" t="s">
        <v>1149</v>
      </c>
      <c r="Z455" s="315">
        <v>0</v>
      </c>
      <c r="AA455" s="315" t="s">
        <v>1190</v>
      </c>
      <c r="AB455" s="315">
        <v>0.52189698207397317</v>
      </c>
      <c r="AC455" s="315">
        <v>944.5</v>
      </c>
      <c r="AD455" s="315">
        <v>944.5</v>
      </c>
      <c r="AE455" s="315">
        <v>0.45</v>
      </c>
      <c r="AF455" s="315">
        <v>1.1399999999999999</v>
      </c>
      <c r="AG455" s="315">
        <v>1.5</v>
      </c>
      <c r="AH455" s="315">
        <v>201</v>
      </c>
    </row>
    <row r="456" spans="1:34">
      <c r="A456" s="315" t="s">
        <v>1145</v>
      </c>
      <c r="B456" s="315" t="s">
        <v>663</v>
      </c>
      <c r="C456" s="316" t="s">
        <v>1825</v>
      </c>
      <c r="D456" s="316" t="s">
        <v>1825</v>
      </c>
      <c r="E456" s="317">
        <v>3.8600003674637016</v>
      </c>
      <c r="F456" s="317">
        <v>0</v>
      </c>
      <c r="G456" s="317">
        <v>0.15165580000000001</v>
      </c>
      <c r="H456" s="317">
        <v>0.15165580000000001</v>
      </c>
      <c r="I456" s="318">
        <v>3.9289063617278566</v>
      </c>
      <c r="J456" s="318">
        <v>81.737587770561902</v>
      </c>
      <c r="K456" s="319">
        <v>23.515275983705202</v>
      </c>
      <c r="L456" s="319">
        <v>19.586369621977344</v>
      </c>
      <c r="M456" s="319">
        <f t="shared" si="7"/>
        <v>19.586369621977344</v>
      </c>
      <c r="N456" s="317">
        <v>0.75603393938112429</v>
      </c>
      <c r="O456" s="315" t="s">
        <v>1168</v>
      </c>
      <c r="P456" s="318">
        <v>160.346</v>
      </c>
      <c r="R456" s="320">
        <v>71.303333333333342</v>
      </c>
      <c r="S456" s="318">
        <v>34.1</v>
      </c>
      <c r="T456" s="318">
        <v>19</v>
      </c>
      <c r="U456" s="318">
        <v>357.62900000000002</v>
      </c>
      <c r="V456" s="315">
        <v>0.25</v>
      </c>
      <c r="W456" s="318">
        <v>8</v>
      </c>
      <c r="X456" s="315">
        <v>1</v>
      </c>
      <c r="Y456" s="315" t="s">
        <v>1149</v>
      </c>
      <c r="Z456" s="315">
        <v>0</v>
      </c>
      <c r="AA456" s="315" t="s">
        <v>1190</v>
      </c>
      <c r="AB456" s="315">
        <v>0.21092209638222753</v>
      </c>
      <c r="AC456" s="315">
        <v>944.5</v>
      </c>
      <c r="AD456" s="315">
        <v>944.5</v>
      </c>
      <c r="AE456" s="315">
        <v>0.46</v>
      </c>
      <c r="AF456" s="315">
        <v>1.1399999999999999</v>
      </c>
      <c r="AG456" s="315">
        <v>1.5</v>
      </c>
      <c r="AH456" s="315">
        <v>201</v>
      </c>
    </row>
    <row r="457" spans="1:34">
      <c r="A457" s="315" t="s">
        <v>1826</v>
      </c>
      <c r="B457" s="315" t="s">
        <v>663</v>
      </c>
      <c r="C457" s="316" t="s">
        <v>1827</v>
      </c>
      <c r="D457" s="316" t="s">
        <v>1827</v>
      </c>
      <c r="E457" s="317">
        <v>6.552599123793291</v>
      </c>
      <c r="F457" s="317">
        <v>1.0278042000000001</v>
      </c>
      <c r="G457" s="317">
        <v>1.0278042000000001</v>
      </c>
      <c r="H457" s="317">
        <v>1.0278042000000001</v>
      </c>
      <c r="I457" s="318">
        <v>15.685442991131824</v>
      </c>
      <c r="J457" s="318">
        <v>74.0104322180146</v>
      </c>
      <c r="K457" s="319">
        <v>31.348552958023802</v>
      </c>
      <c r="L457" s="319">
        <v>15.663109966891978</v>
      </c>
      <c r="M457" s="319">
        <f t="shared" si="7"/>
        <v>15.663109966891978</v>
      </c>
      <c r="N457" s="317">
        <v>1.0263408064493433</v>
      </c>
      <c r="O457" s="315" t="s">
        <v>1148</v>
      </c>
      <c r="P457" s="318">
        <v>161</v>
      </c>
      <c r="R457" s="320">
        <v>71.666666666666671</v>
      </c>
      <c r="S457" s="318">
        <v>40</v>
      </c>
      <c r="T457" s="318">
        <v>28.57</v>
      </c>
      <c r="U457" s="318">
        <v>652.91899999999998</v>
      </c>
      <c r="V457" s="315">
        <v>0.245</v>
      </c>
      <c r="W457" s="318">
        <v>123.84</v>
      </c>
      <c r="X457" s="315">
        <v>0</v>
      </c>
      <c r="Y457" s="315" t="s">
        <v>1149</v>
      </c>
      <c r="Z457" s="315">
        <v>0</v>
      </c>
      <c r="AA457" s="315" t="s">
        <v>1190</v>
      </c>
      <c r="AB457" s="315">
        <v>0.20543742625279943</v>
      </c>
      <c r="AC457" s="315">
        <v>1135</v>
      </c>
      <c r="AD457" s="315">
        <v>1135</v>
      </c>
      <c r="AE457" s="315">
        <v>0.4</v>
      </c>
      <c r="AF457" s="315">
        <v>1.18875</v>
      </c>
      <c r="AG457" s="315">
        <v>0.74</v>
      </c>
      <c r="AH457" s="315">
        <v>307</v>
      </c>
    </row>
    <row r="458" spans="1:34">
      <c r="A458" s="315" t="s">
        <v>1828</v>
      </c>
      <c r="B458" s="315" t="s">
        <v>663</v>
      </c>
      <c r="C458" s="316" t="s">
        <v>1829</v>
      </c>
      <c r="D458" s="316" t="s">
        <v>1829</v>
      </c>
      <c r="E458" s="317">
        <v>5.1676258919468285</v>
      </c>
      <c r="F458" s="317">
        <v>0</v>
      </c>
      <c r="G458" s="317">
        <v>0</v>
      </c>
      <c r="H458" s="317">
        <v>0</v>
      </c>
      <c r="I458" s="318">
        <v>0</v>
      </c>
      <c r="J458" s="318">
        <v>83.361136674815299</v>
      </c>
      <c r="K458" s="319">
        <v>22.6440374708381</v>
      </c>
      <c r="L458" s="319">
        <v>22.6440374708381</v>
      </c>
      <c r="M458" s="319">
        <f t="shared" si="7"/>
        <v>22.6440374708381</v>
      </c>
      <c r="N458" s="317">
        <v>1.1701591433251715</v>
      </c>
      <c r="O458" s="315" t="s">
        <v>1168</v>
      </c>
      <c r="P458" s="318">
        <v>161</v>
      </c>
      <c r="R458" s="320">
        <v>71.666666666666671</v>
      </c>
      <c r="S458" s="318">
        <v>41</v>
      </c>
      <c r="T458" s="318">
        <v>26.43</v>
      </c>
      <c r="U458" s="318">
        <v>653</v>
      </c>
      <c r="V458" s="315">
        <v>0.25</v>
      </c>
      <c r="W458" s="318">
        <v>3.84</v>
      </c>
      <c r="X458" s="315">
        <v>0</v>
      </c>
      <c r="Y458" s="315" t="s">
        <v>1149</v>
      </c>
      <c r="Z458" s="315">
        <v>0</v>
      </c>
      <c r="AA458" s="315" t="s">
        <v>1157</v>
      </c>
      <c r="AB458" s="315">
        <v>0</v>
      </c>
      <c r="AC458" s="315">
        <v>1250</v>
      </c>
      <c r="AD458" s="315">
        <v>1150</v>
      </c>
      <c r="AE458" s="315">
        <v>0.4</v>
      </c>
      <c r="AF458" s="315">
        <v>1.2</v>
      </c>
      <c r="AG458" s="315">
        <v>0.7</v>
      </c>
      <c r="AH458" s="315">
        <v>316</v>
      </c>
    </row>
    <row r="459" spans="1:34">
      <c r="A459" s="315" t="s">
        <v>1145</v>
      </c>
      <c r="B459" s="315" t="s">
        <v>663</v>
      </c>
      <c r="C459" s="316" t="s">
        <v>1830</v>
      </c>
      <c r="D459" s="316" t="s">
        <v>1830</v>
      </c>
      <c r="E459" s="317">
        <v>2.6991848569565713</v>
      </c>
      <c r="F459" s="317">
        <v>0</v>
      </c>
      <c r="G459" s="317">
        <v>0</v>
      </c>
      <c r="H459" s="317">
        <v>0</v>
      </c>
      <c r="I459" s="318">
        <v>0</v>
      </c>
      <c r="J459" s="318">
        <v>82.456352071723401</v>
      </c>
      <c r="K459" s="319">
        <v>23.1175556308939</v>
      </c>
      <c r="L459" s="319">
        <v>23.1175556308939</v>
      </c>
      <c r="M459" s="319">
        <f t="shared" si="7"/>
        <v>23.1175556308939</v>
      </c>
      <c r="N459" s="317">
        <v>0.62398556088759927</v>
      </c>
      <c r="O459" s="315" t="s">
        <v>1168</v>
      </c>
      <c r="P459" s="318">
        <v>161</v>
      </c>
      <c r="R459" s="320">
        <v>71.666666666666671</v>
      </c>
      <c r="S459" s="318">
        <v>41</v>
      </c>
      <c r="T459" s="318">
        <v>17.388999999999999</v>
      </c>
      <c r="U459" s="318">
        <v>652.91899999999998</v>
      </c>
      <c r="V459" s="315">
        <v>0.22500000000000001</v>
      </c>
      <c r="W459" s="318">
        <v>1.8</v>
      </c>
      <c r="X459" s="315">
        <v>0</v>
      </c>
      <c r="Y459" s="315" t="s">
        <v>1149</v>
      </c>
      <c r="Z459" s="315">
        <v>0</v>
      </c>
      <c r="AA459" s="315" t="s">
        <v>1190</v>
      </c>
      <c r="AB459" s="315">
        <v>8.3333333333333339E-4</v>
      </c>
      <c r="AC459" s="315">
        <v>1166</v>
      </c>
      <c r="AD459" s="315">
        <v>1166</v>
      </c>
      <c r="AE459" s="315">
        <v>0.40500000000000003</v>
      </c>
      <c r="AF459" s="315">
        <v>1.24</v>
      </c>
      <c r="AG459" s="315">
        <v>0.7</v>
      </c>
      <c r="AH459" s="315">
        <v>380</v>
      </c>
    </row>
    <row r="460" spans="1:34">
      <c r="A460" s="315" t="s">
        <v>1145</v>
      </c>
      <c r="B460" s="315" t="s">
        <v>663</v>
      </c>
      <c r="C460" s="316" t="s">
        <v>1831</v>
      </c>
      <c r="D460" s="316" t="s">
        <v>1831</v>
      </c>
      <c r="E460" s="317">
        <v>1.9300001837318508</v>
      </c>
      <c r="F460" s="317">
        <v>0.22848260000000001</v>
      </c>
      <c r="G460" s="317">
        <v>0.22848260000000001</v>
      </c>
      <c r="H460" s="317">
        <v>0.22848260000000001</v>
      </c>
      <c r="I460" s="318">
        <v>11.838475556940402</v>
      </c>
      <c r="J460" s="318">
        <v>78.782985875227197</v>
      </c>
      <c r="K460" s="319">
        <v>25.4808056753348</v>
      </c>
      <c r="L460" s="319">
        <v>13.642330118394398</v>
      </c>
      <c r="M460" s="319">
        <f t="shared" si="7"/>
        <v>13.642330118394398</v>
      </c>
      <c r="N460" s="317">
        <v>0.26329699635031745</v>
      </c>
      <c r="O460" s="315" t="s">
        <v>1148</v>
      </c>
      <c r="P460" s="318">
        <v>161</v>
      </c>
      <c r="R460" s="320">
        <v>71.666666666666671</v>
      </c>
      <c r="S460" s="318">
        <v>41</v>
      </c>
      <c r="T460" s="318">
        <v>18.231999999999999</v>
      </c>
      <c r="U460" s="318">
        <v>577.45600000000002</v>
      </c>
      <c r="V460" s="315">
        <v>0.23499999999999999</v>
      </c>
      <c r="W460" s="318">
        <v>5.48</v>
      </c>
      <c r="X460" s="315">
        <v>1</v>
      </c>
      <c r="Y460" s="315" t="s">
        <v>1149</v>
      </c>
      <c r="Z460" s="315">
        <v>0</v>
      </c>
      <c r="AA460" s="315" t="s">
        <v>1190</v>
      </c>
      <c r="AB460" s="315">
        <v>7.7720207253886018E-3</v>
      </c>
      <c r="AC460" s="315">
        <v>1166</v>
      </c>
      <c r="AD460" s="315">
        <v>1166</v>
      </c>
      <c r="AE460" s="315">
        <v>0.435</v>
      </c>
      <c r="AF460" s="315">
        <v>1.24</v>
      </c>
      <c r="AG460" s="315">
        <v>0.7</v>
      </c>
      <c r="AH460" s="315">
        <v>380</v>
      </c>
    </row>
    <row r="461" spans="1:34">
      <c r="A461" s="315" t="s">
        <v>1145</v>
      </c>
      <c r="B461" s="315" t="s">
        <v>663</v>
      </c>
      <c r="C461" s="316" t="s">
        <v>1832</v>
      </c>
      <c r="D461" s="316" t="s">
        <v>1832</v>
      </c>
      <c r="E461" s="317">
        <v>5.640000536915875</v>
      </c>
      <c r="F461" s="317">
        <v>1.2047091000000001</v>
      </c>
      <c r="G461" s="317">
        <v>1.2108655000000002</v>
      </c>
      <c r="H461" s="317">
        <v>1.2108655000000002</v>
      </c>
      <c r="I461" s="318">
        <v>21.469244410074801</v>
      </c>
      <c r="J461" s="318">
        <v>80.633154743421301</v>
      </c>
      <c r="K461" s="319">
        <v>24.5138867241693</v>
      </c>
      <c r="L461" s="319">
        <v>3.0446423140944994</v>
      </c>
      <c r="M461" s="319">
        <f t="shared" si="7"/>
        <v>3.0446423140944994</v>
      </c>
      <c r="N461" s="317">
        <v>0.17171784286209768</v>
      </c>
      <c r="O461" s="315" t="s">
        <v>1148</v>
      </c>
      <c r="P461" s="318">
        <v>161</v>
      </c>
      <c r="R461" s="320">
        <v>71.666666666666671</v>
      </c>
      <c r="S461" s="318">
        <v>40</v>
      </c>
      <c r="T461" s="318">
        <v>32.417999999999999</v>
      </c>
      <c r="U461" s="318">
        <v>577.45600000000002</v>
      </c>
      <c r="V461" s="315">
        <v>0.215</v>
      </c>
      <c r="W461" s="318">
        <v>3.948</v>
      </c>
      <c r="X461" s="315">
        <v>1</v>
      </c>
      <c r="Y461" s="315" t="s">
        <v>1149</v>
      </c>
      <c r="Z461" s="315">
        <v>0</v>
      </c>
      <c r="AA461" s="315" t="s">
        <v>1190</v>
      </c>
      <c r="AB461" s="315">
        <v>0</v>
      </c>
      <c r="AC461" s="315">
        <v>1135</v>
      </c>
      <c r="AD461" s="315">
        <v>1135</v>
      </c>
      <c r="AE461" s="315">
        <v>0.44500000000000001</v>
      </c>
      <c r="AF461" s="315">
        <v>1.18875</v>
      </c>
      <c r="AG461" s="315">
        <v>0.74</v>
      </c>
      <c r="AH461" s="315">
        <v>307</v>
      </c>
    </row>
    <row r="462" spans="1:34">
      <c r="A462" s="315" t="s">
        <v>1145</v>
      </c>
      <c r="B462" s="315" t="s">
        <v>663</v>
      </c>
      <c r="C462" s="316" t="s">
        <v>1833</v>
      </c>
      <c r="D462" s="316" t="s">
        <v>1833</v>
      </c>
      <c r="E462" s="317">
        <v>5.0096659769093845</v>
      </c>
      <c r="F462" s="317">
        <v>0</v>
      </c>
      <c r="G462" s="317">
        <v>0</v>
      </c>
      <c r="H462" s="317">
        <v>0</v>
      </c>
      <c r="I462" s="318">
        <v>0</v>
      </c>
      <c r="J462" s="318">
        <v>55.277530572637403</v>
      </c>
      <c r="K462" s="319">
        <v>30.571832109709202</v>
      </c>
      <c r="L462" s="319">
        <v>30.571832109709202</v>
      </c>
      <c r="M462" s="319">
        <f t="shared" si="7"/>
        <v>30.571832109709202</v>
      </c>
      <c r="N462" s="317">
        <v>1.5315466717179604</v>
      </c>
      <c r="O462" s="315" t="s">
        <v>1168</v>
      </c>
      <c r="P462" s="318">
        <v>161</v>
      </c>
      <c r="R462" s="320">
        <v>71.666666666666671</v>
      </c>
      <c r="S462" s="318">
        <v>42</v>
      </c>
      <c r="T462" s="318">
        <v>40</v>
      </c>
      <c r="U462" s="318">
        <v>479.02600000000001</v>
      </c>
      <c r="V462" s="315">
        <v>0.21</v>
      </c>
      <c r="W462" s="318">
        <v>10</v>
      </c>
      <c r="X462" s="315">
        <v>0</v>
      </c>
      <c r="Y462" s="315" t="s">
        <v>1149</v>
      </c>
      <c r="Z462" s="315">
        <v>0</v>
      </c>
      <c r="AA462" s="315" t="s">
        <v>1190</v>
      </c>
      <c r="AB462" s="315">
        <v>0</v>
      </c>
      <c r="AC462" s="315">
        <v>1138</v>
      </c>
      <c r="AD462" s="315">
        <v>1138</v>
      </c>
      <c r="AE462" s="315">
        <v>0.1</v>
      </c>
      <c r="AF462" s="315">
        <v>1.23</v>
      </c>
      <c r="AG462" s="315">
        <v>1.2</v>
      </c>
      <c r="AH462" s="315">
        <v>358</v>
      </c>
    </row>
    <row r="463" spans="1:34">
      <c r="A463" s="315" t="s">
        <v>1145</v>
      </c>
      <c r="B463" s="315" t="s">
        <v>663</v>
      </c>
      <c r="C463" s="316" t="s">
        <v>1834</v>
      </c>
      <c r="D463" s="316" t="s">
        <v>1834</v>
      </c>
      <c r="E463" s="317">
        <v>3.51</v>
      </c>
      <c r="F463" s="317">
        <v>0</v>
      </c>
      <c r="G463" s="317">
        <v>0</v>
      </c>
      <c r="H463" s="317">
        <v>0</v>
      </c>
      <c r="I463" s="318">
        <v>0</v>
      </c>
      <c r="J463" s="318">
        <v>77.038652905348599</v>
      </c>
      <c r="K463" s="319">
        <v>24.659957180352198</v>
      </c>
      <c r="L463" s="319">
        <v>24.659957180352198</v>
      </c>
      <c r="M463" s="319">
        <f t="shared" si="7"/>
        <v>24.659957180352198</v>
      </c>
      <c r="N463" s="317">
        <v>0.86556449703036209</v>
      </c>
      <c r="O463" s="315" t="s">
        <v>1168</v>
      </c>
      <c r="P463" s="318">
        <v>161</v>
      </c>
      <c r="R463" s="320">
        <v>71.666666666666671</v>
      </c>
      <c r="S463" s="318">
        <v>35</v>
      </c>
      <c r="T463" s="318">
        <v>47.34</v>
      </c>
      <c r="U463" s="318">
        <v>305</v>
      </c>
      <c r="V463" s="315">
        <v>0.23</v>
      </c>
      <c r="W463" s="318">
        <v>10</v>
      </c>
      <c r="X463" s="315">
        <v>0</v>
      </c>
      <c r="Y463" s="315" t="s">
        <v>1149</v>
      </c>
      <c r="Z463" s="315">
        <v>0</v>
      </c>
      <c r="AA463" s="315" t="s">
        <v>1150</v>
      </c>
      <c r="AB463" s="315">
        <v>0</v>
      </c>
      <c r="AC463" s="315">
        <v>1200</v>
      </c>
      <c r="AD463" s="315">
        <v>1153</v>
      </c>
      <c r="AE463" s="315">
        <v>0.20999999999999996</v>
      </c>
      <c r="AF463" s="315">
        <v>1.2</v>
      </c>
      <c r="AG463" s="315">
        <v>1.2</v>
      </c>
      <c r="AH463" s="315">
        <v>270</v>
      </c>
    </row>
    <row r="464" spans="1:34">
      <c r="A464" s="315" t="s">
        <v>1835</v>
      </c>
      <c r="B464" s="315" t="s">
        <v>663</v>
      </c>
      <c r="C464" s="316" t="s">
        <v>1836</v>
      </c>
      <c r="D464" s="316" t="s">
        <v>1836</v>
      </c>
      <c r="E464" s="317">
        <v>21.240002022002333</v>
      </c>
      <c r="F464" s="317">
        <v>1.7207968</v>
      </c>
      <c r="G464" s="317">
        <v>1.8306990000000001</v>
      </c>
      <c r="H464" s="317">
        <v>1.8306990000000001</v>
      </c>
      <c r="I464" s="318">
        <v>8.6191093489708486</v>
      </c>
      <c r="J464" s="318">
        <v>64.8309525953388</v>
      </c>
      <c r="K464" s="319">
        <v>38.155185203770699</v>
      </c>
      <c r="L464" s="319">
        <v>29.536075854799851</v>
      </c>
      <c r="M464" s="319">
        <f t="shared" si="7"/>
        <v>29.536075854799851</v>
      </c>
      <c r="N464" s="317">
        <v>6.2734631087796302</v>
      </c>
      <c r="O464" s="315" t="s">
        <v>1148</v>
      </c>
      <c r="P464" s="318">
        <v>161.07884900000002</v>
      </c>
      <c r="R464" s="320">
        <v>71.710471666666677</v>
      </c>
      <c r="S464" s="318">
        <v>27.3</v>
      </c>
      <c r="T464" s="318">
        <v>12</v>
      </c>
      <c r="U464" s="318">
        <v>70</v>
      </c>
      <c r="V464" s="315">
        <v>0.21293200000000001</v>
      </c>
      <c r="W464" s="318">
        <v>527.99689999999998</v>
      </c>
      <c r="X464" s="315">
        <v>0</v>
      </c>
      <c r="Y464" s="315" t="s">
        <v>1149</v>
      </c>
      <c r="Z464" s="315">
        <v>0</v>
      </c>
      <c r="AA464" s="315" t="s">
        <v>1150</v>
      </c>
      <c r="AB464" s="315">
        <v>0</v>
      </c>
      <c r="AC464" s="315">
        <v>1175</v>
      </c>
      <c r="AD464" s="315">
        <v>1175</v>
      </c>
      <c r="AE464" s="315">
        <v>0.19999999999999996</v>
      </c>
      <c r="AF464" s="315">
        <v>1.1000000000000001</v>
      </c>
      <c r="AG464" s="315">
        <v>3.5</v>
      </c>
      <c r="AH464" s="315">
        <v>325</v>
      </c>
    </row>
    <row r="465" spans="1:34">
      <c r="A465" s="315" t="s">
        <v>1145</v>
      </c>
      <c r="B465" s="315" t="s">
        <v>663</v>
      </c>
      <c r="C465" s="316" t="s">
        <v>1837</v>
      </c>
      <c r="D465" s="316" t="s">
        <v>1837</v>
      </c>
      <c r="E465" s="317">
        <v>4.1600003960230563</v>
      </c>
      <c r="F465" s="317">
        <v>0.63951760000000002</v>
      </c>
      <c r="G465" s="317">
        <v>0.64606980000000003</v>
      </c>
      <c r="H465" s="317">
        <v>0.64606980000000003</v>
      </c>
      <c r="I465" s="318">
        <v>15.530522559989182</v>
      </c>
      <c r="J465" s="318">
        <v>81.497422372782694</v>
      </c>
      <c r="K465" s="319">
        <v>24.0447514282844</v>
      </c>
      <c r="L465" s="319">
        <v>8.5142288682952181</v>
      </c>
      <c r="M465" s="319">
        <f t="shared" si="7"/>
        <v>8.5142288682952181</v>
      </c>
      <c r="N465" s="317">
        <v>0.35419195463939046</v>
      </c>
      <c r="O465" s="315" t="s">
        <v>1148</v>
      </c>
      <c r="P465" s="318">
        <v>162.5196</v>
      </c>
      <c r="R465" s="320">
        <v>72.510888888888886</v>
      </c>
      <c r="S465" s="318">
        <v>40</v>
      </c>
      <c r="T465" s="318">
        <v>54.061</v>
      </c>
      <c r="U465" s="318">
        <v>495.43100000000004</v>
      </c>
      <c r="V465" s="315">
        <v>0.25</v>
      </c>
      <c r="W465" s="318">
        <v>23.295999999999999</v>
      </c>
      <c r="X465" s="315">
        <v>2</v>
      </c>
      <c r="Y465" s="315" t="s">
        <v>1149</v>
      </c>
      <c r="Z465" s="315">
        <v>0</v>
      </c>
      <c r="AA465" s="315" t="s">
        <v>1190</v>
      </c>
      <c r="AB465" s="315">
        <v>1.4</v>
      </c>
      <c r="AC465" s="315">
        <v>1173.9627480000001</v>
      </c>
      <c r="AD465" s="315">
        <v>1174</v>
      </c>
      <c r="AE465" s="315">
        <v>0.33</v>
      </c>
      <c r="AF465" s="315">
        <v>1.2</v>
      </c>
      <c r="AG465" s="315">
        <v>0.73</v>
      </c>
      <c r="AH465" s="315">
        <v>320</v>
      </c>
    </row>
    <row r="466" spans="1:34">
      <c r="A466" s="315" t="s">
        <v>1145</v>
      </c>
      <c r="B466" s="315" t="s">
        <v>663</v>
      </c>
      <c r="C466" s="316" t="s">
        <v>1838</v>
      </c>
      <c r="D466" s="316" t="s">
        <v>1838</v>
      </c>
      <c r="E466" s="317">
        <v>8.9295578500746302</v>
      </c>
      <c r="F466" s="317">
        <v>0</v>
      </c>
      <c r="G466" s="317">
        <v>0</v>
      </c>
      <c r="H466" s="317">
        <v>0</v>
      </c>
      <c r="I466" s="318">
        <v>0</v>
      </c>
      <c r="J466" s="318">
        <v>69.180715781151093</v>
      </c>
      <c r="K466" s="319">
        <v>29.124567355806004</v>
      </c>
      <c r="L466" s="319">
        <v>29.124567355806004</v>
      </c>
      <c r="M466" s="319">
        <f t="shared" si="7"/>
        <v>29.124567355806004</v>
      </c>
      <c r="N466" s="317">
        <v>2.6006950906206479</v>
      </c>
      <c r="O466" s="315" t="s">
        <v>1168</v>
      </c>
      <c r="P466" s="318">
        <v>163</v>
      </c>
      <c r="R466" s="320">
        <v>72.777777777777771</v>
      </c>
      <c r="S466" s="318">
        <v>42</v>
      </c>
      <c r="T466" s="318">
        <v>46.12</v>
      </c>
      <c r="U466" s="318">
        <v>200</v>
      </c>
      <c r="V466" s="315">
        <v>0.28999999999999998</v>
      </c>
      <c r="W466" s="318">
        <v>5727</v>
      </c>
      <c r="X466" s="315">
        <v>0</v>
      </c>
      <c r="Y466" s="315" t="s">
        <v>1149</v>
      </c>
      <c r="Z466" s="315">
        <v>0</v>
      </c>
      <c r="AA466" s="315" t="s">
        <v>1150</v>
      </c>
      <c r="AB466" s="315">
        <v>0</v>
      </c>
      <c r="AC466" s="315">
        <v>1270</v>
      </c>
      <c r="AD466" s="315">
        <v>1170</v>
      </c>
      <c r="AE466" s="315">
        <v>0.45</v>
      </c>
      <c r="AF466" s="315">
        <v>1.2</v>
      </c>
      <c r="AG466" s="315">
        <v>0.7</v>
      </c>
      <c r="AH466" s="315">
        <v>335</v>
      </c>
    </row>
    <row r="467" spans="1:34">
      <c r="A467" s="315" t="s">
        <v>1835</v>
      </c>
      <c r="B467" s="315" t="s">
        <v>663</v>
      </c>
      <c r="C467" s="316" t="s">
        <v>1839</v>
      </c>
      <c r="D467" s="316" t="s">
        <v>1839</v>
      </c>
      <c r="E467" s="317">
        <v>7.5758708212065455</v>
      </c>
      <c r="F467" s="317">
        <v>0</v>
      </c>
      <c r="G467" s="317">
        <v>0</v>
      </c>
      <c r="H467" s="317">
        <v>0.505</v>
      </c>
      <c r="I467" s="318">
        <v>6.6659003554600318</v>
      </c>
      <c r="J467" s="318">
        <v>80.546954674422807</v>
      </c>
      <c r="K467" s="319">
        <v>23.222785940998598</v>
      </c>
      <c r="L467" s="319">
        <v>16.556885585538566</v>
      </c>
      <c r="M467" s="319">
        <f t="shared" si="7"/>
        <v>16.556885585538566</v>
      </c>
      <c r="N467" s="317">
        <v>1.2543282639753688</v>
      </c>
      <c r="O467" s="315" t="s">
        <v>1168</v>
      </c>
      <c r="P467" s="318">
        <v>163</v>
      </c>
      <c r="R467" s="320">
        <v>72.777777777777771</v>
      </c>
      <c r="S467" s="318">
        <v>42</v>
      </c>
      <c r="T467" s="318">
        <v>29.65</v>
      </c>
      <c r="U467" s="318">
        <v>200</v>
      </c>
      <c r="V467" s="315">
        <v>0.214</v>
      </c>
      <c r="W467" s="318">
        <v>10</v>
      </c>
      <c r="X467" s="315">
        <v>0</v>
      </c>
      <c r="Y467" s="315" t="s">
        <v>1149</v>
      </c>
      <c r="Z467" s="315">
        <v>0</v>
      </c>
      <c r="AA467" s="315" t="s">
        <v>1150</v>
      </c>
      <c r="AB467" s="315">
        <v>0</v>
      </c>
      <c r="AC467" s="315">
        <v>1188</v>
      </c>
      <c r="AD467" s="315">
        <v>1188</v>
      </c>
      <c r="AE467" s="315">
        <v>0.42799999999999999</v>
      </c>
      <c r="AF467" s="315">
        <v>1.2</v>
      </c>
      <c r="AG467" s="315">
        <v>0.7</v>
      </c>
      <c r="AH467" s="315">
        <v>340</v>
      </c>
    </row>
    <row r="468" spans="1:34">
      <c r="A468" s="315" t="s">
        <v>1840</v>
      </c>
      <c r="B468" s="315" t="s">
        <v>663</v>
      </c>
      <c r="C468" s="316" t="s">
        <v>1841</v>
      </c>
      <c r="D468" s="316" t="s">
        <v>1841</v>
      </c>
      <c r="E468" s="317">
        <v>5.2</v>
      </c>
      <c r="F468" s="317">
        <v>0</v>
      </c>
      <c r="G468" s="317">
        <v>0</v>
      </c>
      <c r="H468" s="317">
        <v>0</v>
      </c>
      <c r="I468" s="318">
        <v>0</v>
      </c>
      <c r="J468" s="318">
        <v>84.0851559413898</v>
      </c>
      <c r="K468" s="319">
        <v>21.032804154292801</v>
      </c>
      <c r="L468" s="319">
        <v>21.032804154292801</v>
      </c>
      <c r="M468" s="319">
        <f t="shared" si="7"/>
        <v>21.032804154292801</v>
      </c>
      <c r="N468" s="317">
        <v>1.0937058160232256</v>
      </c>
      <c r="O468" s="315" t="s">
        <v>1168</v>
      </c>
      <c r="P468" s="318">
        <v>163</v>
      </c>
      <c r="R468" s="320">
        <v>72.777777777777771</v>
      </c>
      <c r="S468" s="318">
        <v>34</v>
      </c>
      <c r="T468" s="318">
        <v>32.200000000000003</v>
      </c>
      <c r="U468" s="318">
        <v>210</v>
      </c>
      <c r="V468" s="315">
        <v>0.19500000000000001</v>
      </c>
      <c r="W468" s="318">
        <v>8.44</v>
      </c>
      <c r="X468" s="315">
        <v>0</v>
      </c>
      <c r="Y468" s="315" t="s">
        <v>1149</v>
      </c>
      <c r="Z468" s="315">
        <v>0</v>
      </c>
      <c r="AA468" s="315" t="s">
        <v>1150</v>
      </c>
      <c r="AB468" s="315">
        <v>0.2</v>
      </c>
      <c r="AC468" s="315">
        <v>1223</v>
      </c>
      <c r="AD468" s="315">
        <v>1223</v>
      </c>
      <c r="AE468" s="315">
        <v>0.33</v>
      </c>
      <c r="AF468" s="315">
        <v>1.1599999999999999</v>
      </c>
      <c r="AG468" s="315">
        <v>1.2</v>
      </c>
      <c r="AH468" s="315">
        <v>250</v>
      </c>
    </row>
    <row r="469" spans="1:34">
      <c r="A469" s="315" t="s">
        <v>1145</v>
      </c>
      <c r="B469" s="315" t="s">
        <v>663</v>
      </c>
      <c r="C469" s="316" t="s">
        <v>1842</v>
      </c>
      <c r="D469" s="316" t="s">
        <v>1842</v>
      </c>
      <c r="E469" s="317">
        <v>91.85000874392253</v>
      </c>
      <c r="F469" s="317">
        <v>30.109845400000001</v>
      </c>
      <c r="G469" s="317">
        <v>31.144473300000001</v>
      </c>
      <c r="H469" s="317">
        <v>31.144473300000001</v>
      </c>
      <c r="I469" s="318">
        <v>33.907969880362963</v>
      </c>
      <c r="J469" s="318">
        <v>59.014001470675296</v>
      </c>
      <c r="K469" s="319">
        <v>41.867563512683695</v>
      </c>
      <c r="L469" s="319">
        <v>7.9595936323207326</v>
      </c>
      <c r="M469" s="319">
        <f t="shared" si="7"/>
        <v>7.9595936323207326</v>
      </c>
      <c r="N469" s="317">
        <v>7.3108874472672936</v>
      </c>
      <c r="O469" s="315" t="s">
        <v>1148</v>
      </c>
      <c r="P469" s="318">
        <v>163.26060000000001</v>
      </c>
      <c r="R469" s="320">
        <v>72.922555555555562</v>
      </c>
      <c r="S469" s="318">
        <v>46</v>
      </c>
      <c r="T469" s="318">
        <v>17</v>
      </c>
      <c r="U469" s="318">
        <v>371</v>
      </c>
      <c r="V469" s="315">
        <v>0.21274299999999999</v>
      </c>
      <c r="W469" s="318">
        <v>530.82299999999998</v>
      </c>
      <c r="X469" s="315">
        <v>1</v>
      </c>
      <c r="Y469" s="315" t="s">
        <v>1149</v>
      </c>
      <c r="Z469" s="315">
        <v>0</v>
      </c>
      <c r="AA469" s="315" t="s">
        <v>1190</v>
      </c>
      <c r="AB469" s="315">
        <v>0</v>
      </c>
      <c r="AC469" s="315">
        <v>1300</v>
      </c>
      <c r="AD469" s="315">
        <v>1250</v>
      </c>
      <c r="AE469" s="315">
        <v>0.54</v>
      </c>
      <c r="AF469" s="315">
        <v>1.2</v>
      </c>
      <c r="AG469" s="315">
        <v>0.5</v>
      </c>
      <c r="AH469" s="315">
        <v>340</v>
      </c>
    </row>
    <row r="470" spans="1:34">
      <c r="A470" s="315" t="s">
        <v>1145</v>
      </c>
      <c r="B470" s="315" t="s">
        <v>663</v>
      </c>
      <c r="C470" s="316" t="s">
        <v>1843</v>
      </c>
      <c r="D470" s="316" t="s">
        <v>1843</v>
      </c>
      <c r="E470" s="317">
        <v>10.496225199217978</v>
      </c>
      <c r="F470" s="317">
        <v>2.7092263999999999</v>
      </c>
      <c r="G470" s="317">
        <v>2.7092263999999999</v>
      </c>
      <c r="H470" s="317">
        <v>2.7092263999999999</v>
      </c>
      <c r="I470" s="318">
        <v>25.811435526381914</v>
      </c>
      <c r="J470" s="318">
        <v>77.118168508919794</v>
      </c>
      <c r="K470" s="319">
        <v>29.260028837410502</v>
      </c>
      <c r="L470" s="319">
        <v>3.4485933110285885</v>
      </c>
      <c r="M470" s="319">
        <f t="shared" si="7"/>
        <v>3.4485933110285885</v>
      </c>
      <c r="N470" s="317">
        <v>0.36197212013072838</v>
      </c>
      <c r="O470" s="315" t="s">
        <v>1148</v>
      </c>
      <c r="P470" s="318">
        <v>164.9649</v>
      </c>
      <c r="R470" s="320">
        <v>73.869388888888878</v>
      </c>
      <c r="S470" s="318">
        <v>20</v>
      </c>
      <c r="T470" s="318">
        <v>35</v>
      </c>
      <c r="U470" s="318">
        <v>252.637</v>
      </c>
      <c r="V470" s="315">
        <v>0.24</v>
      </c>
      <c r="W470" s="318">
        <v>2584</v>
      </c>
      <c r="X470" s="315">
        <v>1</v>
      </c>
      <c r="Y470" s="315" t="s">
        <v>1149</v>
      </c>
      <c r="Z470" s="315">
        <v>0</v>
      </c>
      <c r="AA470" s="315" t="s">
        <v>1190</v>
      </c>
      <c r="AB470" s="315">
        <v>1.7478787878787876</v>
      </c>
      <c r="AC470" s="315">
        <v>1134.8800000000001</v>
      </c>
      <c r="AD470" s="315">
        <v>1134.8800000000001</v>
      </c>
      <c r="AE470" s="315">
        <v>0.47</v>
      </c>
      <c r="AF470" s="315">
        <v>1.1100000000000001</v>
      </c>
      <c r="AG470" s="315">
        <v>7.47</v>
      </c>
      <c r="AH470" s="315">
        <v>152</v>
      </c>
    </row>
    <row r="471" spans="1:34">
      <c r="A471" s="315" t="s">
        <v>1145</v>
      </c>
      <c r="B471" s="315" t="s">
        <v>663</v>
      </c>
      <c r="C471" s="316" t="s">
        <v>1844</v>
      </c>
      <c r="D471" s="316" t="s">
        <v>1844</v>
      </c>
      <c r="E471" s="317">
        <v>4.9413908704097427</v>
      </c>
      <c r="F471" s="317">
        <v>0</v>
      </c>
      <c r="G471" s="317">
        <v>0</v>
      </c>
      <c r="H471" s="317">
        <v>0</v>
      </c>
      <c r="I471" s="318">
        <v>0</v>
      </c>
      <c r="J471" s="318">
        <v>83.638885590762598</v>
      </c>
      <c r="K471" s="319">
        <v>21.6448482827244</v>
      </c>
      <c r="L471" s="319">
        <v>21.6448482827244</v>
      </c>
      <c r="M471" s="319">
        <f t="shared" si="7"/>
        <v>21.6448482827244</v>
      </c>
      <c r="N471" s="317">
        <v>1.0695565569565835</v>
      </c>
      <c r="O471" s="315" t="s">
        <v>1168</v>
      </c>
      <c r="P471" s="318">
        <v>165</v>
      </c>
      <c r="R471" s="320">
        <v>73.888888888888886</v>
      </c>
      <c r="S471" s="318">
        <v>42</v>
      </c>
      <c r="T471" s="318">
        <v>18.149999999999999</v>
      </c>
      <c r="U471" s="318">
        <v>180</v>
      </c>
      <c r="V471" s="315">
        <v>0.21</v>
      </c>
      <c r="W471" s="318">
        <v>231.79</v>
      </c>
      <c r="X471" s="315">
        <v>0</v>
      </c>
      <c r="Y471" s="315" t="s">
        <v>1149</v>
      </c>
      <c r="Z471" s="315">
        <v>0</v>
      </c>
      <c r="AA471" s="315" t="s">
        <v>1150</v>
      </c>
      <c r="AB471" s="315">
        <v>0</v>
      </c>
      <c r="AC471" s="315">
        <v>1300</v>
      </c>
      <c r="AD471" s="315">
        <v>1208</v>
      </c>
      <c r="AE471" s="315">
        <v>0.32</v>
      </c>
      <c r="AF471" s="315">
        <v>1.2</v>
      </c>
      <c r="AG471" s="315">
        <v>0.7</v>
      </c>
      <c r="AH471" s="315">
        <v>345</v>
      </c>
    </row>
    <row r="472" spans="1:34">
      <c r="A472" s="315" t="s">
        <v>1145</v>
      </c>
      <c r="B472" s="315" t="s">
        <v>663</v>
      </c>
      <c r="C472" s="316" t="s">
        <v>1845</v>
      </c>
      <c r="D472" s="316" t="s">
        <v>1845</v>
      </c>
      <c r="E472" s="317">
        <v>10.76982102526371</v>
      </c>
      <c r="F472" s="317">
        <v>2.5292837000000001</v>
      </c>
      <c r="G472" s="317">
        <v>2.8807341000000002</v>
      </c>
      <c r="H472" s="317">
        <v>2.8807341000000002</v>
      </c>
      <c r="I472" s="318">
        <v>26.748207730123003</v>
      </c>
      <c r="J472" s="318">
        <v>72.490574694243804</v>
      </c>
      <c r="K472" s="319">
        <v>31.033804160793601</v>
      </c>
      <c r="L472" s="319">
        <v>4.2855964306705978</v>
      </c>
      <c r="M472" s="319">
        <f t="shared" si="7"/>
        <v>4.2855964306705978</v>
      </c>
      <c r="N472" s="317">
        <v>0.46155106544831309</v>
      </c>
      <c r="O472" s="315" t="s">
        <v>1148</v>
      </c>
      <c r="P472" s="318">
        <v>165</v>
      </c>
      <c r="R472" s="320">
        <v>73.888888888888886</v>
      </c>
      <c r="S472" s="318">
        <v>35</v>
      </c>
      <c r="T472" s="318">
        <v>80</v>
      </c>
      <c r="U472" s="318">
        <v>210</v>
      </c>
      <c r="V472" s="315">
        <v>0.16</v>
      </c>
      <c r="W472" s="318">
        <v>6.5</v>
      </c>
      <c r="X472" s="315">
        <v>1</v>
      </c>
      <c r="Y472" s="315" t="s">
        <v>1149</v>
      </c>
      <c r="Z472" s="315">
        <v>0</v>
      </c>
      <c r="AA472" s="315" t="s">
        <v>1190</v>
      </c>
      <c r="AB472" s="315">
        <v>0.45161879537878441</v>
      </c>
      <c r="AC472" s="315">
        <v>1273</v>
      </c>
      <c r="AD472" s="315">
        <v>1273</v>
      </c>
      <c r="AE472" s="315">
        <v>0.45</v>
      </c>
      <c r="AF472" s="315">
        <v>1.22</v>
      </c>
      <c r="AG472" s="315">
        <v>1.96</v>
      </c>
      <c r="AH472" s="315">
        <v>341</v>
      </c>
    </row>
    <row r="473" spans="1:34">
      <c r="A473" s="315" t="s">
        <v>1145</v>
      </c>
      <c r="B473" s="315" t="s">
        <v>663</v>
      </c>
      <c r="C473" s="316" t="s">
        <v>1846</v>
      </c>
      <c r="D473" s="316" t="s">
        <v>1846</v>
      </c>
      <c r="E473" s="317">
        <v>5.6600005388198324</v>
      </c>
      <c r="F473" s="317">
        <v>0.4932107</v>
      </c>
      <c r="G473" s="317">
        <v>0.61220419999999998</v>
      </c>
      <c r="H473" s="317">
        <v>0.61220419999999998</v>
      </c>
      <c r="I473" s="318">
        <v>10.816327592216993</v>
      </c>
      <c r="J473" s="318">
        <v>83.631219510146394</v>
      </c>
      <c r="K473" s="319">
        <v>22.285282336315401</v>
      </c>
      <c r="L473" s="319">
        <v>11.468954744098408</v>
      </c>
      <c r="M473" s="319">
        <f t="shared" si="7"/>
        <v>11.468954744098408</v>
      </c>
      <c r="N473" s="317">
        <v>0.64914290031297261</v>
      </c>
      <c r="O473" s="315" t="s">
        <v>1148</v>
      </c>
      <c r="P473" s="318">
        <v>166</v>
      </c>
      <c r="R473" s="320">
        <v>74.444444444444443</v>
      </c>
      <c r="S473" s="318">
        <v>37.6</v>
      </c>
      <c r="T473" s="318">
        <v>40.299999999999997</v>
      </c>
      <c r="U473" s="318">
        <v>538.08400000000006</v>
      </c>
      <c r="V473" s="315">
        <v>0.21</v>
      </c>
      <c r="W473" s="318">
        <v>7.3</v>
      </c>
      <c r="X473" s="315">
        <v>1</v>
      </c>
      <c r="Y473" s="315" t="s">
        <v>1149</v>
      </c>
      <c r="Z473" s="315">
        <v>0</v>
      </c>
      <c r="AA473" s="315" t="s">
        <v>1190</v>
      </c>
      <c r="AB473" s="315">
        <v>1.1947005941345687</v>
      </c>
      <c r="AC473" s="315">
        <v>1687</v>
      </c>
      <c r="AD473" s="315">
        <v>1541</v>
      </c>
      <c r="AE473" s="315">
        <v>0.4</v>
      </c>
      <c r="AF473" s="315">
        <v>1.23</v>
      </c>
      <c r="AG473" s="315">
        <v>1</v>
      </c>
      <c r="AH473" s="315">
        <v>400</v>
      </c>
    </row>
    <row r="474" spans="1:34">
      <c r="A474" s="315" t="s">
        <v>1145</v>
      </c>
      <c r="B474" s="315" t="s">
        <v>663</v>
      </c>
      <c r="C474" s="316" t="s">
        <v>1847</v>
      </c>
      <c r="D474" s="316" t="s">
        <v>1847</v>
      </c>
      <c r="E474" s="317">
        <v>16.47</v>
      </c>
      <c r="F474" s="317">
        <v>0</v>
      </c>
      <c r="G474" s="317">
        <v>0</v>
      </c>
      <c r="H474" s="317">
        <v>0</v>
      </c>
      <c r="I474" s="318">
        <v>0</v>
      </c>
      <c r="J474" s="318">
        <v>78.791563204102104</v>
      </c>
      <c r="K474" s="319">
        <v>24.1113503920554</v>
      </c>
      <c r="L474" s="319">
        <v>24.1113503920554</v>
      </c>
      <c r="M474" s="319">
        <f t="shared" si="7"/>
        <v>24.1113503920554</v>
      </c>
      <c r="N474" s="317">
        <v>3.9711394095715242</v>
      </c>
      <c r="O474" s="315" t="s">
        <v>1168</v>
      </c>
      <c r="P474" s="318">
        <v>167</v>
      </c>
      <c r="R474" s="320">
        <v>75</v>
      </c>
      <c r="S474" s="318">
        <v>34</v>
      </c>
      <c r="T474" s="318">
        <v>59.32</v>
      </c>
      <c r="U474" s="318">
        <v>259</v>
      </c>
      <c r="V474" s="315">
        <v>0.25</v>
      </c>
      <c r="W474" s="318">
        <v>15.05</v>
      </c>
      <c r="X474" s="315">
        <v>0</v>
      </c>
      <c r="Y474" s="315" t="s">
        <v>1149</v>
      </c>
      <c r="Z474" s="315">
        <v>0</v>
      </c>
      <c r="AA474" s="315" t="s">
        <v>1150</v>
      </c>
      <c r="AB474" s="315">
        <v>0</v>
      </c>
      <c r="AC474" s="315">
        <v>1243</v>
      </c>
      <c r="AD474" s="315">
        <v>1200</v>
      </c>
      <c r="AE474" s="315">
        <v>0.37</v>
      </c>
      <c r="AF474" s="315">
        <v>1.2</v>
      </c>
      <c r="AG474" s="315">
        <v>1.2</v>
      </c>
      <c r="AH474" s="315">
        <v>250</v>
      </c>
    </row>
    <row r="475" spans="1:34">
      <c r="B475" s="315" t="s">
        <v>663</v>
      </c>
      <c r="C475" s="316" t="s">
        <v>1848</v>
      </c>
      <c r="D475" s="316" t="s">
        <v>1848</v>
      </c>
      <c r="E475" s="317">
        <v>1.3700001304210547</v>
      </c>
      <c r="F475" s="317">
        <v>0.82371439999999996</v>
      </c>
      <c r="G475" s="317">
        <v>0.82371439999999996</v>
      </c>
      <c r="H475" s="317">
        <v>0.82371439999999996</v>
      </c>
      <c r="I475" s="318">
        <v>60.125132962347983</v>
      </c>
      <c r="J475" s="318">
        <v>83.385725475910107</v>
      </c>
      <c r="K475" s="319">
        <v>22.8200909366095</v>
      </c>
      <c r="L475" s="319">
        <v>-37.305042025738487</v>
      </c>
      <c r="M475" s="319">
        <f t="shared" si="7"/>
        <v>0</v>
      </c>
      <c r="N475" s="317">
        <v>0</v>
      </c>
      <c r="O475" s="315" t="s">
        <v>1148</v>
      </c>
      <c r="P475" s="318">
        <v>168</v>
      </c>
      <c r="R475" s="320">
        <v>75.555555555555557</v>
      </c>
      <c r="S475" s="318">
        <v>41</v>
      </c>
      <c r="T475" s="318">
        <v>15.36</v>
      </c>
      <c r="U475" s="318">
        <v>311.69499999999999</v>
      </c>
      <c r="V475" s="315">
        <v>0.21</v>
      </c>
      <c r="W475" s="318">
        <v>15.15</v>
      </c>
      <c r="X475" s="315">
        <v>0</v>
      </c>
      <c r="Y475" s="315" t="s">
        <v>1149</v>
      </c>
      <c r="Z475" s="315">
        <v>0</v>
      </c>
      <c r="AA475" s="315" t="s">
        <v>1190</v>
      </c>
      <c r="AB475" s="315">
        <v>0</v>
      </c>
      <c r="AC475" s="315">
        <v>1450</v>
      </c>
      <c r="AD475" s="315">
        <v>1311</v>
      </c>
      <c r="AE475" s="315">
        <v>0.28999999999999998</v>
      </c>
      <c r="AF475" s="315">
        <v>1.27</v>
      </c>
      <c r="AG475" s="315">
        <v>0.6</v>
      </c>
      <c r="AH475" s="315">
        <v>432</v>
      </c>
    </row>
    <row r="476" spans="1:34">
      <c r="A476" s="315" t="s">
        <v>1145</v>
      </c>
      <c r="B476" s="315" t="s">
        <v>663</v>
      </c>
      <c r="C476" s="316" t="s">
        <v>1849</v>
      </c>
      <c r="D476" s="316" t="s">
        <v>1849</v>
      </c>
      <c r="E476" s="317">
        <v>1.40000013327699</v>
      </c>
      <c r="F476" s="317">
        <v>7.4366500000000002E-2</v>
      </c>
      <c r="G476" s="317">
        <v>7.4366500000000002E-2</v>
      </c>
      <c r="H476" s="317">
        <v>7.4366500000000002E-2</v>
      </c>
      <c r="I476" s="318">
        <v>5.3118923514621263</v>
      </c>
      <c r="J476" s="318">
        <v>78.635317347006406</v>
      </c>
      <c r="K476" s="319">
        <v>29.102388743949998</v>
      </c>
      <c r="L476" s="319">
        <v>23.790496392487871</v>
      </c>
      <c r="M476" s="319">
        <f t="shared" si="7"/>
        <v>23.790496392487871</v>
      </c>
      <c r="N476" s="317">
        <v>0.33306698120208766</v>
      </c>
      <c r="O476" s="315" t="s">
        <v>1148</v>
      </c>
      <c r="P476" s="318">
        <v>168</v>
      </c>
      <c r="R476" s="320">
        <v>75.555555555555557</v>
      </c>
      <c r="S476" s="318">
        <v>41</v>
      </c>
      <c r="T476" s="318">
        <v>58.78</v>
      </c>
      <c r="U476" s="318">
        <v>272.32300000000004</v>
      </c>
      <c r="V476" s="315">
        <v>0.23</v>
      </c>
      <c r="W476" s="318">
        <v>844.38</v>
      </c>
      <c r="X476" s="315">
        <v>0</v>
      </c>
      <c r="Y476" s="315" t="s">
        <v>1149</v>
      </c>
      <c r="Z476" s="315">
        <v>0</v>
      </c>
      <c r="AA476" s="315" t="s">
        <v>1190</v>
      </c>
      <c r="AB476" s="315">
        <v>0</v>
      </c>
      <c r="AC476" s="315">
        <v>1370</v>
      </c>
      <c r="AD476" s="315">
        <v>1279</v>
      </c>
      <c r="AE476" s="315">
        <v>0.35</v>
      </c>
      <c r="AF476" s="315">
        <v>1.27</v>
      </c>
      <c r="AG476" s="315">
        <v>0.6</v>
      </c>
      <c r="AH476" s="315">
        <v>418</v>
      </c>
    </row>
    <row r="477" spans="1:34">
      <c r="A477" s="315" t="s">
        <v>1145</v>
      </c>
      <c r="B477" s="315" t="s">
        <v>663</v>
      </c>
      <c r="C477" s="316" t="s">
        <v>1850</v>
      </c>
      <c r="D477" s="316" t="s">
        <v>1850</v>
      </c>
      <c r="E477" s="317">
        <v>4.5089185292393097</v>
      </c>
      <c r="F477" s="317">
        <v>0</v>
      </c>
      <c r="G477" s="317">
        <v>0</v>
      </c>
      <c r="H477" s="317">
        <v>0.29299999999999998</v>
      </c>
      <c r="I477" s="318">
        <v>6.4982322945061375</v>
      </c>
      <c r="J477" s="318">
        <v>84.266600454285907</v>
      </c>
      <c r="K477" s="319">
        <v>20.704824237048001</v>
      </c>
      <c r="L477" s="319">
        <v>14.206591942541863</v>
      </c>
      <c r="M477" s="319">
        <f t="shared" si="7"/>
        <v>14.206591942541863</v>
      </c>
      <c r="N477" s="317">
        <v>0.6405636564706888</v>
      </c>
      <c r="O477" s="315" t="s">
        <v>1168</v>
      </c>
      <c r="P477" s="318">
        <v>171</v>
      </c>
      <c r="R477" s="320">
        <v>77.222222222222229</v>
      </c>
      <c r="S477" s="318">
        <v>28</v>
      </c>
      <c r="T477" s="318">
        <v>25.59</v>
      </c>
      <c r="U477" s="318">
        <v>125</v>
      </c>
      <c r="V477" s="315">
        <v>0.22</v>
      </c>
      <c r="W477" s="318">
        <v>19.059999999999999</v>
      </c>
      <c r="X477" s="315">
        <v>0</v>
      </c>
      <c r="Y477" s="315" t="s">
        <v>1149</v>
      </c>
      <c r="Z477" s="315">
        <v>0</v>
      </c>
      <c r="AA477" s="315" t="s">
        <v>1150</v>
      </c>
      <c r="AB477" s="315">
        <v>0</v>
      </c>
      <c r="AC477" s="315">
        <v>1305</v>
      </c>
      <c r="AD477" s="315">
        <v>1305</v>
      </c>
      <c r="AE477" s="315">
        <v>0.43</v>
      </c>
      <c r="AF477" s="315">
        <v>1.2</v>
      </c>
      <c r="AG477" s="315">
        <v>3</v>
      </c>
      <c r="AH477" s="315">
        <v>230</v>
      </c>
    </row>
    <row r="478" spans="1:34">
      <c r="A478" s="315" t="s">
        <v>1145</v>
      </c>
      <c r="B478" s="315" t="s">
        <v>663</v>
      </c>
      <c r="C478" s="316" t="s">
        <v>1851</v>
      </c>
      <c r="D478" s="316" t="s">
        <v>1851</v>
      </c>
      <c r="E478" s="317">
        <v>3.27000031129697</v>
      </c>
      <c r="F478" s="317">
        <v>0</v>
      </c>
      <c r="G478" s="317">
        <v>0</v>
      </c>
      <c r="H478" s="317">
        <v>0</v>
      </c>
      <c r="I478" s="318">
        <v>0</v>
      </c>
      <c r="J478" s="318">
        <v>84.948860595734203</v>
      </c>
      <c r="K478" s="319">
        <v>20.786786186126101</v>
      </c>
      <c r="L478" s="319">
        <v>20.786786186126101</v>
      </c>
      <c r="M478" s="319">
        <f t="shared" si="7"/>
        <v>20.786786186126101</v>
      </c>
      <c r="N478" s="317">
        <v>0.67972797299495902</v>
      </c>
      <c r="O478" s="315" t="s">
        <v>1168</v>
      </c>
      <c r="P478" s="318">
        <v>171</v>
      </c>
      <c r="R478" s="320">
        <v>77.222222222222229</v>
      </c>
      <c r="S478" s="318">
        <v>42</v>
      </c>
      <c r="T478" s="318">
        <v>36.700000000000003</v>
      </c>
      <c r="U478" s="318">
        <v>213</v>
      </c>
      <c r="V478" s="315">
        <v>0.22</v>
      </c>
      <c r="W478" s="318">
        <v>236.02</v>
      </c>
      <c r="X478" s="315">
        <v>0</v>
      </c>
      <c r="Y478" s="315" t="s">
        <v>1149</v>
      </c>
      <c r="Z478" s="315">
        <v>0</v>
      </c>
      <c r="AA478" s="315" t="s">
        <v>1150</v>
      </c>
      <c r="AB478" s="315">
        <v>0</v>
      </c>
      <c r="AC478" s="315">
        <v>1420</v>
      </c>
      <c r="AD478" s="315">
        <v>1320</v>
      </c>
      <c r="AE478" s="315">
        <v>0.3</v>
      </c>
      <c r="AF478" s="315">
        <v>1.2</v>
      </c>
      <c r="AG478" s="315">
        <v>0.7</v>
      </c>
      <c r="AH478" s="315">
        <v>380</v>
      </c>
    </row>
    <row r="479" spans="1:34">
      <c r="A479" s="315" t="s">
        <v>1852</v>
      </c>
      <c r="B479" s="315" t="s">
        <v>663</v>
      </c>
      <c r="C479" s="316" t="s">
        <v>1853</v>
      </c>
      <c r="D479" s="316" t="s">
        <v>1853</v>
      </c>
      <c r="E479" s="317">
        <v>2.48</v>
      </c>
      <c r="F479" s="317">
        <v>0</v>
      </c>
      <c r="G479" s="317">
        <v>0</v>
      </c>
      <c r="H479" s="317">
        <v>0</v>
      </c>
      <c r="I479" s="318">
        <v>0</v>
      </c>
      <c r="J479" s="318">
        <v>71.391962154137204</v>
      </c>
      <c r="K479" s="319">
        <v>27.765307015313802</v>
      </c>
      <c r="L479" s="319">
        <v>27.765307015313802</v>
      </c>
      <c r="M479" s="319">
        <f t="shared" si="7"/>
        <v>27.765307015313802</v>
      </c>
      <c r="N479" s="317">
        <v>0.68857961397978229</v>
      </c>
      <c r="O479" s="315" t="s">
        <v>1168</v>
      </c>
      <c r="P479" s="318">
        <v>171</v>
      </c>
      <c r="R479" s="320">
        <v>77.222222222222229</v>
      </c>
      <c r="S479" s="318">
        <v>35</v>
      </c>
      <c r="T479" s="318">
        <v>47.66</v>
      </c>
      <c r="U479" s="318">
        <v>361</v>
      </c>
      <c r="V479" s="315">
        <v>0.21</v>
      </c>
      <c r="W479" s="318">
        <v>10</v>
      </c>
      <c r="X479" s="315">
        <v>0</v>
      </c>
      <c r="Y479" s="315" t="s">
        <v>1149</v>
      </c>
      <c r="Z479" s="315">
        <v>0</v>
      </c>
      <c r="AA479" s="315" t="s">
        <v>1150</v>
      </c>
      <c r="AB479" s="315">
        <v>0</v>
      </c>
      <c r="AC479" s="315">
        <v>1330</v>
      </c>
      <c r="AD479" s="315">
        <v>1330</v>
      </c>
      <c r="AE479" s="315">
        <v>0.24</v>
      </c>
      <c r="AF479" s="315">
        <v>1.2</v>
      </c>
      <c r="AG479" s="315">
        <v>1</v>
      </c>
      <c r="AH479" s="315">
        <v>300</v>
      </c>
    </row>
    <row r="480" spans="1:34">
      <c r="A480" s="315" t="s">
        <v>1145</v>
      </c>
      <c r="B480" s="315" t="s">
        <v>663</v>
      </c>
      <c r="C480" s="316" t="s">
        <v>1854</v>
      </c>
      <c r="D480" s="316" t="s">
        <v>1854</v>
      </c>
      <c r="E480" s="317">
        <v>10.010000952930479</v>
      </c>
      <c r="F480" s="317">
        <v>2.9196542000000001</v>
      </c>
      <c r="G480" s="317">
        <v>2.9874668</v>
      </c>
      <c r="H480" s="317">
        <v>2.9874668</v>
      </c>
      <c r="I480" s="318">
        <v>29.844820335660444</v>
      </c>
      <c r="J480" s="318">
        <v>69.767287478676806</v>
      </c>
      <c r="K480" s="319">
        <v>32.160517394881197</v>
      </c>
      <c r="L480" s="319">
        <v>2.3156970592207529</v>
      </c>
      <c r="M480" s="319">
        <f t="shared" si="7"/>
        <v>2.3156970592207529</v>
      </c>
      <c r="N480" s="317">
        <v>0.23180129769498045</v>
      </c>
      <c r="O480" s="315" t="s">
        <v>1148</v>
      </c>
      <c r="P480" s="318">
        <v>171.33002825</v>
      </c>
      <c r="R480" s="320">
        <v>77.405571249999994</v>
      </c>
      <c r="S480" s="318">
        <v>32</v>
      </c>
      <c r="T480" s="318">
        <v>58.47</v>
      </c>
      <c r="U480" s="318">
        <v>410.125</v>
      </c>
      <c r="V480" s="315">
        <v>0.24</v>
      </c>
      <c r="W480" s="318">
        <v>53.43</v>
      </c>
      <c r="X480" s="315">
        <v>1</v>
      </c>
      <c r="Y480" s="315" t="s">
        <v>1149</v>
      </c>
      <c r="Z480" s="315">
        <v>0</v>
      </c>
      <c r="AA480" s="315" t="s">
        <v>1190</v>
      </c>
      <c r="AB480" s="315">
        <v>0</v>
      </c>
      <c r="AC480" s="315">
        <v>1404.80925</v>
      </c>
      <c r="AD480" s="315">
        <v>1350</v>
      </c>
      <c r="AE480" s="315">
        <v>0.47499999999999998</v>
      </c>
      <c r="AF480" s="315">
        <v>1.17</v>
      </c>
      <c r="AG480" s="315">
        <v>1.4</v>
      </c>
      <c r="AH480" s="315">
        <v>280</v>
      </c>
    </row>
    <row r="481" spans="1:34">
      <c r="A481" s="315" t="s">
        <v>1145</v>
      </c>
      <c r="B481" s="315" t="s">
        <v>663</v>
      </c>
      <c r="C481" s="316" t="s">
        <v>1855</v>
      </c>
      <c r="D481" s="316" t="s">
        <v>1855</v>
      </c>
      <c r="E481" s="317">
        <v>3.2600003103449913</v>
      </c>
      <c r="F481" s="317">
        <v>0.66169679999999997</v>
      </c>
      <c r="G481" s="317">
        <v>0.66357179999999993</v>
      </c>
      <c r="H481" s="317">
        <v>0.66357179999999993</v>
      </c>
      <c r="I481" s="318">
        <v>20.354961252435498</v>
      </c>
      <c r="J481" s="318">
        <v>79.473201806460096</v>
      </c>
      <c r="K481" s="319">
        <v>24.823773692645901</v>
      </c>
      <c r="L481" s="319">
        <v>4.468812440210403</v>
      </c>
      <c r="M481" s="319">
        <f t="shared" si="7"/>
        <v>4.468812440210403</v>
      </c>
      <c r="N481" s="317">
        <v>0.14568329941959474</v>
      </c>
      <c r="O481" s="315" t="s">
        <v>1148</v>
      </c>
      <c r="P481" s="318">
        <v>171.6136707</v>
      </c>
      <c r="R481" s="320">
        <v>77.5631503888889</v>
      </c>
      <c r="S481" s="318">
        <v>40</v>
      </c>
      <c r="T481" s="318">
        <v>31.11</v>
      </c>
      <c r="U481" s="318">
        <v>406.84399999999999</v>
      </c>
      <c r="V481" s="315">
        <v>0.23</v>
      </c>
      <c r="W481" s="318">
        <v>3.6259999999999999</v>
      </c>
      <c r="X481" s="315">
        <v>4</v>
      </c>
      <c r="Y481" s="315" t="s">
        <v>1149</v>
      </c>
      <c r="Z481" s="315">
        <v>0</v>
      </c>
      <c r="AA481" s="315" t="s">
        <v>1190</v>
      </c>
      <c r="AB481" s="315">
        <v>0</v>
      </c>
      <c r="AC481" s="315">
        <v>1329.3063</v>
      </c>
      <c r="AD481" s="315">
        <v>1300</v>
      </c>
      <c r="AE481" s="315">
        <v>0.36</v>
      </c>
      <c r="AF481" s="315">
        <v>1.21</v>
      </c>
      <c r="AG481" s="315">
        <v>0.65</v>
      </c>
      <c r="AH481" s="315">
        <v>350</v>
      </c>
    </row>
    <row r="482" spans="1:34">
      <c r="A482" s="315" t="s">
        <v>1145</v>
      </c>
      <c r="B482" s="315" t="s">
        <v>663</v>
      </c>
      <c r="C482" s="316" t="s">
        <v>1856</v>
      </c>
      <c r="D482" s="316" t="s">
        <v>1856</v>
      </c>
      <c r="E482" s="317">
        <v>4.3800004169665829</v>
      </c>
      <c r="F482" s="317">
        <v>0.79396960000000005</v>
      </c>
      <c r="G482" s="317">
        <v>0.7962612</v>
      </c>
      <c r="H482" s="317">
        <v>0.7962612</v>
      </c>
      <c r="I482" s="318">
        <v>18.179477721407604</v>
      </c>
      <c r="J482" s="318">
        <v>80.657799651637106</v>
      </c>
      <c r="K482" s="319">
        <v>24.175096901381298</v>
      </c>
      <c r="L482" s="319">
        <v>5.9956191799736942</v>
      </c>
      <c r="M482" s="319">
        <f t="shared" si="7"/>
        <v>5.9956191799736942</v>
      </c>
      <c r="N482" s="317">
        <v>0.26260814508257624</v>
      </c>
      <c r="O482" s="315" t="s">
        <v>1148</v>
      </c>
      <c r="P482" s="318">
        <v>172.62667944999998</v>
      </c>
      <c r="R482" s="320">
        <v>78.125933027777762</v>
      </c>
      <c r="S482" s="318">
        <v>40</v>
      </c>
      <c r="T482" s="318">
        <v>41.91</v>
      </c>
      <c r="U482" s="318">
        <v>324.81900000000002</v>
      </c>
      <c r="V482" s="315">
        <v>0.24</v>
      </c>
      <c r="W482" s="318">
        <v>4.2480000000000002</v>
      </c>
      <c r="X482" s="315">
        <v>3</v>
      </c>
      <c r="Y482" s="315" t="s">
        <v>1149</v>
      </c>
      <c r="Z482" s="315">
        <v>0</v>
      </c>
      <c r="AA482" s="315" t="s">
        <v>1190</v>
      </c>
      <c r="AB482" s="315">
        <v>0</v>
      </c>
      <c r="AC482" s="315">
        <v>1337.0580499999999</v>
      </c>
      <c r="AD482" s="315">
        <v>1300</v>
      </c>
      <c r="AE482" s="315">
        <v>0.35</v>
      </c>
      <c r="AF482" s="315">
        <v>1.21</v>
      </c>
      <c r="AG482" s="315">
        <v>0.65</v>
      </c>
      <c r="AH482" s="315">
        <v>350</v>
      </c>
    </row>
    <row r="483" spans="1:34">
      <c r="A483" s="315" t="s">
        <v>1145</v>
      </c>
      <c r="B483" s="315" t="s">
        <v>663</v>
      </c>
      <c r="C483" s="316" t="s">
        <v>1857</v>
      </c>
      <c r="D483" s="316" t="s">
        <v>1857</v>
      </c>
      <c r="E483" s="317">
        <v>22.510002142903609</v>
      </c>
      <c r="F483" s="317">
        <v>5.4414958000000002</v>
      </c>
      <c r="G483" s="317">
        <v>5.4758686000000001</v>
      </c>
      <c r="H483" s="317">
        <v>5.4758686000000001</v>
      </c>
      <c r="I483" s="318">
        <v>24.326379736602092</v>
      </c>
      <c r="J483" s="318">
        <v>70.567639051808499</v>
      </c>
      <c r="K483" s="319">
        <v>36.471538143163897</v>
      </c>
      <c r="L483" s="319">
        <v>12.145158406561805</v>
      </c>
      <c r="M483" s="319">
        <f t="shared" si="7"/>
        <v>12.145158406561805</v>
      </c>
      <c r="N483" s="317">
        <v>2.7338754175761002</v>
      </c>
      <c r="O483" s="315" t="s">
        <v>1148</v>
      </c>
      <c r="P483" s="318">
        <v>172.69409809999999</v>
      </c>
      <c r="R483" s="320">
        <v>78.163387833333331</v>
      </c>
      <c r="S483" s="318">
        <v>44</v>
      </c>
      <c r="T483" s="318">
        <v>12</v>
      </c>
      <c r="U483" s="318">
        <v>317</v>
      </c>
      <c r="V483" s="315">
        <v>0.212673</v>
      </c>
      <c r="W483" s="318">
        <v>530.76179999999999</v>
      </c>
      <c r="X483" s="315">
        <v>0</v>
      </c>
      <c r="Y483" s="315" t="s">
        <v>1149</v>
      </c>
      <c r="Z483" s="315">
        <v>0</v>
      </c>
      <c r="AA483" s="315" t="s">
        <v>1190</v>
      </c>
      <c r="AB483" s="315">
        <v>0</v>
      </c>
      <c r="AC483" s="315">
        <v>1350</v>
      </c>
      <c r="AD483" s="315">
        <v>1350</v>
      </c>
      <c r="AE483" s="315">
        <v>0.4</v>
      </c>
      <c r="AF483" s="315">
        <v>1.2</v>
      </c>
      <c r="AG483" s="315">
        <v>0.5</v>
      </c>
      <c r="AH483" s="315">
        <v>398</v>
      </c>
    </row>
    <row r="484" spans="1:34">
      <c r="A484" s="315" t="s">
        <v>1145</v>
      </c>
      <c r="B484" s="315" t="s">
        <v>663</v>
      </c>
      <c r="C484" s="316" t="s">
        <v>1858</v>
      </c>
      <c r="D484" s="316" t="s">
        <v>1858</v>
      </c>
      <c r="E484" s="317">
        <v>1.3600001294690762</v>
      </c>
      <c r="F484" s="317">
        <v>0</v>
      </c>
      <c r="G484" s="317">
        <v>0</v>
      </c>
      <c r="H484" s="317">
        <v>0</v>
      </c>
      <c r="I484" s="318">
        <v>0</v>
      </c>
      <c r="J484" s="318">
        <v>61.824336703963297</v>
      </c>
      <c r="K484" s="319">
        <v>30.7970669303111</v>
      </c>
      <c r="L484" s="319">
        <v>30.7970669303111</v>
      </c>
      <c r="M484" s="319">
        <f t="shared" si="7"/>
        <v>30.7970669303111</v>
      </c>
      <c r="N484" s="317">
        <v>0.41884015012490905</v>
      </c>
      <c r="O484" s="315" t="s">
        <v>1168</v>
      </c>
      <c r="P484" s="318">
        <v>173.31552540000001</v>
      </c>
      <c r="R484" s="320">
        <v>78.508625222222236</v>
      </c>
      <c r="S484" s="318">
        <v>40</v>
      </c>
      <c r="T484" s="318">
        <v>32.200000000000003</v>
      </c>
      <c r="U484" s="318">
        <v>393.72</v>
      </c>
      <c r="V484" s="315">
        <v>0.17499999999999999</v>
      </c>
      <c r="W484" s="318">
        <v>10</v>
      </c>
      <c r="X484" s="315">
        <v>0</v>
      </c>
      <c r="Y484" s="315" t="s">
        <v>1149</v>
      </c>
      <c r="Z484" s="315">
        <v>0</v>
      </c>
      <c r="AA484" s="315" t="s">
        <v>1190</v>
      </c>
      <c r="AB484" s="315">
        <v>0</v>
      </c>
      <c r="AC484" s="315">
        <v>1350.742886</v>
      </c>
      <c r="AD484" s="315">
        <v>1300</v>
      </c>
      <c r="AE484" s="315">
        <v>0.2</v>
      </c>
      <c r="AF484" s="315">
        <v>1.2</v>
      </c>
      <c r="AG484" s="315">
        <v>0.65</v>
      </c>
      <c r="AH484" s="315">
        <v>350</v>
      </c>
    </row>
    <row r="485" spans="1:34">
      <c r="A485" s="315" t="s">
        <v>1145</v>
      </c>
      <c r="B485" s="315" t="s">
        <v>663</v>
      </c>
      <c r="C485" s="316" t="s">
        <v>1859</v>
      </c>
      <c r="D485" s="316" t="s">
        <v>1859</v>
      </c>
      <c r="E485" s="317">
        <v>1.6700001589804097</v>
      </c>
      <c r="F485" s="317">
        <v>0</v>
      </c>
      <c r="G485" s="317">
        <v>0</v>
      </c>
      <c r="H485" s="317">
        <v>0</v>
      </c>
      <c r="I485" s="318">
        <v>0</v>
      </c>
      <c r="J485" s="318">
        <v>61.7251408318374</v>
      </c>
      <c r="K485" s="319">
        <v>30.8904768484397</v>
      </c>
      <c r="L485" s="319">
        <v>30.8904768484397</v>
      </c>
      <c r="M485" s="319">
        <f t="shared" si="7"/>
        <v>30.8904768484397</v>
      </c>
      <c r="N485" s="317">
        <v>0.51587101247874967</v>
      </c>
      <c r="O485" s="315" t="s">
        <v>1168</v>
      </c>
      <c r="P485" s="318">
        <v>174.04489169999999</v>
      </c>
      <c r="R485" s="320">
        <v>78.91382872222222</v>
      </c>
      <c r="S485" s="318">
        <v>40</v>
      </c>
      <c r="T485" s="318">
        <v>43.6</v>
      </c>
      <c r="U485" s="318">
        <v>334.66200000000003</v>
      </c>
      <c r="V485" s="315">
        <v>0.2</v>
      </c>
      <c r="W485" s="318">
        <v>13.81</v>
      </c>
      <c r="X485" s="315">
        <v>0</v>
      </c>
      <c r="Y485" s="315" t="s">
        <v>1149</v>
      </c>
      <c r="Z485" s="315">
        <v>0</v>
      </c>
      <c r="AA485" s="315" t="s">
        <v>1190</v>
      </c>
      <c r="AB485" s="315">
        <v>0</v>
      </c>
      <c r="AC485" s="315">
        <v>1359.601586</v>
      </c>
      <c r="AD485" s="315">
        <v>1300</v>
      </c>
      <c r="AE485" s="315">
        <v>0.2</v>
      </c>
      <c r="AF485" s="315">
        <v>1.2</v>
      </c>
      <c r="AG485" s="315">
        <v>0.65</v>
      </c>
      <c r="AH485" s="315">
        <v>350</v>
      </c>
    </row>
    <row r="486" spans="1:34">
      <c r="A486" s="315" t="s">
        <v>1145</v>
      </c>
      <c r="B486" s="315" t="s">
        <v>663</v>
      </c>
      <c r="C486" s="316" t="s">
        <v>1860</v>
      </c>
      <c r="D486" s="316" t="s">
        <v>1860</v>
      </c>
      <c r="E486" s="317">
        <v>5.0300004788451869</v>
      </c>
      <c r="F486" s="317">
        <v>0</v>
      </c>
      <c r="G486" s="317">
        <v>0</v>
      </c>
      <c r="H486" s="317">
        <v>0</v>
      </c>
      <c r="I486" s="318">
        <v>0</v>
      </c>
      <c r="J486" s="318">
        <v>52.572885872232703</v>
      </c>
      <c r="K486" s="319">
        <v>32.215198762749999</v>
      </c>
      <c r="L486" s="319">
        <v>32.215198762749999</v>
      </c>
      <c r="M486" s="319">
        <f t="shared" si="7"/>
        <v>32.215198762749999</v>
      </c>
      <c r="N486" s="317">
        <v>1.6204246520272536</v>
      </c>
      <c r="O486" s="315" t="s">
        <v>1168</v>
      </c>
      <c r="P486" s="318">
        <v>175</v>
      </c>
      <c r="R486" s="320">
        <v>79.444444444444443</v>
      </c>
      <c r="S486" s="318">
        <v>42</v>
      </c>
      <c r="T486" s="318">
        <v>59</v>
      </c>
      <c r="U486" s="318">
        <v>449.49700000000001</v>
      </c>
      <c r="V486" s="315">
        <v>0.21</v>
      </c>
      <c r="W486" s="318">
        <v>35</v>
      </c>
      <c r="X486" s="315">
        <v>0</v>
      </c>
      <c r="Y486" s="315" t="s">
        <v>1149</v>
      </c>
      <c r="Z486" s="315">
        <v>0</v>
      </c>
      <c r="AA486" s="315" t="s">
        <v>1190</v>
      </c>
      <c r="AB486" s="315">
        <v>0</v>
      </c>
      <c r="AC486" s="315">
        <v>1340</v>
      </c>
      <c r="AD486" s="315">
        <v>1204</v>
      </c>
      <c r="AE486" s="315">
        <v>0.1</v>
      </c>
      <c r="AF486" s="315">
        <v>1.24</v>
      </c>
      <c r="AG486" s="315">
        <v>1.2</v>
      </c>
      <c r="AH486" s="315">
        <v>370</v>
      </c>
    </row>
    <row r="487" spans="1:34">
      <c r="A487" s="315" t="s">
        <v>1145</v>
      </c>
      <c r="B487" s="315" t="s">
        <v>663</v>
      </c>
      <c r="C487" s="316" t="s">
        <v>1861</v>
      </c>
      <c r="D487" s="316" t="s">
        <v>1861</v>
      </c>
      <c r="E487" s="317">
        <v>4.5199999999999996</v>
      </c>
      <c r="F487" s="317">
        <v>0</v>
      </c>
      <c r="G487" s="317">
        <v>0</v>
      </c>
      <c r="H487" s="317">
        <v>0</v>
      </c>
      <c r="I487" s="318">
        <v>0</v>
      </c>
      <c r="J487" s="318">
        <v>72.339509166573905</v>
      </c>
      <c r="K487" s="319">
        <v>26.719172012499698</v>
      </c>
      <c r="L487" s="319">
        <v>26.719172012499698</v>
      </c>
      <c r="M487" s="319">
        <f t="shared" si="7"/>
        <v>26.719172012499698</v>
      </c>
      <c r="N487" s="317">
        <v>1.2077065749649862</v>
      </c>
      <c r="O487" s="315" t="s">
        <v>1168</v>
      </c>
      <c r="P487" s="318">
        <v>175</v>
      </c>
      <c r="R487" s="320">
        <v>79.444444444444443</v>
      </c>
      <c r="S487" s="318">
        <v>34</v>
      </c>
      <c r="T487" s="318">
        <v>31.63</v>
      </c>
      <c r="U487" s="318">
        <v>584</v>
      </c>
      <c r="V487" s="315">
        <v>0.21</v>
      </c>
      <c r="W487" s="318">
        <v>10</v>
      </c>
      <c r="X487" s="315">
        <v>0</v>
      </c>
      <c r="Y487" s="315" t="s">
        <v>1149</v>
      </c>
      <c r="Z487" s="315">
        <v>0</v>
      </c>
      <c r="AA487" s="315" t="s">
        <v>1150</v>
      </c>
      <c r="AB487" s="315">
        <v>0</v>
      </c>
      <c r="AC487" s="315">
        <v>1173</v>
      </c>
      <c r="AD487" s="315">
        <v>1173</v>
      </c>
      <c r="AE487" s="315">
        <v>0.47</v>
      </c>
      <c r="AF487" s="315">
        <v>1.2</v>
      </c>
      <c r="AG487" s="315">
        <v>1.2</v>
      </c>
      <c r="AH487" s="315">
        <v>270</v>
      </c>
    </row>
    <row r="488" spans="1:34">
      <c r="A488" s="315" t="s">
        <v>1145</v>
      </c>
      <c r="B488" s="315" t="s">
        <v>663</v>
      </c>
      <c r="C488" s="316" t="s">
        <v>1862</v>
      </c>
      <c r="D488" s="316" t="s">
        <v>1862</v>
      </c>
      <c r="E488" s="317">
        <v>2.290000218003077</v>
      </c>
      <c r="F488" s="317">
        <v>0.34194790000000003</v>
      </c>
      <c r="G488" s="317">
        <v>0.35331420000000002</v>
      </c>
      <c r="H488" s="317">
        <v>0.35331420000000002</v>
      </c>
      <c r="I488" s="318">
        <v>15.428566216823187</v>
      </c>
      <c r="J488" s="318">
        <v>87.917907973063294</v>
      </c>
      <c r="K488" s="319">
        <v>18.817265671249299</v>
      </c>
      <c r="L488" s="319">
        <v>3.3886994544261118</v>
      </c>
      <c r="M488" s="319">
        <f t="shared" si="7"/>
        <v>3.3886994544261118</v>
      </c>
      <c r="N488" s="317">
        <v>7.7601224893827037E-2</v>
      </c>
      <c r="O488" s="315" t="s">
        <v>1148</v>
      </c>
      <c r="P488" s="318">
        <v>176</v>
      </c>
      <c r="R488" s="320">
        <v>80</v>
      </c>
      <c r="S488" s="318">
        <v>40</v>
      </c>
      <c r="T488" s="318">
        <v>20.84</v>
      </c>
      <c r="U488" s="318">
        <v>249.35600000000002</v>
      </c>
      <c r="V488" s="315">
        <v>0.2</v>
      </c>
      <c r="W488" s="318">
        <v>10</v>
      </c>
      <c r="X488" s="315">
        <v>1</v>
      </c>
      <c r="Y488" s="315" t="s">
        <v>1149</v>
      </c>
      <c r="Z488" s="315">
        <v>0</v>
      </c>
      <c r="AA488" s="315" t="s">
        <v>1190</v>
      </c>
      <c r="AB488" s="315">
        <v>0</v>
      </c>
      <c r="AC488" s="315">
        <v>1381</v>
      </c>
      <c r="AD488" s="315">
        <v>1381</v>
      </c>
      <c r="AE488" s="315">
        <v>0.39</v>
      </c>
      <c r="AF488" s="315">
        <v>1.2312799999999999</v>
      </c>
      <c r="AG488" s="315">
        <v>0.60299999999999998</v>
      </c>
      <c r="AH488" s="315">
        <v>372</v>
      </c>
    </row>
    <row r="489" spans="1:34">
      <c r="A489" s="315" t="s">
        <v>1145</v>
      </c>
      <c r="B489" s="315" t="s">
        <v>663</v>
      </c>
      <c r="C489" s="316" t="s">
        <v>1863</v>
      </c>
      <c r="D489" s="316" t="s">
        <v>1863</v>
      </c>
      <c r="E489" s="317">
        <v>31.630003011108002</v>
      </c>
      <c r="F489" s="317">
        <v>0</v>
      </c>
      <c r="G489" s="317">
        <v>0</v>
      </c>
      <c r="H489" s="317">
        <v>0</v>
      </c>
      <c r="I489" s="318">
        <v>0</v>
      </c>
      <c r="J489" s="318">
        <v>58.6918039752154</v>
      </c>
      <c r="K489" s="319">
        <v>41.982402717567901</v>
      </c>
      <c r="L489" s="319">
        <v>41.982402717567901</v>
      </c>
      <c r="M489" s="319">
        <f t="shared" si="7"/>
        <v>41.982402717567901</v>
      </c>
      <c r="N489" s="317">
        <v>13.279035243702214</v>
      </c>
      <c r="O489" s="315" t="s">
        <v>1168</v>
      </c>
      <c r="P489" s="318">
        <v>176.21575000000001</v>
      </c>
      <c r="R489" s="320">
        <v>80.119861111111121</v>
      </c>
      <c r="S489" s="318">
        <v>46</v>
      </c>
      <c r="T489" s="318">
        <v>17</v>
      </c>
      <c r="U489" s="318">
        <v>429</v>
      </c>
      <c r="V489" s="315">
        <v>0.21274299999999999</v>
      </c>
      <c r="W489" s="318">
        <v>530.82299999999998</v>
      </c>
      <c r="X489" s="315">
        <v>0</v>
      </c>
      <c r="Y489" s="315" t="s">
        <v>1149</v>
      </c>
      <c r="Z489" s="315">
        <v>0</v>
      </c>
      <c r="AA489" s="315" t="s">
        <v>1157</v>
      </c>
      <c r="AB489" s="315">
        <v>0</v>
      </c>
      <c r="AC489" s="315">
        <v>1300</v>
      </c>
      <c r="AD489" s="315">
        <v>1250</v>
      </c>
      <c r="AE489" s="315">
        <v>0.54</v>
      </c>
      <c r="AF489" s="315">
        <v>1.2</v>
      </c>
      <c r="AG489" s="315">
        <v>0.4</v>
      </c>
      <c r="AH489" s="315">
        <v>340</v>
      </c>
    </row>
    <row r="490" spans="1:34">
      <c r="A490" s="315" t="s">
        <v>1145</v>
      </c>
      <c r="B490" s="315" t="s">
        <v>663</v>
      </c>
      <c r="C490" s="316" t="s">
        <v>1864</v>
      </c>
      <c r="D490" s="316" t="s">
        <v>1864</v>
      </c>
      <c r="E490" s="317">
        <v>10.43</v>
      </c>
      <c r="F490" s="317">
        <v>0</v>
      </c>
      <c r="G490" s="317">
        <v>0</v>
      </c>
      <c r="H490" s="317">
        <v>0</v>
      </c>
      <c r="I490" s="318">
        <v>0</v>
      </c>
      <c r="J490" s="318">
        <v>79.017783098267103</v>
      </c>
      <c r="K490" s="319">
        <v>23.969560092661698</v>
      </c>
      <c r="L490" s="319">
        <v>23.969560092661698</v>
      </c>
      <c r="M490" s="319">
        <f t="shared" si="7"/>
        <v>23.969560092661698</v>
      </c>
      <c r="N490" s="317">
        <v>2.5000251176646149</v>
      </c>
      <c r="O490" s="315" t="s">
        <v>1168</v>
      </c>
      <c r="P490" s="318">
        <v>177</v>
      </c>
      <c r="R490" s="320">
        <v>80.555555555555557</v>
      </c>
      <c r="S490" s="318">
        <v>41</v>
      </c>
      <c r="T490" s="318">
        <v>68.55</v>
      </c>
      <c r="U490" s="318">
        <v>545</v>
      </c>
      <c r="V490" s="315">
        <v>0.2</v>
      </c>
      <c r="W490" s="318">
        <v>62.66</v>
      </c>
      <c r="X490" s="315">
        <v>0</v>
      </c>
      <c r="Y490" s="315" t="s">
        <v>1149</v>
      </c>
      <c r="Z490" s="315">
        <v>0</v>
      </c>
      <c r="AA490" s="315" t="s">
        <v>1150</v>
      </c>
      <c r="AB490" s="315">
        <v>0</v>
      </c>
      <c r="AC490" s="315">
        <v>1460</v>
      </c>
      <c r="AD490" s="315">
        <v>1460</v>
      </c>
      <c r="AE490" s="315">
        <v>0.45</v>
      </c>
      <c r="AF490" s="315">
        <v>1.25</v>
      </c>
      <c r="AG490" s="315">
        <v>0.6</v>
      </c>
      <c r="AH490" s="315">
        <v>405</v>
      </c>
    </row>
    <row r="491" spans="1:34">
      <c r="A491" s="315" t="s">
        <v>1145</v>
      </c>
      <c r="B491" s="315" t="s">
        <v>663</v>
      </c>
      <c r="C491" s="316" t="s">
        <v>1865</v>
      </c>
      <c r="D491" s="316" t="s">
        <v>1865</v>
      </c>
      <c r="E491" s="317">
        <v>7.48</v>
      </c>
      <c r="F491" s="317">
        <v>0</v>
      </c>
      <c r="G491" s="317">
        <v>0</v>
      </c>
      <c r="H491" s="317">
        <v>0</v>
      </c>
      <c r="I491" s="318">
        <v>0</v>
      </c>
      <c r="J491" s="318">
        <v>83.423707463901096</v>
      </c>
      <c r="K491" s="319">
        <v>21.691631627440199</v>
      </c>
      <c r="L491" s="319">
        <v>21.691631627440199</v>
      </c>
      <c r="M491" s="319">
        <f t="shared" si="7"/>
        <v>21.691631627440199</v>
      </c>
      <c r="N491" s="317">
        <v>1.622534045732527</v>
      </c>
      <c r="O491" s="315" t="s">
        <v>1168</v>
      </c>
      <c r="P491" s="318">
        <v>177</v>
      </c>
      <c r="R491" s="320">
        <v>80.555555555555557</v>
      </c>
      <c r="S491" s="318">
        <v>34</v>
      </c>
      <c r="T491" s="318">
        <v>88.47</v>
      </c>
      <c r="U491" s="318">
        <v>164</v>
      </c>
      <c r="V491" s="315">
        <v>0.22</v>
      </c>
      <c r="W491" s="318">
        <v>17.72</v>
      </c>
      <c r="X491" s="315">
        <v>0</v>
      </c>
      <c r="Y491" s="315" t="s">
        <v>1149</v>
      </c>
      <c r="Z491" s="315">
        <v>0</v>
      </c>
      <c r="AA491" s="315" t="s">
        <v>1150</v>
      </c>
      <c r="AB491" s="315">
        <v>0</v>
      </c>
      <c r="AC491" s="315">
        <v>1427</v>
      </c>
      <c r="AD491" s="315">
        <v>1390</v>
      </c>
      <c r="AE491" s="315">
        <v>0.33</v>
      </c>
      <c r="AF491" s="315">
        <v>1.19</v>
      </c>
      <c r="AG491" s="315">
        <v>1.1000000000000001</v>
      </c>
      <c r="AH491" s="315">
        <v>300</v>
      </c>
    </row>
    <row r="492" spans="1:34">
      <c r="A492" s="315" t="s">
        <v>1145</v>
      </c>
      <c r="B492" s="315" t="s">
        <v>663</v>
      </c>
      <c r="C492" s="316" t="s">
        <v>1866</v>
      </c>
      <c r="D492" s="316" t="s">
        <v>1866</v>
      </c>
      <c r="E492" s="317">
        <v>1.0200000971018073</v>
      </c>
      <c r="F492" s="317">
        <v>1.4101499999999999E-2</v>
      </c>
      <c r="G492" s="317">
        <v>1.4101499999999999E-2</v>
      </c>
      <c r="H492" s="317">
        <v>1.4101499999999999E-2</v>
      </c>
      <c r="I492" s="318">
        <v>1.3824998683889844</v>
      </c>
      <c r="J492" s="318">
        <v>67.064013273092897</v>
      </c>
      <c r="K492" s="319">
        <v>31.351549878982997</v>
      </c>
      <c r="L492" s="319">
        <v>29.969050010594014</v>
      </c>
      <c r="M492" s="319">
        <f t="shared" si="7"/>
        <v>29.969050010594014</v>
      </c>
      <c r="N492" s="317">
        <v>0.30568433920854809</v>
      </c>
      <c r="O492" s="315" t="s">
        <v>1148</v>
      </c>
      <c r="P492" s="318">
        <v>178</v>
      </c>
      <c r="R492" s="320">
        <v>81.111111111111114</v>
      </c>
      <c r="S492" s="318">
        <v>42</v>
      </c>
      <c r="T492" s="318">
        <v>66.78</v>
      </c>
      <c r="U492" s="318">
        <v>141.083</v>
      </c>
      <c r="V492" s="315">
        <v>0.22</v>
      </c>
      <c r="W492" s="318">
        <v>21.47</v>
      </c>
      <c r="X492" s="315">
        <v>0</v>
      </c>
      <c r="Y492" s="315" t="s">
        <v>1149</v>
      </c>
      <c r="Z492" s="315">
        <v>0</v>
      </c>
      <c r="AA492" s="315" t="s">
        <v>1190</v>
      </c>
      <c r="AB492" s="315">
        <v>21.515427876576982</v>
      </c>
      <c r="AC492" s="315">
        <v>1345</v>
      </c>
      <c r="AD492" s="315">
        <v>1345</v>
      </c>
      <c r="AE492" s="315">
        <v>0.4</v>
      </c>
      <c r="AF492" s="315">
        <v>1.29</v>
      </c>
      <c r="AG492" s="315">
        <v>0.6</v>
      </c>
      <c r="AH492" s="315">
        <v>440</v>
      </c>
    </row>
    <row r="493" spans="1:34">
      <c r="A493" s="315" t="s">
        <v>1145</v>
      </c>
      <c r="B493" s="315" t="s">
        <v>663</v>
      </c>
      <c r="C493" s="316" t="s">
        <v>1867</v>
      </c>
      <c r="D493" s="316" t="s">
        <v>1867</v>
      </c>
      <c r="E493" s="317">
        <v>0.38000003617518302</v>
      </c>
      <c r="F493" s="317">
        <v>0</v>
      </c>
      <c r="G493" s="317">
        <v>0</v>
      </c>
      <c r="H493" s="317">
        <v>0</v>
      </c>
      <c r="I493" s="318">
        <v>0</v>
      </c>
      <c r="J493" s="318">
        <v>88.467003949836894</v>
      </c>
      <c r="K493" s="319">
        <v>18.426493716258499</v>
      </c>
      <c r="L493" s="319">
        <v>18.426493716258499</v>
      </c>
      <c r="M493" s="319">
        <f t="shared" si="7"/>
        <v>18.426493716258499</v>
      </c>
      <c r="N493" s="317">
        <v>7.0020682787600125E-2</v>
      </c>
      <c r="O493" s="315" t="s">
        <v>1168</v>
      </c>
      <c r="P493" s="318">
        <v>178.70473195</v>
      </c>
      <c r="R493" s="320">
        <v>81.502628861111106</v>
      </c>
      <c r="S493" s="318">
        <v>40</v>
      </c>
      <c r="T493" s="318">
        <v>19.88</v>
      </c>
      <c r="U493" s="318">
        <v>488.86900000000003</v>
      </c>
      <c r="V493" s="315">
        <v>0.18</v>
      </c>
      <c r="W493" s="318">
        <v>10</v>
      </c>
      <c r="X493" s="315">
        <v>1</v>
      </c>
      <c r="Y493" s="315" t="s">
        <v>1149</v>
      </c>
      <c r="Z493" s="315">
        <v>0</v>
      </c>
      <c r="AA493" s="315" t="s">
        <v>1190</v>
      </c>
      <c r="AB493" s="315">
        <v>0</v>
      </c>
      <c r="AC493" s="315">
        <v>1517.0805500000001</v>
      </c>
      <c r="AD493" s="315">
        <v>1400</v>
      </c>
      <c r="AE493" s="315">
        <v>0.36</v>
      </c>
      <c r="AF493" s="315">
        <v>1.22</v>
      </c>
      <c r="AG493" s="315">
        <v>0.6</v>
      </c>
      <c r="AH493" s="315">
        <v>370</v>
      </c>
    </row>
    <row r="494" spans="1:34">
      <c r="A494" s="315" t="s">
        <v>1145</v>
      </c>
      <c r="B494" s="315" t="s">
        <v>663</v>
      </c>
      <c r="C494" s="316" t="s">
        <v>1868</v>
      </c>
      <c r="D494" s="316" t="s">
        <v>1868</v>
      </c>
      <c r="E494" s="317">
        <v>2.430000231330776</v>
      </c>
      <c r="F494" s="317">
        <v>0.10795159999999999</v>
      </c>
      <c r="G494" s="317">
        <v>0.1186709</v>
      </c>
      <c r="H494" s="317">
        <v>0.1186709</v>
      </c>
      <c r="I494" s="318">
        <v>4.8835756667813373</v>
      </c>
      <c r="J494" s="318">
        <v>83.902127951186202</v>
      </c>
      <c r="K494" s="319">
        <v>22.395865991414901</v>
      </c>
      <c r="L494" s="319">
        <v>17.512290324633565</v>
      </c>
      <c r="M494" s="319">
        <f t="shared" si="7"/>
        <v>17.512290324633565</v>
      </c>
      <c r="N494" s="317">
        <v>0.42554869539991275</v>
      </c>
      <c r="O494" s="315" t="s">
        <v>1148</v>
      </c>
      <c r="P494" s="318">
        <v>179.79725000000002</v>
      </c>
      <c r="R494" s="320">
        <v>82.109583333333347</v>
      </c>
      <c r="S494" s="318">
        <v>40</v>
      </c>
      <c r="T494" s="318">
        <v>27.95</v>
      </c>
      <c r="U494" s="318">
        <v>305.13300000000004</v>
      </c>
      <c r="V494" s="315">
        <v>0.23</v>
      </c>
      <c r="W494" s="318">
        <v>46.67</v>
      </c>
      <c r="X494" s="315">
        <v>1</v>
      </c>
      <c r="Y494" s="315" t="s">
        <v>1149</v>
      </c>
      <c r="Z494" s="315">
        <v>1</v>
      </c>
      <c r="AA494" s="315" t="s">
        <v>1190</v>
      </c>
      <c r="AB494" s="315">
        <v>0.4692916025528045</v>
      </c>
      <c r="AC494" s="315">
        <v>1499.7599999999998</v>
      </c>
      <c r="AD494" s="315">
        <v>1500</v>
      </c>
      <c r="AE494" s="315">
        <v>0.28999999999999998</v>
      </c>
      <c r="AF494" s="315">
        <v>1.24</v>
      </c>
      <c r="AG494" s="315">
        <v>0.6</v>
      </c>
      <c r="AH494" s="315">
        <v>400</v>
      </c>
    </row>
    <row r="495" spans="1:34">
      <c r="A495" s="315" t="s">
        <v>1145</v>
      </c>
      <c r="B495" s="315" t="s">
        <v>663</v>
      </c>
      <c r="C495" s="316" t="s">
        <v>1869</v>
      </c>
      <c r="D495" s="316" t="s">
        <v>1869</v>
      </c>
      <c r="E495" s="317">
        <v>3.5900003417602817</v>
      </c>
      <c r="F495" s="317">
        <v>0</v>
      </c>
      <c r="G495" s="317">
        <v>0</v>
      </c>
      <c r="H495" s="317">
        <v>0</v>
      </c>
      <c r="I495" s="318">
        <v>0</v>
      </c>
      <c r="J495" s="318">
        <v>50.197970612116798</v>
      </c>
      <c r="K495" s="319">
        <v>33.737373604526802</v>
      </c>
      <c r="L495" s="319">
        <v>33.737373604526802</v>
      </c>
      <c r="M495" s="319">
        <f t="shared" si="7"/>
        <v>33.737373604526802</v>
      </c>
      <c r="N495" s="317">
        <v>1.2111718277034551</v>
      </c>
      <c r="O495" s="315" t="s">
        <v>1168</v>
      </c>
      <c r="P495" s="318">
        <v>179.79725000000002</v>
      </c>
      <c r="R495" s="320">
        <v>82.109583333333347</v>
      </c>
      <c r="S495" s="318">
        <v>40</v>
      </c>
      <c r="T495" s="318">
        <v>41.79</v>
      </c>
      <c r="U495" s="318">
        <v>298.57100000000003</v>
      </c>
      <c r="V495" s="315">
        <v>0.2</v>
      </c>
      <c r="W495" s="318">
        <v>10</v>
      </c>
      <c r="X495" s="315">
        <v>0</v>
      </c>
      <c r="Y495" s="315" t="s">
        <v>1149</v>
      </c>
      <c r="Z495" s="315">
        <v>0</v>
      </c>
      <c r="AA495" s="315" t="s">
        <v>1190</v>
      </c>
      <c r="AB495" s="315">
        <v>0.3580610995460265</v>
      </c>
      <c r="AC495" s="315">
        <v>1499.7599999999998</v>
      </c>
      <c r="AD495" s="315">
        <v>1500</v>
      </c>
      <c r="AE495" s="315">
        <v>0.10299999999999998</v>
      </c>
      <c r="AF495" s="315">
        <v>1.24</v>
      </c>
      <c r="AG495" s="315">
        <v>0.6</v>
      </c>
      <c r="AH495" s="315">
        <v>400</v>
      </c>
    </row>
    <row r="496" spans="1:34">
      <c r="A496" s="315" t="s">
        <v>1145</v>
      </c>
      <c r="B496" s="315" t="s">
        <v>663</v>
      </c>
      <c r="C496" s="316" t="s">
        <v>1870</v>
      </c>
      <c r="D496" s="316" t="s">
        <v>1870</v>
      </c>
      <c r="E496" s="317">
        <v>2.780000264650023</v>
      </c>
      <c r="F496" s="317">
        <v>9.3099999999999997E-4</v>
      </c>
      <c r="G496" s="317">
        <v>1.4090000000000001E-3</v>
      </c>
      <c r="H496" s="317">
        <v>1.4090000000000001E-3</v>
      </c>
      <c r="I496" s="318">
        <v>5.0683448412454757E-2</v>
      </c>
      <c r="J496" s="318">
        <v>81.456828243992305</v>
      </c>
      <c r="K496" s="319">
        <v>22.745048628350101</v>
      </c>
      <c r="L496" s="319">
        <v>22.694365179937648</v>
      </c>
      <c r="M496" s="319">
        <f t="shared" si="7"/>
        <v>22.694365179937648</v>
      </c>
      <c r="N496" s="317">
        <v>0.63090341206290923</v>
      </c>
      <c r="O496" s="315" t="s">
        <v>1148</v>
      </c>
      <c r="P496" s="318">
        <v>180</v>
      </c>
      <c r="R496" s="320">
        <v>82.222222222222229</v>
      </c>
      <c r="S496" s="318">
        <v>40</v>
      </c>
      <c r="T496" s="318">
        <v>24.07</v>
      </c>
      <c r="U496" s="318">
        <v>849.779</v>
      </c>
      <c r="V496" s="315">
        <v>0.2</v>
      </c>
      <c r="W496" s="318">
        <v>10</v>
      </c>
      <c r="X496" s="315">
        <v>1</v>
      </c>
      <c r="Y496" s="315" t="s">
        <v>1149</v>
      </c>
      <c r="Z496" s="315">
        <v>0</v>
      </c>
      <c r="AA496" s="315" t="s">
        <v>1190</v>
      </c>
      <c r="AB496" s="315">
        <v>0.68853128825273369</v>
      </c>
      <c r="AC496" s="315">
        <v>1520</v>
      </c>
      <c r="AD496" s="315">
        <v>1520</v>
      </c>
      <c r="AE496" s="315">
        <v>0.45</v>
      </c>
      <c r="AF496" s="315">
        <v>1.2547299999999999</v>
      </c>
      <c r="AG496" s="315">
        <v>0.56000000000000005</v>
      </c>
      <c r="AH496" s="315">
        <v>412</v>
      </c>
    </row>
    <row r="497" spans="1:34">
      <c r="A497" s="315" t="s">
        <v>1715</v>
      </c>
      <c r="B497" s="315" t="s">
        <v>663</v>
      </c>
      <c r="C497" s="316" t="s">
        <v>1871</v>
      </c>
      <c r="D497" s="316" t="s">
        <v>1871</v>
      </c>
      <c r="E497" s="317">
        <v>1.5800001504126033</v>
      </c>
      <c r="F497" s="317">
        <v>0</v>
      </c>
      <c r="G497" s="317">
        <v>0</v>
      </c>
      <c r="H497" s="317">
        <v>0</v>
      </c>
      <c r="I497" s="318">
        <v>0</v>
      </c>
      <c r="J497" s="318">
        <v>77.835991140621203</v>
      </c>
      <c r="K497" s="319">
        <v>28.4625712560252</v>
      </c>
      <c r="L497" s="319">
        <v>28.4625712560252</v>
      </c>
      <c r="M497" s="319">
        <f t="shared" si="7"/>
        <v>28.4625712560252</v>
      </c>
      <c r="N497" s="317">
        <v>0.44970866865649256</v>
      </c>
      <c r="O497" s="315" t="s">
        <v>1168</v>
      </c>
      <c r="P497" s="318">
        <v>180.10599999999999</v>
      </c>
      <c r="R497" s="320">
        <v>82.281111111111102</v>
      </c>
      <c r="S497" s="318">
        <v>40</v>
      </c>
      <c r="T497" s="318">
        <v>22.6</v>
      </c>
      <c r="U497" s="318">
        <v>180.45500000000001</v>
      </c>
      <c r="V497" s="315">
        <v>0.2</v>
      </c>
      <c r="W497" s="318">
        <v>112</v>
      </c>
      <c r="X497" s="315">
        <v>0</v>
      </c>
      <c r="Y497" s="315" t="s">
        <v>1149</v>
      </c>
      <c r="Z497" s="315">
        <v>0</v>
      </c>
      <c r="AA497" s="315" t="s">
        <v>1190</v>
      </c>
      <c r="AB497" s="315">
        <v>1.0994621505073141</v>
      </c>
      <c r="AC497" s="315">
        <v>1452.5509999999999</v>
      </c>
      <c r="AD497" s="315">
        <v>1400</v>
      </c>
      <c r="AE497" s="315">
        <v>0.36</v>
      </c>
      <c r="AF497" s="315">
        <v>1.22</v>
      </c>
      <c r="AG497" s="315">
        <v>0.6</v>
      </c>
      <c r="AH497" s="315">
        <v>370</v>
      </c>
    </row>
    <row r="498" spans="1:34">
      <c r="A498" s="315" t="s">
        <v>1872</v>
      </c>
      <c r="B498" s="315" t="s">
        <v>663</v>
      </c>
      <c r="C498" s="316" t="s">
        <v>1873</v>
      </c>
      <c r="D498" s="316" t="s">
        <v>1873</v>
      </c>
      <c r="E498" s="317">
        <v>0.99000009424587165</v>
      </c>
      <c r="F498" s="317">
        <v>0.25971519999999998</v>
      </c>
      <c r="G498" s="317">
        <v>0.25971519999999998</v>
      </c>
      <c r="H498" s="317">
        <v>0.25971519999999998</v>
      </c>
      <c r="I498" s="318">
        <v>26.233856088451883</v>
      </c>
      <c r="J498" s="318">
        <v>87.435241614639594</v>
      </c>
      <c r="K498" s="319">
        <v>19.916714765895101</v>
      </c>
      <c r="L498" s="319">
        <v>-6.3171413225567825</v>
      </c>
      <c r="M498" s="319">
        <f t="shared" si="7"/>
        <v>0</v>
      </c>
      <c r="N498" s="317">
        <v>0</v>
      </c>
      <c r="O498" s="315" t="s">
        <v>1148</v>
      </c>
      <c r="P498" s="318">
        <v>180.16346455000001</v>
      </c>
      <c r="R498" s="320">
        <v>82.313035861111132</v>
      </c>
      <c r="S498" s="318">
        <v>40</v>
      </c>
      <c r="T498" s="318">
        <v>19.690000000000001</v>
      </c>
      <c r="U498" s="318">
        <v>370.75300000000004</v>
      </c>
      <c r="V498" s="315">
        <v>0.19</v>
      </c>
      <c r="W498" s="318">
        <v>10.98</v>
      </c>
      <c r="X498" s="315">
        <v>1</v>
      </c>
      <c r="Y498" s="315" t="s">
        <v>1149</v>
      </c>
      <c r="Z498" s="315">
        <v>0</v>
      </c>
      <c r="AA498" s="315" t="s">
        <v>1190</v>
      </c>
      <c r="AB498" s="315">
        <v>0</v>
      </c>
      <c r="AC498" s="315">
        <v>1469.2624490000001</v>
      </c>
      <c r="AD498" s="315">
        <v>1400</v>
      </c>
      <c r="AE498" s="315">
        <v>0.33</v>
      </c>
      <c r="AF498" s="315">
        <v>1.22</v>
      </c>
      <c r="AG498" s="315">
        <v>0.6</v>
      </c>
      <c r="AH498" s="315">
        <v>370</v>
      </c>
    </row>
    <row r="499" spans="1:34">
      <c r="A499" s="315" t="s">
        <v>1874</v>
      </c>
      <c r="B499" s="315" t="s">
        <v>663</v>
      </c>
      <c r="C499" s="316" t="s">
        <v>1875</v>
      </c>
      <c r="D499" s="316" t="s">
        <v>1875</v>
      </c>
      <c r="E499" s="317">
        <v>2.4764545357531254</v>
      </c>
      <c r="F499" s="317">
        <v>0</v>
      </c>
      <c r="G499" s="317">
        <v>0</v>
      </c>
      <c r="H499" s="317">
        <v>0</v>
      </c>
      <c r="I499" s="318">
        <v>0</v>
      </c>
      <c r="J499" s="318">
        <v>87.092332850413797</v>
      </c>
      <c r="K499" s="319">
        <v>19.3247518870829</v>
      </c>
      <c r="L499" s="319">
        <v>19.3247518870829</v>
      </c>
      <c r="M499" s="319">
        <f t="shared" si="7"/>
        <v>19.3247518870829</v>
      </c>
      <c r="N499" s="317">
        <v>0.47856869463070217</v>
      </c>
      <c r="O499" s="315" t="s">
        <v>1168</v>
      </c>
      <c r="P499" s="318">
        <v>181</v>
      </c>
      <c r="R499" s="320">
        <v>82.777777777777771</v>
      </c>
      <c r="S499" s="318">
        <v>41</v>
      </c>
      <c r="T499" s="318">
        <v>21.62</v>
      </c>
      <c r="U499" s="318">
        <v>433</v>
      </c>
      <c r="V499" s="315">
        <v>0.18</v>
      </c>
      <c r="W499" s="318">
        <v>10</v>
      </c>
      <c r="X499" s="315">
        <v>0</v>
      </c>
      <c r="Y499" s="315" t="s">
        <v>1149</v>
      </c>
      <c r="Z499" s="315">
        <v>0</v>
      </c>
      <c r="AA499" s="315" t="s">
        <v>1157</v>
      </c>
      <c r="AB499" s="315">
        <v>0</v>
      </c>
      <c r="AC499" s="315">
        <v>1600</v>
      </c>
      <c r="AD499" s="315">
        <v>1505</v>
      </c>
      <c r="AE499" s="315">
        <v>0.36749999999999999</v>
      </c>
      <c r="AF499" s="315">
        <v>1.25</v>
      </c>
      <c r="AG499" s="315">
        <v>0.6</v>
      </c>
      <c r="AH499" s="315">
        <v>414</v>
      </c>
    </row>
    <row r="500" spans="1:34">
      <c r="A500" s="315" t="s">
        <v>1145</v>
      </c>
      <c r="B500" s="315" t="s">
        <v>663</v>
      </c>
      <c r="C500" s="316" t="s">
        <v>1876</v>
      </c>
      <c r="D500" s="316" t="s">
        <v>1876</v>
      </c>
      <c r="E500" s="317">
        <v>12.960001233764139</v>
      </c>
      <c r="F500" s="317">
        <v>0</v>
      </c>
      <c r="G500" s="317">
        <v>0</v>
      </c>
      <c r="H500" s="317">
        <v>3.8479999999999999</v>
      </c>
      <c r="I500" s="318">
        <v>29.691355198138169</v>
      </c>
      <c r="J500" s="318">
        <v>63.149583364344402</v>
      </c>
      <c r="K500" s="319">
        <v>39.964945737278597</v>
      </c>
      <c r="L500" s="319">
        <v>10.273590539140429</v>
      </c>
      <c r="M500" s="319">
        <f t="shared" si="7"/>
        <v>10.273590539140429</v>
      </c>
      <c r="N500" s="317">
        <v>1.3314574606244753</v>
      </c>
      <c r="O500" s="315" t="s">
        <v>1168</v>
      </c>
      <c r="P500" s="318">
        <v>181.09543260000001</v>
      </c>
      <c r="R500" s="320">
        <v>82.830795888888886</v>
      </c>
      <c r="S500" s="318">
        <v>32</v>
      </c>
      <c r="T500" s="318">
        <v>10</v>
      </c>
      <c r="U500" s="318">
        <v>106</v>
      </c>
      <c r="V500" s="315">
        <v>0.21204400000000001</v>
      </c>
      <c r="W500" s="318">
        <v>539.89490000000001</v>
      </c>
      <c r="X500" s="315">
        <v>0</v>
      </c>
      <c r="Y500" s="315" t="s">
        <v>1149</v>
      </c>
      <c r="Z500" s="315">
        <v>0</v>
      </c>
      <c r="AA500" s="315" t="s">
        <v>1157</v>
      </c>
      <c r="AB500" s="315">
        <v>0</v>
      </c>
      <c r="AC500" s="315">
        <v>1540</v>
      </c>
      <c r="AD500" s="315">
        <v>1540</v>
      </c>
      <c r="AE500" s="315">
        <v>0.5</v>
      </c>
      <c r="AF500" s="315">
        <v>1.2</v>
      </c>
      <c r="AG500" s="315">
        <v>0.8</v>
      </c>
      <c r="AH500" s="315">
        <v>300</v>
      </c>
    </row>
    <row r="501" spans="1:34">
      <c r="A501" s="315" t="s">
        <v>1877</v>
      </c>
      <c r="B501" s="315" t="s">
        <v>663</v>
      </c>
      <c r="C501" s="316" t="s">
        <v>1878</v>
      </c>
      <c r="D501" s="316" t="s">
        <v>1878</v>
      </c>
      <c r="E501" s="317">
        <v>37.220003543263978</v>
      </c>
      <c r="F501" s="317">
        <v>9.8125914999999999</v>
      </c>
      <c r="G501" s="317">
        <v>10.582183799999999</v>
      </c>
      <c r="H501" s="317">
        <v>12.7951838</v>
      </c>
      <c r="I501" s="318">
        <v>34.377169752622585</v>
      </c>
      <c r="J501" s="318">
        <v>63.0208185656235</v>
      </c>
      <c r="K501" s="319">
        <v>40.191610016979403</v>
      </c>
      <c r="L501" s="319">
        <v>5.8144402643568185</v>
      </c>
      <c r="M501" s="319">
        <f t="shared" si="7"/>
        <v>5.8144402643568185</v>
      </c>
      <c r="N501" s="317">
        <v>2.164134872414575</v>
      </c>
      <c r="O501" s="315" t="s">
        <v>1148</v>
      </c>
      <c r="P501" s="318">
        <v>181.09543260000001</v>
      </c>
      <c r="R501" s="320">
        <v>82.830795888888886</v>
      </c>
      <c r="S501" s="318">
        <v>32</v>
      </c>
      <c r="T501" s="318">
        <v>10</v>
      </c>
      <c r="U501" s="318">
        <v>192</v>
      </c>
      <c r="V501" s="315">
        <v>0.21205499999999999</v>
      </c>
      <c r="W501" s="318">
        <v>539.90049999999997</v>
      </c>
      <c r="X501" s="315">
        <v>0</v>
      </c>
      <c r="Y501" s="315" t="s">
        <v>1149</v>
      </c>
      <c r="Z501" s="315">
        <v>0</v>
      </c>
      <c r="AA501" s="315" t="s">
        <v>1150</v>
      </c>
      <c r="AB501" s="315">
        <v>0</v>
      </c>
      <c r="AC501" s="315">
        <v>1631</v>
      </c>
      <c r="AD501" s="315">
        <v>1631</v>
      </c>
      <c r="AE501" s="315">
        <v>0.5</v>
      </c>
      <c r="AF501" s="315">
        <v>1.2</v>
      </c>
      <c r="AG501" s="315">
        <v>0.8</v>
      </c>
      <c r="AH501" s="315">
        <v>300</v>
      </c>
    </row>
    <row r="502" spans="1:34">
      <c r="A502" s="315" t="s">
        <v>1209</v>
      </c>
      <c r="B502" s="315" t="s">
        <v>663</v>
      </c>
      <c r="C502" s="316" t="s">
        <v>1879</v>
      </c>
      <c r="D502" s="316" t="s">
        <v>1879</v>
      </c>
      <c r="E502" s="317">
        <v>2.390000227522862</v>
      </c>
      <c r="F502" s="317">
        <v>0</v>
      </c>
      <c r="G502" s="317">
        <v>0.22101460000000001</v>
      </c>
      <c r="H502" s="317">
        <v>0.37401459999999997</v>
      </c>
      <c r="I502" s="318">
        <v>15.649144953749685</v>
      </c>
      <c r="J502" s="318">
        <v>86.278811281243193</v>
      </c>
      <c r="K502" s="319">
        <v>20.8675497958241</v>
      </c>
      <c r="L502" s="319">
        <v>5.2184048420744151</v>
      </c>
      <c r="M502" s="319">
        <f t="shared" si="7"/>
        <v>5.2184048420744151</v>
      </c>
      <c r="N502" s="317">
        <v>0.12471988759864257</v>
      </c>
      <c r="O502" s="315" t="s">
        <v>1168</v>
      </c>
      <c r="P502" s="318">
        <v>182.32900000000001</v>
      </c>
      <c r="R502" s="320">
        <v>83.516111111111115</v>
      </c>
      <c r="S502" s="318">
        <v>40</v>
      </c>
      <c r="T502" s="318">
        <v>40.31</v>
      </c>
      <c r="U502" s="318">
        <v>180</v>
      </c>
      <c r="V502" s="315">
        <v>0.22</v>
      </c>
      <c r="W502" s="318">
        <v>28.56</v>
      </c>
      <c r="X502" s="315">
        <v>1</v>
      </c>
      <c r="Y502" s="315" t="s">
        <v>1149</v>
      </c>
      <c r="Z502" s="315">
        <v>0</v>
      </c>
      <c r="AA502" s="315" t="s">
        <v>1190</v>
      </c>
      <c r="AB502" s="315">
        <v>1.4302356872168296</v>
      </c>
      <c r="AC502" s="315">
        <v>1516.251</v>
      </c>
      <c r="AD502" s="315">
        <v>1500</v>
      </c>
      <c r="AE502" s="315">
        <v>0.37</v>
      </c>
      <c r="AF502" s="315">
        <v>1.24</v>
      </c>
      <c r="AG502" s="315">
        <v>0.6</v>
      </c>
      <c r="AH502" s="315">
        <v>400</v>
      </c>
    </row>
    <row r="503" spans="1:34">
      <c r="A503" s="315" t="s">
        <v>1145</v>
      </c>
      <c r="B503" s="315" t="s">
        <v>663</v>
      </c>
      <c r="C503" s="316" t="s">
        <v>1880</v>
      </c>
      <c r="D503" s="316" t="s">
        <v>1880</v>
      </c>
      <c r="E503" s="317">
        <v>11.600001104295062</v>
      </c>
      <c r="F503" s="317">
        <v>1.9241588000000001</v>
      </c>
      <c r="G503" s="317">
        <v>1.9241588000000001</v>
      </c>
      <c r="H503" s="317">
        <v>1.9241588000000001</v>
      </c>
      <c r="I503" s="318">
        <v>16.587574282967555</v>
      </c>
      <c r="J503" s="318">
        <v>77.178441298941195</v>
      </c>
      <c r="K503" s="319">
        <v>28.641591985674296</v>
      </c>
      <c r="L503" s="319">
        <v>12.054017702706741</v>
      </c>
      <c r="M503" s="319">
        <f t="shared" si="7"/>
        <v>12.054017702706741</v>
      </c>
      <c r="N503" s="317">
        <v>1.3982661866259041</v>
      </c>
      <c r="O503" s="315" t="s">
        <v>1148</v>
      </c>
      <c r="P503" s="318">
        <v>182.45249999999999</v>
      </c>
      <c r="R503" s="320">
        <v>83.584722222222211</v>
      </c>
      <c r="S503" s="318">
        <v>42</v>
      </c>
      <c r="T503" s="318">
        <v>31.5</v>
      </c>
      <c r="U503" s="318">
        <v>354.34800000000001</v>
      </c>
      <c r="V503" s="315">
        <v>0.22</v>
      </c>
      <c r="W503" s="318">
        <v>69</v>
      </c>
      <c r="X503" s="315">
        <v>0</v>
      </c>
      <c r="Y503" s="315" t="s">
        <v>1149</v>
      </c>
      <c r="Z503" s="315">
        <v>0</v>
      </c>
      <c r="AA503" s="315" t="s">
        <v>1190</v>
      </c>
      <c r="AB503" s="315">
        <v>1.1430018825096664</v>
      </c>
      <c r="AC503" s="315">
        <v>1552.3610000000001</v>
      </c>
      <c r="AD503" s="315">
        <v>1552</v>
      </c>
      <c r="AE503" s="315">
        <v>0.45</v>
      </c>
      <c r="AF503" s="315">
        <v>1.3</v>
      </c>
      <c r="AG503" s="315">
        <v>0.5</v>
      </c>
      <c r="AH503" s="315">
        <v>473</v>
      </c>
    </row>
    <row r="504" spans="1:34">
      <c r="A504" s="315" t="s">
        <v>1145</v>
      </c>
      <c r="B504" s="315" t="s">
        <v>663</v>
      </c>
      <c r="C504" s="316" t="s">
        <v>1881</v>
      </c>
      <c r="D504" s="316" t="s">
        <v>1881</v>
      </c>
      <c r="E504" s="317">
        <v>2.1531449049747464</v>
      </c>
      <c r="F504" s="317">
        <v>1.5393071</v>
      </c>
      <c r="G504" s="317">
        <v>1.5393071</v>
      </c>
      <c r="H504" s="317">
        <v>1.5393071</v>
      </c>
      <c r="I504" s="318">
        <v>71.491105705124568</v>
      </c>
      <c r="J504" s="318">
        <v>83.756578223378895</v>
      </c>
      <c r="K504" s="319">
        <v>24.707466815224301</v>
      </c>
      <c r="L504" s="319">
        <v>-46.783638889900267</v>
      </c>
      <c r="M504" s="319">
        <f t="shared" si="7"/>
        <v>0</v>
      </c>
      <c r="N504" s="317">
        <v>0</v>
      </c>
      <c r="O504" s="315" t="s">
        <v>1148</v>
      </c>
      <c r="P504" s="318">
        <v>182.79728729999999</v>
      </c>
      <c r="R504" s="320">
        <v>83.776270722222222</v>
      </c>
      <c r="S504" s="318">
        <v>40</v>
      </c>
      <c r="T504" s="318">
        <v>24.513999999999999</v>
      </c>
      <c r="U504" s="318">
        <v>400.28200000000004</v>
      </c>
      <c r="V504" s="315">
        <v>0.23</v>
      </c>
      <c r="W504" s="318">
        <v>219.35</v>
      </c>
      <c r="X504" s="315">
        <v>1</v>
      </c>
      <c r="Y504" s="315" t="s">
        <v>1149</v>
      </c>
      <c r="Z504" s="315">
        <v>0</v>
      </c>
      <c r="AA504" s="315" t="s">
        <v>1190</v>
      </c>
      <c r="AB504" s="315">
        <v>0</v>
      </c>
      <c r="AC504" s="315">
        <v>1570.9676999999999</v>
      </c>
      <c r="AD504" s="315">
        <v>1350</v>
      </c>
      <c r="AE504" s="315">
        <v>0.28999999999999998</v>
      </c>
      <c r="AF504" s="315">
        <v>1.21</v>
      </c>
      <c r="AG504" s="315">
        <v>0.61</v>
      </c>
      <c r="AH504" s="315">
        <v>350</v>
      </c>
    </row>
    <row r="505" spans="1:34">
      <c r="A505" s="315" t="s">
        <v>1717</v>
      </c>
      <c r="B505" s="315" t="s">
        <v>663</v>
      </c>
      <c r="C505" s="316" t="s">
        <v>1882</v>
      </c>
      <c r="D505" s="316" t="s">
        <v>1882</v>
      </c>
      <c r="E505" s="317">
        <v>2.4900000000000002</v>
      </c>
      <c r="F505" s="317">
        <v>0</v>
      </c>
      <c r="G505" s="317">
        <v>0</v>
      </c>
      <c r="H505" s="317">
        <v>0</v>
      </c>
      <c r="I505" s="318">
        <v>0</v>
      </c>
      <c r="J505" s="318">
        <v>83.196875633733498</v>
      </c>
      <c r="K505" s="319">
        <v>21.296142828400701</v>
      </c>
      <c r="L505" s="319">
        <v>21.296142828400701</v>
      </c>
      <c r="M505" s="319">
        <f t="shared" si="7"/>
        <v>21.296142828400701</v>
      </c>
      <c r="N505" s="317">
        <v>0.53027395642717745</v>
      </c>
      <c r="O505" s="315" t="s">
        <v>1168</v>
      </c>
      <c r="P505" s="318">
        <v>183</v>
      </c>
      <c r="R505" s="320">
        <v>83.888888888888886</v>
      </c>
      <c r="S505" s="318">
        <v>34</v>
      </c>
      <c r="T505" s="318">
        <v>30.46</v>
      </c>
      <c r="U505" s="318">
        <v>492</v>
      </c>
      <c r="V505" s="315">
        <v>0.17</v>
      </c>
      <c r="W505" s="318">
        <v>10</v>
      </c>
      <c r="X505" s="315">
        <v>0</v>
      </c>
      <c r="Y505" s="315" t="s">
        <v>1149</v>
      </c>
      <c r="Z505" s="315">
        <v>0</v>
      </c>
      <c r="AA505" s="315" t="s">
        <v>1150</v>
      </c>
      <c r="AB505" s="315">
        <v>0</v>
      </c>
      <c r="AC505" s="315">
        <v>1500</v>
      </c>
      <c r="AD505" s="315">
        <v>1500</v>
      </c>
      <c r="AE505" s="315">
        <v>0.26</v>
      </c>
      <c r="AF505" s="315">
        <v>1.2</v>
      </c>
      <c r="AG505" s="315">
        <v>1</v>
      </c>
      <c r="AH505" s="315">
        <v>325</v>
      </c>
    </row>
    <row r="506" spans="1:34">
      <c r="A506" s="315" t="s">
        <v>1883</v>
      </c>
      <c r="B506" s="315" t="s">
        <v>663</v>
      </c>
      <c r="C506" s="316" t="s">
        <v>1884</v>
      </c>
      <c r="D506" s="316" t="s">
        <v>1884</v>
      </c>
      <c r="E506" s="317">
        <v>12.69</v>
      </c>
      <c r="F506" s="317">
        <v>0</v>
      </c>
      <c r="G506" s="317">
        <v>0</v>
      </c>
      <c r="H506" s="317">
        <v>0</v>
      </c>
      <c r="I506" s="318">
        <v>0</v>
      </c>
      <c r="J506" s="318">
        <v>80.222041669796894</v>
      </c>
      <c r="K506" s="319">
        <v>23.165460194654202</v>
      </c>
      <c r="L506" s="319">
        <v>23.165460194654202</v>
      </c>
      <c r="M506" s="319">
        <f t="shared" si="7"/>
        <v>23.165460194654202</v>
      </c>
      <c r="N506" s="317">
        <v>2.9396968987016181</v>
      </c>
      <c r="O506" s="315" t="s">
        <v>1168</v>
      </c>
      <c r="P506" s="318">
        <v>183</v>
      </c>
      <c r="R506" s="320">
        <v>83.888888888888886</v>
      </c>
      <c r="S506" s="318">
        <v>34</v>
      </c>
      <c r="T506" s="318">
        <v>15.45</v>
      </c>
      <c r="U506" s="318">
        <v>591</v>
      </c>
      <c r="V506" s="315">
        <v>0.13</v>
      </c>
      <c r="W506" s="318">
        <v>10</v>
      </c>
      <c r="X506" s="315">
        <v>0</v>
      </c>
      <c r="Y506" s="315" t="s">
        <v>1149</v>
      </c>
      <c r="Z506" s="315">
        <v>0</v>
      </c>
      <c r="AA506" s="315" t="s">
        <v>1150</v>
      </c>
      <c r="AB506" s="315">
        <v>0</v>
      </c>
      <c r="AC506" s="315">
        <v>1570</v>
      </c>
      <c r="AD506" s="315">
        <v>1570</v>
      </c>
      <c r="AE506" s="315">
        <v>0.24</v>
      </c>
      <c r="AF506" s="315">
        <v>1.2</v>
      </c>
      <c r="AG506" s="315">
        <v>1</v>
      </c>
      <c r="AH506" s="315">
        <v>340</v>
      </c>
    </row>
    <row r="507" spans="1:34">
      <c r="A507" s="315" t="s">
        <v>1758</v>
      </c>
      <c r="B507" s="315" t="s">
        <v>663</v>
      </c>
      <c r="C507" s="316" t="s">
        <v>1885</v>
      </c>
      <c r="D507" s="316" t="s">
        <v>1885</v>
      </c>
      <c r="E507" s="317">
        <v>7.47</v>
      </c>
      <c r="F507" s="317">
        <v>0</v>
      </c>
      <c r="G507" s="317">
        <v>0</v>
      </c>
      <c r="H507" s="317">
        <v>0</v>
      </c>
      <c r="I507" s="318">
        <v>0</v>
      </c>
      <c r="J507" s="318">
        <v>88.629228011304505</v>
      </c>
      <c r="K507" s="319">
        <v>18.3344525820205</v>
      </c>
      <c r="L507" s="319">
        <v>18.3344525820205</v>
      </c>
      <c r="M507" s="319">
        <f t="shared" si="7"/>
        <v>18.3344525820205</v>
      </c>
      <c r="N507" s="317">
        <v>1.3695836078769312</v>
      </c>
      <c r="O507" s="315" t="s">
        <v>1168</v>
      </c>
      <c r="P507" s="318">
        <v>184</v>
      </c>
      <c r="R507" s="320">
        <v>84.444444444444443</v>
      </c>
      <c r="S507" s="318">
        <v>34</v>
      </c>
      <c r="T507" s="318">
        <v>37.729999999999997</v>
      </c>
      <c r="U507" s="318">
        <v>613</v>
      </c>
      <c r="V507" s="315">
        <v>0.19</v>
      </c>
      <c r="W507" s="318">
        <v>10</v>
      </c>
      <c r="X507" s="315">
        <v>0</v>
      </c>
      <c r="Y507" s="315" t="s">
        <v>1149</v>
      </c>
      <c r="Z507" s="315">
        <v>0</v>
      </c>
      <c r="AA507" s="315" t="s">
        <v>1150</v>
      </c>
      <c r="AB507" s="315">
        <v>0</v>
      </c>
      <c r="AC507" s="315">
        <v>1520</v>
      </c>
      <c r="AD507" s="315">
        <v>1490</v>
      </c>
      <c r="AE507" s="315">
        <v>0.39</v>
      </c>
      <c r="AF507" s="315">
        <v>1.21</v>
      </c>
      <c r="AG507" s="315">
        <v>0.9</v>
      </c>
      <c r="AH507" s="315">
        <v>320</v>
      </c>
    </row>
    <row r="508" spans="1:34">
      <c r="A508" s="315" t="s">
        <v>1145</v>
      </c>
      <c r="B508" s="315" t="s">
        <v>663</v>
      </c>
      <c r="C508" s="316" t="s">
        <v>1886</v>
      </c>
      <c r="D508" s="316" t="s">
        <v>1886</v>
      </c>
      <c r="E508" s="317">
        <v>3.7328700553611704</v>
      </c>
      <c r="F508" s="317">
        <v>0</v>
      </c>
      <c r="G508" s="317">
        <v>0</v>
      </c>
      <c r="H508" s="317">
        <v>0</v>
      </c>
      <c r="I508" s="318">
        <v>0</v>
      </c>
      <c r="J508" s="318">
        <v>89.485959757162703</v>
      </c>
      <c r="K508" s="319">
        <v>17.515183509053699</v>
      </c>
      <c r="L508" s="319">
        <v>17.515183509053699</v>
      </c>
      <c r="M508" s="319">
        <f t="shared" si="7"/>
        <v>17.515183509053699</v>
      </c>
      <c r="N508" s="317">
        <v>0.65381904035102345</v>
      </c>
      <c r="O508" s="315" t="s">
        <v>1168</v>
      </c>
      <c r="P508" s="318">
        <v>184.36675</v>
      </c>
      <c r="R508" s="320">
        <v>84.648194444444442</v>
      </c>
      <c r="S508" s="318">
        <v>18</v>
      </c>
      <c r="T508" s="318">
        <v>26.83</v>
      </c>
      <c r="U508" s="318">
        <v>259</v>
      </c>
      <c r="V508" s="315">
        <v>0.24</v>
      </c>
      <c r="W508" s="318">
        <v>26.27</v>
      </c>
      <c r="X508" s="315">
        <v>0</v>
      </c>
      <c r="Y508" s="315" t="s">
        <v>1149</v>
      </c>
      <c r="Z508" s="315">
        <v>0</v>
      </c>
      <c r="AA508" s="315" t="s">
        <v>1150</v>
      </c>
      <c r="AB508" s="315">
        <v>0</v>
      </c>
      <c r="AC508" s="315">
        <v>1557.9</v>
      </c>
      <c r="AD508" s="315">
        <v>1250</v>
      </c>
      <c r="AE508" s="315">
        <v>0.38</v>
      </c>
      <c r="AF508" s="315">
        <v>1.18</v>
      </c>
      <c r="AG508" s="315">
        <v>11</v>
      </c>
      <c r="AH508" s="315">
        <v>150</v>
      </c>
    </row>
    <row r="509" spans="1:34">
      <c r="A509" s="315" t="s">
        <v>1145</v>
      </c>
      <c r="B509" s="315" t="s">
        <v>663</v>
      </c>
      <c r="C509" s="316" t="s">
        <v>1887</v>
      </c>
      <c r="D509" s="316" t="s">
        <v>1887</v>
      </c>
      <c r="E509" s="317">
        <v>38.700003684156805</v>
      </c>
      <c r="F509" s="317">
        <v>12.266476000000001</v>
      </c>
      <c r="G509" s="317">
        <v>13.273937200000001</v>
      </c>
      <c r="H509" s="317">
        <v>15.8359372</v>
      </c>
      <c r="I509" s="318">
        <v>40.919730471454692</v>
      </c>
      <c r="J509" s="318">
        <v>53.136223202272198</v>
      </c>
      <c r="K509" s="319">
        <v>43.702603817312301</v>
      </c>
      <c r="L509" s="319">
        <v>2.7828733458576096</v>
      </c>
      <c r="M509" s="319">
        <f t="shared" si="7"/>
        <v>2.7828733458576096</v>
      </c>
      <c r="N509" s="317">
        <v>1.0769720873723125</v>
      </c>
      <c r="O509" s="315" t="s">
        <v>1148</v>
      </c>
      <c r="P509" s="318">
        <v>184.42849999999999</v>
      </c>
      <c r="R509" s="320">
        <v>84.68249999999999</v>
      </c>
      <c r="S509" s="318">
        <v>41</v>
      </c>
      <c r="T509" s="318">
        <v>18</v>
      </c>
      <c r="U509" s="318">
        <v>126</v>
      </c>
      <c r="V509" s="315">
        <v>0.212728</v>
      </c>
      <c r="W509" s="318">
        <v>530.6182</v>
      </c>
      <c r="X509" s="315">
        <v>0</v>
      </c>
      <c r="Y509" s="315" t="s">
        <v>1149</v>
      </c>
      <c r="Z509" s="315">
        <v>1</v>
      </c>
      <c r="AA509" s="315" t="s">
        <v>1190</v>
      </c>
      <c r="AB509" s="316">
        <v>0</v>
      </c>
      <c r="AC509" s="316">
        <v>1500</v>
      </c>
      <c r="AD509" s="316">
        <v>1500</v>
      </c>
      <c r="AE509" s="316">
        <v>0.65999999999999992</v>
      </c>
      <c r="AF509" s="316">
        <v>1.2</v>
      </c>
      <c r="AG509" s="316">
        <v>0.5</v>
      </c>
      <c r="AH509" s="316">
        <v>399</v>
      </c>
    </row>
    <row r="510" spans="1:34">
      <c r="A510" s="315" t="s">
        <v>1145</v>
      </c>
      <c r="B510" s="315" t="s">
        <v>663</v>
      </c>
      <c r="C510" s="316" t="s">
        <v>1888</v>
      </c>
      <c r="D510" s="316" t="s">
        <v>1888</v>
      </c>
      <c r="E510" s="317">
        <v>10.130000964354224</v>
      </c>
      <c r="F510" s="317">
        <v>0.98985009999999996</v>
      </c>
      <c r="G510" s="317">
        <v>1.0124971</v>
      </c>
      <c r="H510" s="317">
        <v>1.0124971</v>
      </c>
      <c r="I510" s="318">
        <v>9.9950345865001164</v>
      </c>
      <c r="J510" s="318">
        <v>65.734534335853397</v>
      </c>
      <c r="K510" s="319">
        <v>29.8441442696863</v>
      </c>
      <c r="L510" s="319">
        <v>19.849109683186185</v>
      </c>
      <c r="M510" s="319">
        <f t="shared" si="7"/>
        <v>19.849109683186185</v>
      </c>
      <c r="N510" s="317">
        <v>2.0107150023224882</v>
      </c>
      <c r="O510" s="315" t="s">
        <v>1148</v>
      </c>
      <c r="P510" s="318">
        <v>185.67423215000002</v>
      </c>
      <c r="R510" s="320">
        <v>85.374573416666692</v>
      </c>
      <c r="S510" s="318">
        <v>42</v>
      </c>
      <c r="T510" s="318">
        <v>47</v>
      </c>
      <c r="U510" s="318">
        <v>547.92700000000002</v>
      </c>
      <c r="V510" s="315">
        <v>0.2</v>
      </c>
      <c r="W510" s="318">
        <v>10</v>
      </c>
      <c r="X510" s="315">
        <v>1</v>
      </c>
      <c r="Y510" s="315" t="s">
        <v>1149</v>
      </c>
      <c r="Z510" s="315">
        <v>0</v>
      </c>
      <c r="AA510" s="315" t="s">
        <v>1190</v>
      </c>
      <c r="AB510" s="316">
        <v>0</v>
      </c>
      <c r="AC510" s="316">
        <v>1640.2134500000002</v>
      </c>
      <c r="AD510" s="316">
        <v>1600</v>
      </c>
      <c r="AE510" s="316">
        <v>0.28000000000000003</v>
      </c>
      <c r="AF510" s="316">
        <v>1.3</v>
      </c>
      <c r="AG510" s="316">
        <v>0.5</v>
      </c>
      <c r="AH510" s="316">
        <v>480</v>
      </c>
    </row>
    <row r="511" spans="1:34">
      <c r="A511" s="315" t="s">
        <v>1145</v>
      </c>
      <c r="B511" s="315" t="s">
        <v>663</v>
      </c>
      <c r="C511" s="316" t="s">
        <v>1889</v>
      </c>
      <c r="D511" s="316" t="s">
        <v>1889</v>
      </c>
      <c r="E511" s="317">
        <v>3.4400003274806044</v>
      </c>
      <c r="F511" s="317">
        <v>0</v>
      </c>
      <c r="G511" s="317">
        <v>0</v>
      </c>
      <c r="H511" s="317">
        <v>0</v>
      </c>
      <c r="I511" s="318">
        <v>0</v>
      </c>
      <c r="J511" s="318">
        <v>87.777980954836394</v>
      </c>
      <c r="K511" s="319">
        <v>18.680915302789799</v>
      </c>
      <c r="L511" s="319">
        <v>18.680915302789799</v>
      </c>
      <c r="M511" s="319">
        <f t="shared" si="7"/>
        <v>18.680915302789799</v>
      </c>
      <c r="N511" s="317">
        <v>0.64262354759234341</v>
      </c>
      <c r="O511" s="315" t="s">
        <v>1168</v>
      </c>
      <c r="P511" s="318">
        <v>188</v>
      </c>
      <c r="R511" s="320">
        <v>86.666666666666671</v>
      </c>
      <c r="S511" s="318">
        <v>40</v>
      </c>
      <c r="T511" s="318">
        <v>39.369999999999997</v>
      </c>
      <c r="U511" s="318">
        <v>269</v>
      </c>
      <c r="V511" s="315">
        <v>0.12</v>
      </c>
      <c r="W511" s="318">
        <v>10</v>
      </c>
      <c r="X511" s="315">
        <v>0</v>
      </c>
      <c r="Y511" s="315" t="s">
        <v>1149</v>
      </c>
      <c r="Z511" s="315">
        <v>0</v>
      </c>
      <c r="AA511" s="315" t="s">
        <v>1150</v>
      </c>
      <c r="AB511" s="316">
        <v>0</v>
      </c>
      <c r="AC511" s="316">
        <v>1700</v>
      </c>
      <c r="AD511" s="316">
        <v>1630</v>
      </c>
      <c r="AE511" s="316">
        <v>0.33</v>
      </c>
      <c r="AF511" s="316">
        <v>1.3</v>
      </c>
      <c r="AG511" s="316">
        <v>0.5</v>
      </c>
      <c r="AH511" s="316">
        <v>435</v>
      </c>
    </row>
    <row r="512" spans="1:34">
      <c r="A512" s="315" t="s">
        <v>1890</v>
      </c>
      <c r="B512" s="315" t="s">
        <v>663</v>
      </c>
      <c r="C512" s="316" t="s">
        <v>1891</v>
      </c>
      <c r="D512" s="316" t="s">
        <v>1891</v>
      </c>
      <c r="E512" s="317">
        <v>5.677967940530289</v>
      </c>
      <c r="F512" s="317">
        <v>0</v>
      </c>
      <c r="G512" s="317">
        <v>0</v>
      </c>
      <c r="H512" s="317">
        <v>0</v>
      </c>
      <c r="I512" s="318">
        <v>0</v>
      </c>
      <c r="J512" s="318">
        <v>85.612741346575405</v>
      </c>
      <c r="K512" s="319">
        <v>20.338538709025698</v>
      </c>
      <c r="L512" s="319">
        <v>20.338538709025698</v>
      </c>
      <c r="M512" s="319">
        <f t="shared" si="7"/>
        <v>20.338538709025698</v>
      </c>
      <c r="N512" s="317">
        <v>1.1548157074708221</v>
      </c>
      <c r="O512" s="315" t="s">
        <v>1168</v>
      </c>
      <c r="P512" s="318">
        <v>189</v>
      </c>
      <c r="R512" s="320">
        <v>87.222222222222229</v>
      </c>
      <c r="S512" s="318">
        <v>40</v>
      </c>
      <c r="T512" s="318">
        <v>25</v>
      </c>
      <c r="U512" s="318">
        <v>216</v>
      </c>
      <c r="V512" s="315">
        <v>0.317</v>
      </c>
      <c r="W512" s="318">
        <v>200</v>
      </c>
      <c r="X512" s="315">
        <v>0</v>
      </c>
      <c r="Y512" s="315" t="s">
        <v>1149</v>
      </c>
      <c r="Z512" s="315">
        <v>0</v>
      </c>
      <c r="AA512" s="315" t="s">
        <v>1150</v>
      </c>
      <c r="AB512" s="316">
        <v>0</v>
      </c>
      <c r="AC512" s="316">
        <v>1606</v>
      </c>
      <c r="AD512" s="316">
        <v>1606</v>
      </c>
      <c r="AE512" s="316">
        <v>0.38400000000000001</v>
      </c>
      <c r="AF512" s="316">
        <v>1.3</v>
      </c>
      <c r="AG512" s="316">
        <v>0.5</v>
      </c>
      <c r="AH512" s="316">
        <v>425</v>
      </c>
    </row>
    <row r="513" spans="1:34">
      <c r="A513" s="315" t="s">
        <v>1145</v>
      </c>
      <c r="B513" s="315" t="s">
        <v>663</v>
      </c>
      <c r="C513" s="316" t="s">
        <v>1892</v>
      </c>
      <c r="D513" s="316" t="s">
        <v>1892</v>
      </c>
      <c r="E513" s="317">
        <v>8.7200008301252545</v>
      </c>
      <c r="F513" s="317">
        <v>0</v>
      </c>
      <c r="G513" s="317">
        <v>0</v>
      </c>
      <c r="H513" s="317">
        <v>0</v>
      </c>
      <c r="I513" s="318">
        <v>0</v>
      </c>
      <c r="J513" s="318">
        <v>89.145728266699095</v>
      </c>
      <c r="K513" s="319">
        <v>18.652114002502302</v>
      </c>
      <c r="L513" s="319">
        <v>18.652114002502302</v>
      </c>
      <c r="M513" s="319">
        <f t="shared" si="7"/>
        <v>18.652114002502302</v>
      </c>
      <c r="N513" s="317">
        <v>1.6264644958541095</v>
      </c>
      <c r="O513" s="315" t="s">
        <v>1168</v>
      </c>
      <c r="P513" s="318">
        <v>190</v>
      </c>
      <c r="R513" s="320">
        <v>87.777777777777771</v>
      </c>
      <c r="S513" s="318">
        <v>38</v>
      </c>
      <c r="T513" s="318">
        <v>37.450000000000003</v>
      </c>
      <c r="U513" s="318">
        <v>492</v>
      </c>
      <c r="V513" s="315">
        <v>0.19</v>
      </c>
      <c r="W513" s="318">
        <v>1.5</v>
      </c>
      <c r="X513" s="315">
        <v>0</v>
      </c>
      <c r="Y513" s="315" t="s">
        <v>1149</v>
      </c>
      <c r="Z513" s="315">
        <v>0</v>
      </c>
      <c r="AA513" s="315" t="s">
        <v>1157</v>
      </c>
      <c r="AB513" s="316">
        <v>0</v>
      </c>
      <c r="AC513" s="316">
        <v>1638</v>
      </c>
      <c r="AD513" s="316">
        <v>1638</v>
      </c>
      <c r="AE513" s="316">
        <v>0.36</v>
      </c>
      <c r="AF513" s="316">
        <v>1.3</v>
      </c>
      <c r="AG513" s="316">
        <v>0.57999999999999996</v>
      </c>
      <c r="AH513" s="316">
        <v>460</v>
      </c>
    </row>
    <row r="514" spans="1:34">
      <c r="A514" s="315" t="s">
        <v>1893</v>
      </c>
      <c r="B514" s="315" t="s">
        <v>663</v>
      </c>
      <c r="C514" s="316" t="s">
        <v>1894</v>
      </c>
      <c r="D514" s="316" t="s">
        <v>1894</v>
      </c>
      <c r="E514" s="317">
        <v>1.5779170502142965</v>
      </c>
      <c r="F514" s="317">
        <v>3.5555000000000003E-2</v>
      </c>
      <c r="G514" s="317">
        <v>3.5555000000000003E-2</v>
      </c>
      <c r="H514" s="317">
        <v>3.5555000000000003E-2</v>
      </c>
      <c r="I514" s="318">
        <v>2.2532870150031834</v>
      </c>
      <c r="J514" s="318">
        <v>76.280837243618095</v>
      </c>
      <c r="K514" s="319">
        <v>26.940731669277202</v>
      </c>
      <c r="L514" s="319">
        <v>24.687444654274017</v>
      </c>
      <c r="M514" s="319">
        <f t="shared" ref="M514:M577" si="8">IF(L514&lt;0,0,L514)</f>
        <v>24.687444654274017</v>
      </c>
      <c r="N514" s="317">
        <v>0.38954739846200764</v>
      </c>
      <c r="O514" s="315" t="s">
        <v>1148</v>
      </c>
      <c r="P514" s="318">
        <v>190</v>
      </c>
      <c r="R514" s="320">
        <v>87.777777777777771</v>
      </c>
      <c r="S514" s="318">
        <v>41</v>
      </c>
      <c r="T514" s="318">
        <v>23.61</v>
      </c>
      <c r="U514" s="318">
        <v>180.45500000000001</v>
      </c>
      <c r="V514" s="315">
        <v>0.19</v>
      </c>
      <c r="W514" s="318">
        <v>7.12</v>
      </c>
      <c r="X514" s="315">
        <v>0</v>
      </c>
      <c r="Y514" s="315" t="s">
        <v>1149</v>
      </c>
      <c r="Z514" s="315">
        <v>0</v>
      </c>
      <c r="AA514" s="315" t="s">
        <v>1190</v>
      </c>
      <c r="AB514" s="316">
        <v>8.8262370540851549</v>
      </c>
      <c r="AC514" s="316">
        <v>1500</v>
      </c>
      <c r="AD514" s="316">
        <v>1500</v>
      </c>
      <c r="AE514" s="316">
        <v>0.43</v>
      </c>
      <c r="AF514" s="316">
        <v>1.32</v>
      </c>
      <c r="AG514" s="316">
        <v>0.6</v>
      </c>
      <c r="AH514" s="316">
        <v>475</v>
      </c>
    </row>
    <row r="515" spans="1:34">
      <c r="A515" s="315" t="s">
        <v>1895</v>
      </c>
      <c r="B515" s="315" t="s">
        <v>663</v>
      </c>
      <c r="C515" s="316" t="s">
        <v>1896</v>
      </c>
      <c r="D515" s="316" t="s">
        <v>1896</v>
      </c>
      <c r="E515" s="317">
        <v>7.2400006892324358</v>
      </c>
      <c r="F515" s="317">
        <v>0</v>
      </c>
      <c r="G515" s="317">
        <v>0</v>
      </c>
      <c r="H515" s="317">
        <v>0</v>
      </c>
      <c r="I515" s="318">
        <v>0</v>
      </c>
      <c r="J515" s="318">
        <v>79.524592681529796</v>
      </c>
      <c r="K515" s="319">
        <v>23.7522685660287</v>
      </c>
      <c r="L515" s="319">
        <v>23.7522685660287</v>
      </c>
      <c r="M515" s="319">
        <f t="shared" si="8"/>
        <v>23.7522685660287</v>
      </c>
      <c r="N515" s="317">
        <v>1.719664407888817</v>
      </c>
      <c r="O515" s="315" t="s">
        <v>1168</v>
      </c>
      <c r="P515" s="318">
        <v>190</v>
      </c>
      <c r="R515" s="320">
        <v>87.777777777777771</v>
      </c>
      <c r="S515" s="318">
        <v>41</v>
      </c>
      <c r="T515" s="318">
        <v>47.23</v>
      </c>
      <c r="U515" s="318">
        <v>354</v>
      </c>
      <c r="V515" s="315">
        <v>0.2</v>
      </c>
      <c r="W515" s="318">
        <v>39.32</v>
      </c>
      <c r="X515" s="315">
        <v>0</v>
      </c>
      <c r="Y515" s="315" t="s">
        <v>1149</v>
      </c>
      <c r="Z515" s="315">
        <v>0</v>
      </c>
      <c r="AA515" s="315" t="s">
        <v>1150</v>
      </c>
      <c r="AB515" s="316">
        <v>0</v>
      </c>
      <c r="AC515" s="316">
        <v>1787.8187500000001</v>
      </c>
      <c r="AD515" s="316">
        <v>1700</v>
      </c>
      <c r="AE515" s="316">
        <v>0.37</v>
      </c>
      <c r="AF515" s="316">
        <v>1.25</v>
      </c>
      <c r="AG515" s="316">
        <v>0.5</v>
      </c>
      <c r="AH515" s="316">
        <v>450</v>
      </c>
    </row>
    <row r="516" spans="1:34">
      <c r="A516" s="315" t="s">
        <v>1145</v>
      </c>
      <c r="B516" s="315" t="s">
        <v>663</v>
      </c>
      <c r="C516" s="316" t="s">
        <v>1897</v>
      </c>
      <c r="D516" s="316" t="s">
        <v>1897</v>
      </c>
      <c r="E516" s="317">
        <v>6.6600006340176812</v>
      </c>
      <c r="F516" s="317">
        <v>0</v>
      </c>
      <c r="G516" s="317">
        <v>0</v>
      </c>
      <c r="H516" s="317">
        <v>0</v>
      </c>
      <c r="I516" s="318">
        <v>0</v>
      </c>
      <c r="J516" s="318">
        <v>79.494353621695495</v>
      </c>
      <c r="K516" s="319">
        <v>24.1622796259139</v>
      </c>
      <c r="L516" s="319">
        <v>24.1622796259139</v>
      </c>
      <c r="M516" s="319">
        <f t="shared" si="8"/>
        <v>24.1622796259139</v>
      </c>
      <c r="N516" s="317">
        <v>1.6092079762789906</v>
      </c>
      <c r="O516" s="315" t="s">
        <v>1168</v>
      </c>
      <c r="P516" s="318">
        <v>191</v>
      </c>
      <c r="R516" s="320">
        <v>88.333333333333329</v>
      </c>
      <c r="S516" s="318">
        <v>40</v>
      </c>
      <c r="T516" s="318">
        <v>65.61</v>
      </c>
      <c r="U516" s="318">
        <v>348</v>
      </c>
      <c r="V516" s="315">
        <v>0.23499999999999999</v>
      </c>
      <c r="W516" s="318">
        <v>44.23</v>
      </c>
      <c r="X516" s="315">
        <v>0</v>
      </c>
      <c r="Y516" s="315" t="s">
        <v>1149</v>
      </c>
      <c r="Z516" s="315">
        <v>0</v>
      </c>
      <c r="AA516" s="315" t="s">
        <v>1150</v>
      </c>
      <c r="AB516" s="316">
        <v>0</v>
      </c>
      <c r="AC516" s="316">
        <v>1770</v>
      </c>
      <c r="AD516" s="316">
        <v>1675</v>
      </c>
      <c r="AE516" s="316">
        <v>0.43</v>
      </c>
      <c r="AF516" s="316">
        <v>1.27</v>
      </c>
      <c r="AG516" s="316">
        <v>0.5</v>
      </c>
      <c r="AH516" s="316">
        <v>440</v>
      </c>
    </row>
    <row r="517" spans="1:34">
      <c r="A517" s="315" t="s">
        <v>1145</v>
      </c>
      <c r="B517" s="315" t="s">
        <v>663</v>
      </c>
      <c r="C517" s="316" t="s">
        <v>1898</v>
      </c>
      <c r="D517" s="316" t="s">
        <v>1898</v>
      </c>
      <c r="E517" s="317">
        <v>3.52</v>
      </c>
      <c r="F517" s="317">
        <v>0</v>
      </c>
      <c r="G517" s="317">
        <v>0</v>
      </c>
      <c r="H517" s="317">
        <v>0</v>
      </c>
      <c r="I517" s="318">
        <v>0</v>
      </c>
      <c r="J517" s="318">
        <v>66.8088036957909</v>
      </c>
      <c r="K517" s="319">
        <v>28.748861186781099</v>
      </c>
      <c r="L517" s="319">
        <v>28.748861186781099</v>
      </c>
      <c r="M517" s="319">
        <f t="shared" si="8"/>
        <v>28.748861186781099</v>
      </c>
      <c r="N517" s="317">
        <v>1.0119599137746946</v>
      </c>
      <c r="O517" s="315" t="s">
        <v>1168</v>
      </c>
      <c r="P517" s="318">
        <v>191.38760150000002</v>
      </c>
      <c r="R517" s="320">
        <v>88.548667500000022</v>
      </c>
      <c r="S517" s="318">
        <v>32</v>
      </c>
      <c r="T517" s="318">
        <v>42.5</v>
      </c>
      <c r="U517" s="318">
        <v>557.77</v>
      </c>
      <c r="V517" s="315">
        <v>0.14099999999999999</v>
      </c>
      <c r="W517" s="318">
        <v>10</v>
      </c>
      <c r="X517" s="315">
        <v>0</v>
      </c>
      <c r="Y517" s="315" t="s">
        <v>1149</v>
      </c>
      <c r="Z517" s="315">
        <v>0</v>
      </c>
      <c r="AA517" s="315" t="s">
        <v>1190</v>
      </c>
      <c r="AB517" s="316">
        <v>0</v>
      </c>
      <c r="AC517" s="316">
        <v>1788.4567999999999</v>
      </c>
      <c r="AD517" s="316">
        <v>1600</v>
      </c>
      <c r="AE517" s="316">
        <v>0.3</v>
      </c>
      <c r="AF517" s="316">
        <v>1.2</v>
      </c>
      <c r="AG517" s="316">
        <v>1</v>
      </c>
      <c r="AH517" s="316">
        <v>350</v>
      </c>
    </row>
    <row r="518" spans="1:34">
      <c r="A518" s="315" t="s">
        <v>1145</v>
      </c>
      <c r="B518" s="315" t="s">
        <v>663</v>
      </c>
      <c r="C518" s="316" t="s">
        <v>1899</v>
      </c>
      <c r="D518" s="316" t="s">
        <v>1899</v>
      </c>
      <c r="E518" s="317">
        <v>1.27</v>
      </c>
      <c r="F518" s="317">
        <v>0</v>
      </c>
      <c r="G518" s="317">
        <v>0</v>
      </c>
      <c r="H518" s="317">
        <v>0</v>
      </c>
      <c r="I518" s="318">
        <v>0</v>
      </c>
      <c r="J518" s="318">
        <v>69.080267501217904</v>
      </c>
      <c r="K518" s="319">
        <v>27.780695328139</v>
      </c>
      <c r="L518" s="319">
        <v>27.780695328139</v>
      </c>
      <c r="M518" s="319">
        <f t="shared" si="8"/>
        <v>27.780695328139</v>
      </c>
      <c r="N518" s="317">
        <v>0.3528148306673653</v>
      </c>
      <c r="O518" s="315" t="s">
        <v>1168</v>
      </c>
      <c r="P518" s="318">
        <v>193</v>
      </c>
      <c r="R518" s="320">
        <v>89.444444444444443</v>
      </c>
      <c r="S518" s="318">
        <v>40</v>
      </c>
      <c r="T518" s="318">
        <v>18.02</v>
      </c>
      <c r="U518" s="318">
        <v>610</v>
      </c>
      <c r="V518" s="315">
        <v>0.18</v>
      </c>
      <c r="W518" s="318">
        <v>10</v>
      </c>
      <c r="X518" s="315">
        <v>0</v>
      </c>
      <c r="Y518" s="315" t="s">
        <v>1149</v>
      </c>
      <c r="Z518" s="315">
        <v>0</v>
      </c>
      <c r="AA518" s="315" t="s">
        <v>1150</v>
      </c>
      <c r="AB518" s="316">
        <v>0</v>
      </c>
      <c r="AC518" s="316">
        <v>1570</v>
      </c>
      <c r="AD518" s="316">
        <v>1470</v>
      </c>
      <c r="AE518" s="316">
        <v>0.27</v>
      </c>
      <c r="AF518" s="316">
        <v>1.3</v>
      </c>
      <c r="AG518" s="316">
        <v>0.52</v>
      </c>
      <c r="AH518" s="316">
        <v>450</v>
      </c>
    </row>
    <row r="519" spans="1:34">
      <c r="A519" s="315" t="s">
        <v>1145</v>
      </c>
      <c r="B519" s="315" t="s">
        <v>663</v>
      </c>
      <c r="C519" s="316" t="s">
        <v>1900</v>
      </c>
      <c r="D519" s="316" t="s">
        <v>1900</v>
      </c>
      <c r="E519" s="317">
        <v>2.0500001951555928</v>
      </c>
      <c r="F519" s="317">
        <v>0</v>
      </c>
      <c r="G519" s="317">
        <v>5.3596E-3</v>
      </c>
      <c r="H519" s="317">
        <v>5.3596E-3</v>
      </c>
      <c r="I519" s="318">
        <v>0.26144387755012932</v>
      </c>
      <c r="J519" s="318">
        <v>86.058545132594801</v>
      </c>
      <c r="K519" s="319">
        <v>19.985445681003199</v>
      </c>
      <c r="L519" s="319">
        <v>19.724001803453071</v>
      </c>
      <c r="M519" s="319">
        <f t="shared" si="8"/>
        <v>19.724001803453071</v>
      </c>
      <c r="N519" s="317">
        <v>0.4043420754632806</v>
      </c>
      <c r="O519" s="315" t="s">
        <v>1168</v>
      </c>
      <c r="P519" s="318">
        <v>194.50766844999998</v>
      </c>
      <c r="R519" s="320">
        <v>90.282038027777773</v>
      </c>
      <c r="S519" s="318">
        <v>40</v>
      </c>
      <c r="T519" s="318">
        <v>34.4</v>
      </c>
      <c r="U519" s="318">
        <v>698.85300000000007</v>
      </c>
      <c r="V519" s="315">
        <v>0.21</v>
      </c>
      <c r="W519" s="318">
        <v>10</v>
      </c>
      <c r="X519" s="315">
        <v>1</v>
      </c>
      <c r="Y519" s="315" t="s">
        <v>1149</v>
      </c>
      <c r="Z519" s="315">
        <v>0</v>
      </c>
      <c r="AA519" s="315" t="s">
        <v>1190</v>
      </c>
      <c r="AB519" s="316">
        <v>0</v>
      </c>
      <c r="AC519" s="316">
        <v>1754.2690499999999</v>
      </c>
      <c r="AD519" s="316">
        <v>1650</v>
      </c>
      <c r="AE519" s="316">
        <v>0.38</v>
      </c>
      <c r="AF519" s="316">
        <v>1.27</v>
      </c>
      <c r="AG519" s="316">
        <v>0.7</v>
      </c>
      <c r="AH519" s="316">
        <v>430</v>
      </c>
    </row>
    <row r="520" spans="1:34">
      <c r="A520" s="315" t="s">
        <v>1145</v>
      </c>
      <c r="B520" s="315" t="s">
        <v>663</v>
      </c>
      <c r="C520" s="316" t="s">
        <v>1901</v>
      </c>
      <c r="D520" s="316" t="s">
        <v>1901</v>
      </c>
      <c r="E520" s="317">
        <v>1.9800001884917433</v>
      </c>
      <c r="F520" s="317">
        <v>0.39262449999999999</v>
      </c>
      <c r="G520" s="317">
        <v>0.39262449999999999</v>
      </c>
      <c r="H520" s="317">
        <v>0.39262449999999999</v>
      </c>
      <c r="I520" s="318">
        <v>19.829518314292688</v>
      </c>
      <c r="J520" s="318">
        <v>78.350949153058593</v>
      </c>
      <c r="K520" s="319">
        <v>25.210460188118098</v>
      </c>
      <c r="L520" s="319">
        <v>5.3809418738254102</v>
      </c>
      <c r="M520" s="319">
        <f t="shared" si="8"/>
        <v>5.3809418738254102</v>
      </c>
      <c r="N520" s="317">
        <v>0.10654265924437427</v>
      </c>
      <c r="O520" s="315" t="s">
        <v>1148</v>
      </c>
      <c r="P520" s="318">
        <v>195.07495334999999</v>
      </c>
      <c r="R520" s="320">
        <v>90.597196305555542</v>
      </c>
      <c r="S520" s="318">
        <v>40</v>
      </c>
      <c r="T520" s="318">
        <v>18.53</v>
      </c>
      <c r="U520" s="318">
        <v>331.38100000000003</v>
      </c>
      <c r="V520" s="315">
        <v>0.19</v>
      </c>
      <c r="W520" s="318">
        <v>11.145</v>
      </c>
      <c r="X520" s="315">
        <v>1</v>
      </c>
      <c r="Y520" s="315" t="s">
        <v>1149</v>
      </c>
      <c r="Z520" s="315">
        <v>0</v>
      </c>
      <c r="AA520" s="315" t="s">
        <v>1190</v>
      </c>
      <c r="AB520" s="316">
        <v>0</v>
      </c>
      <c r="AC520" s="316">
        <v>1670</v>
      </c>
      <c r="AD520" s="316">
        <v>1670</v>
      </c>
      <c r="AE520" s="316">
        <v>0.44</v>
      </c>
      <c r="AF520" s="316">
        <v>1.3</v>
      </c>
      <c r="AG520" s="316">
        <v>0.5</v>
      </c>
      <c r="AH520" s="316">
        <v>460</v>
      </c>
    </row>
    <row r="521" spans="1:34">
      <c r="A521" s="315" t="s">
        <v>1145</v>
      </c>
      <c r="B521" s="315" t="s">
        <v>663</v>
      </c>
      <c r="C521" s="316" t="s">
        <v>1902</v>
      </c>
      <c r="D521" s="316" t="s">
        <v>1902</v>
      </c>
      <c r="E521" s="317">
        <v>6.69</v>
      </c>
      <c r="F521" s="317">
        <v>0</v>
      </c>
      <c r="G521" s="317">
        <v>0</v>
      </c>
      <c r="H521" s="317">
        <v>0</v>
      </c>
      <c r="I521" s="318">
        <v>0</v>
      </c>
      <c r="J521" s="318">
        <v>77.083553446724494</v>
      </c>
      <c r="K521" s="319">
        <v>24.772771786460702</v>
      </c>
      <c r="L521" s="319">
        <v>24.772771786460702</v>
      </c>
      <c r="M521" s="319">
        <f t="shared" si="8"/>
        <v>24.772771786460702</v>
      </c>
      <c r="N521" s="317">
        <v>1.657298432514221</v>
      </c>
      <c r="O521" s="315" t="s">
        <v>1168</v>
      </c>
      <c r="P521" s="318">
        <v>198</v>
      </c>
      <c r="R521" s="320">
        <v>92.222222222222229</v>
      </c>
      <c r="S521" s="318">
        <v>34</v>
      </c>
      <c r="T521" s="318">
        <v>37.65</v>
      </c>
      <c r="U521" s="318">
        <v>630</v>
      </c>
      <c r="V521" s="315">
        <v>0.17</v>
      </c>
      <c r="W521" s="318">
        <v>10</v>
      </c>
      <c r="X521" s="315">
        <v>0</v>
      </c>
      <c r="Y521" s="315" t="s">
        <v>1149</v>
      </c>
      <c r="Z521" s="315">
        <v>0</v>
      </c>
      <c r="AA521" s="315" t="s">
        <v>1150</v>
      </c>
      <c r="AB521" s="316">
        <v>0</v>
      </c>
      <c r="AC521" s="316">
        <v>1780</v>
      </c>
      <c r="AD521" s="316">
        <v>1780</v>
      </c>
      <c r="AE521" s="316">
        <v>0.21</v>
      </c>
      <c r="AF521" s="316">
        <v>1.2</v>
      </c>
      <c r="AG521" s="316">
        <v>0.8</v>
      </c>
      <c r="AH521" s="316">
        <v>380</v>
      </c>
    </row>
    <row r="522" spans="1:34">
      <c r="A522" s="315" t="s">
        <v>1145</v>
      </c>
      <c r="B522" s="315" t="s">
        <v>663</v>
      </c>
      <c r="C522" s="316" t="s">
        <v>1903</v>
      </c>
      <c r="D522" s="316" t="s">
        <v>1903</v>
      </c>
      <c r="E522" s="317">
        <v>26.192636193482421</v>
      </c>
      <c r="F522" s="317">
        <v>0.57089520000000016</v>
      </c>
      <c r="G522" s="317">
        <v>0.68072850000000018</v>
      </c>
      <c r="H522" s="317">
        <v>0.68072850000000018</v>
      </c>
      <c r="I522" s="318">
        <v>2.5989308406054503</v>
      </c>
      <c r="J522" s="318">
        <v>82.408513452667293</v>
      </c>
      <c r="K522" s="319">
        <v>22.561163620714801</v>
      </c>
      <c r="L522" s="319">
        <v>19.96223278010935</v>
      </c>
      <c r="M522" s="319">
        <f t="shared" si="8"/>
        <v>19.96223278010935</v>
      </c>
      <c r="N522" s="317">
        <v>5.2286350081901336</v>
      </c>
      <c r="O522" s="315" t="s">
        <v>1148</v>
      </c>
      <c r="P522" s="318">
        <v>203</v>
      </c>
      <c r="R522" s="320">
        <v>95</v>
      </c>
      <c r="S522" s="318">
        <v>34</v>
      </c>
      <c r="T522" s="318">
        <v>56.82</v>
      </c>
      <c r="U522" s="318">
        <v>597</v>
      </c>
      <c r="V522" s="315">
        <v>0.18</v>
      </c>
      <c r="W522" s="318">
        <v>21.13</v>
      </c>
      <c r="X522" s="315">
        <v>0</v>
      </c>
      <c r="Y522" s="315" t="s">
        <v>1149</v>
      </c>
      <c r="Z522" s="315">
        <v>0</v>
      </c>
      <c r="AA522" s="315" t="s">
        <v>1150</v>
      </c>
      <c r="AB522" s="316">
        <v>0</v>
      </c>
      <c r="AC522" s="316">
        <v>1903</v>
      </c>
      <c r="AD522" s="316">
        <v>1880</v>
      </c>
      <c r="AE522" s="316">
        <v>0.33</v>
      </c>
      <c r="AF522" s="316">
        <v>1.25</v>
      </c>
      <c r="AG522" s="316">
        <v>0.8</v>
      </c>
      <c r="AH522" s="316">
        <v>390</v>
      </c>
    </row>
    <row r="523" spans="1:34">
      <c r="A523" s="315" t="s">
        <v>1145</v>
      </c>
      <c r="B523" s="315" t="s">
        <v>663</v>
      </c>
      <c r="C523" s="316" t="s">
        <v>1904</v>
      </c>
      <c r="D523" s="316" t="s">
        <v>1904</v>
      </c>
      <c r="E523" s="317">
        <v>0.38000003617518302</v>
      </c>
      <c r="F523" s="317">
        <v>0</v>
      </c>
      <c r="G523" s="317">
        <v>0</v>
      </c>
      <c r="H523" s="317">
        <v>0</v>
      </c>
      <c r="I523" s="318">
        <v>0</v>
      </c>
      <c r="J523" s="318">
        <v>84.359389773448498</v>
      </c>
      <c r="K523" s="319">
        <v>21.022402773266897</v>
      </c>
      <c r="L523" s="319">
        <v>21.022402773266897</v>
      </c>
      <c r="M523" s="319">
        <f t="shared" si="8"/>
        <v>21.022402773266897</v>
      </c>
      <c r="N523" s="317">
        <v>7.9885138143306889E-2</v>
      </c>
      <c r="O523" s="315" t="s">
        <v>1168</v>
      </c>
      <c r="P523" s="318">
        <v>207</v>
      </c>
      <c r="R523" s="320">
        <v>97.222222222222229</v>
      </c>
      <c r="S523" s="318">
        <v>33</v>
      </c>
      <c r="T523" s="318">
        <v>29.6</v>
      </c>
      <c r="U523" s="318">
        <v>512</v>
      </c>
      <c r="V523" s="315">
        <v>0.15</v>
      </c>
      <c r="W523" s="318">
        <v>13</v>
      </c>
      <c r="X523" s="315">
        <v>0</v>
      </c>
      <c r="Y523" s="315" t="s">
        <v>1149</v>
      </c>
      <c r="Z523" s="315">
        <v>0</v>
      </c>
      <c r="AA523" s="315" t="s">
        <v>1150</v>
      </c>
      <c r="AB523" s="316">
        <v>0</v>
      </c>
      <c r="AC523" s="316">
        <v>1980</v>
      </c>
      <c r="AD523" s="316">
        <v>1980</v>
      </c>
      <c r="AE523" s="316">
        <v>0.28500000000000003</v>
      </c>
      <c r="AF523" s="316">
        <v>1.3</v>
      </c>
      <c r="AG523" s="316">
        <v>0.8</v>
      </c>
      <c r="AH523" s="316">
        <v>400</v>
      </c>
    </row>
    <row r="524" spans="1:34">
      <c r="A524" s="315" t="s">
        <v>1758</v>
      </c>
      <c r="B524" s="315" t="s">
        <v>663</v>
      </c>
      <c r="C524" s="316" t="s">
        <v>1905</v>
      </c>
      <c r="D524" s="316" t="s">
        <v>1905</v>
      </c>
      <c r="E524" s="317">
        <v>1.56</v>
      </c>
      <c r="F524" s="317">
        <v>0</v>
      </c>
      <c r="G524" s="317">
        <v>0</v>
      </c>
      <c r="H524" s="317">
        <v>0</v>
      </c>
      <c r="I524" s="318">
        <v>0</v>
      </c>
      <c r="J524" s="318">
        <v>68.030662111119895</v>
      </c>
      <c r="K524" s="319">
        <v>28.499026528681199</v>
      </c>
      <c r="L524" s="319">
        <v>28.499026528681199</v>
      </c>
      <c r="M524" s="319">
        <f t="shared" si="8"/>
        <v>28.499026528681199</v>
      </c>
      <c r="N524" s="317">
        <v>0.44458481384742671</v>
      </c>
      <c r="O524" s="315" t="s">
        <v>1168</v>
      </c>
      <c r="P524" s="318">
        <v>208</v>
      </c>
      <c r="R524" s="320">
        <v>97.777777777777771</v>
      </c>
      <c r="S524" s="318">
        <v>32</v>
      </c>
      <c r="T524" s="318">
        <v>30.49</v>
      </c>
      <c r="U524" s="318">
        <v>256</v>
      </c>
      <c r="V524" s="315">
        <v>0.14000000000000001</v>
      </c>
      <c r="W524" s="318">
        <v>16.350000000000001</v>
      </c>
      <c r="X524" s="315">
        <v>0</v>
      </c>
      <c r="Y524" s="315" t="s">
        <v>1149</v>
      </c>
      <c r="Z524" s="315">
        <v>0</v>
      </c>
      <c r="AA524" s="315" t="s">
        <v>1150</v>
      </c>
      <c r="AB524" s="316">
        <v>0</v>
      </c>
      <c r="AC524" s="316">
        <v>2000</v>
      </c>
      <c r="AD524" s="316">
        <v>1970</v>
      </c>
      <c r="AE524" s="316">
        <v>0.4</v>
      </c>
      <c r="AF524" s="316">
        <v>1.25</v>
      </c>
      <c r="AG524" s="316">
        <v>1</v>
      </c>
      <c r="AH524" s="316">
        <v>390</v>
      </c>
    </row>
    <row r="525" spans="1:34">
      <c r="A525" s="315" t="s">
        <v>1906</v>
      </c>
      <c r="B525" s="315" t="s">
        <v>663</v>
      </c>
      <c r="C525" s="316" t="s">
        <v>1907</v>
      </c>
      <c r="D525" s="316" t="s">
        <v>1907</v>
      </c>
      <c r="E525" s="317">
        <v>5.9000005616673166</v>
      </c>
      <c r="F525" s="317">
        <v>0.24698329999999999</v>
      </c>
      <c r="G525" s="317">
        <v>0.24698329999999999</v>
      </c>
      <c r="H525" s="317">
        <v>0.24698329999999999</v>
      </c>
      <c r="I525" s="318">
        <v>4.1861572286054747</v>
      </c>
      <c r="J525" s="318">
        <v>64.071270959360305</v>
      </c>
      <c r="K525" s="319">
        <v>30.166226628087102</v>
      </c>
      <c r="L525" s="319">
        <v>25.980069399481629</v>
      </c>
      <c r="M525" s="319">
        <f t="shared" si="8"/>
        <v>25.980069399481629</v>
      </c>
      <c r="N525" s="317">
        <v>1.5328242404909749</v>
      </c>
      <c r="O525" s="315" t="s">
        <v>1148</v>
      </c>
      <c r="P525" s="318">
        <v>210.1890439</v>
      </c>
      <c r="R525" s="320">
        <v>98.993913277777779</v>
      </c>
      <c r="S525" s="318">
        <v>32</v>
      </c>
      <c r="T525" s="318">
        <v>80</v>
      </c>
      <c r="U525" s="318">
        <v>334.66200000000003</v>
      </c>
      <c r="V525" s="315">
        <v>0.13100000000000001</v>
      </c>
      <c r="W525" s="318">
        <v>10</v>
      </c>
      <c r="X525" s="315">
        <v>0</v>
      </c>
      <c r="Y525" s="315" t="s">
        <v>1149</v>
      </c>
      <c r="Z525" s="315">
        <v>0</v>
      </c>
      <c r="AA525" s="315" t="s">
        <v>1190</v>
      </c>
      <c r="AB525" s="316">
        <v>0</v>
      </c>
      <c r="AC525" s="316">
        <v>1540</v>
      </c>
      <c r="AD525" s="316">
        <v>1540</v>
      </c>
      <c r="AE525" s="316">
        <v>0.5</v>
      </c>
      <c r="AF525" s="316">
        <v>1.2</v>
      </c>
      <c r="AG525" s="316">
        <v>0.8</v>
      </c>
      <c r="AH525" s="316">
        <v>300</v>
      </c>
    </row>
    <row r="526" spans="1:34">
      <c r="A526" s="315" t="s">
        <v>1334</v>
      </c>
      <c r="B526" s="315" t="s">
        <v>663</v>
      </c>
      <c r="C526" s="316" t="s">
        <v>1908</v>
      </c>
      <c r="D526" s="316" t="s">
        <v>1908</v>
      </c>
      <c r="E526" s="317">
        <v>1.56</v>
      </c>
      <c r="F526" s="317">
        <v>0</v>
      </c>
      <c r="G526" s="317">
        <v>0</v>
      </c>
      <c r="H526" s="317">
        <v>0</v>
      </c>
      <c r="I526" s="318">
        <v>0</v>
      </c>
      <c r="J526" s="318">
        <v>67.393280595811106</v>
      </c>
      <c r="K526" s="319">
        <v>28.362143414733897</v>
      </c>
      <c r="L526" s="319">
        <v>28.362143414733897</v>
      </c>
      <c r="M526" s="319">
        <f t="shared" si="8"/>
        <v>28.362143414733897</v>
      </c>
      <c r="N526" s="317">
        <v>0.44244943726984881</v>
      </c>
      <c r="O526" s="315" t="s">
        <v>1168</v>
      </c>
      <c r="P526" s="318">
        <v>212</v>
      </c>
      <c r="R526" s="320">
        <v>100</v>
      </c>
      <c r="S526" s="318">
        <v>32</v>
      </c>
      <c r="T526" s="318">
        <v>24.36</v>
      </c>
      <c r="U526" s="318">
        <v>646</v>
      </c>
      <c r="V526" s="315">
        <v>0.06</v>
      </c>
      <c r="W526" s="318">
        <v>10</v>
      </c>
      <c r="X526" s="315">
        <v>0</v>
      </c>
      <c r="Y526" s="315" t="s">
        <v>1149</v>
      </c>
      <c r="Z526" s="315">
        <v>0</v>
      </c>
      <c r="AA526" s="315" t="s">
        <v>1150</v>
      </c>
      <c r="AB526" s="316">
        <v>0</v>
      </c>
      <c r="AC526" s="316">
        <v>2300</v>
      </c>
      <c r="AD526" s="316">
        <v>2118</v>
      </c>
      <c r="AE526" s="316">
        <v>0.3</v>
      </c>
      <c r="AF526" s="316">
        <v>1.3</v>
      </c>
      <c r="AG526" s="316">
        <v>0.8</v>
      </c>
      <c r="AH526" s="316">
        <v>420</v>
      </c>
    </row>
    <row r="527" spans="1:34">
      <c r="A527" s="315" t="s">
        <v>1334</v>
      </c>
      <c r="B527" s="315" t="s">
        <v>663</v>
      </c>
      <c r="C527" s="316" t="s">
        <v>1909</v>
      </c>
      <c r="D527" s="316" t="s">
        <v>1909</v>
      </c>
      <c r="E527" s="317">
        <v>2.290000218003077</v>
      </c>
      <c r="F527" s="317">
        <v>0</v>
      </c>
      <c r="G527" s="317">
        <v>0</v>
      </c>
      <c r="H527" s="317">
        <v>0</v>
      </c>
      <c r="I527" s="318">
        <v>0</v>
      </c>
      <c r="J527" s="318">
        <v>69.823046595668501</v>
      </c>
      <c r="K527" s="319">
        <v>27.708660573507199</v>
      </c>
      <c r="L527" s="319">
        <v>27.708660573507199</v>
      </c>
      <c r="M527" s="319">
        <f t="shared" si="8"/>
        <v>27.708660573507199</v>
      </c>
      <c r="N527" s="317">
        <v>0.6345283875390475</v>
      </c>
      <c r="O527" s="315" t="s">
        <v>1168</v>
      </c>
      <c r="P527" s="318">
        <v>212</v>
      </c>
      <c r="R527" s="320">
        <v>100</v>
      </c>
      <c r="S527" s="318">
        <v>32</v>
      </c>
      <c r="T527" s="318">
        <v>38.94</v>
      </c>
      <c r="U527" s="318">
        <v>535</v>
      </c>
      <c r="V527" s="315">
        <v>0.10299999999999999</v>
      </c>
      <c r="W527" s="318">
        <v>17</v>
      </c>
      <c r="X527" s="315">
        <v>0</v>
      </c>
      <c r="Y527" s="315" t="s">
        <v>1149</v>
      </c>
      <c r="Z527" s="315">
        <v>0</v>
      </c>
      <c r="AA527" s="315" t="s">
        <v>1157</v>
      </c>
      <c r="AB527" s="316">
        <v>0</v>
      </c>
      <c r="AC527" s="316">
        <v>2300</v>
      </c>
      <c r="AD527" s="316">
        <v>2118</v>
      </c>
      <c r="AE527" s="316">
        <v>0.27</v>
      </c>
      <c r="AF527" s="316">
        <v>1.3</v>
      </c>
      <c r="AG527" s="316">
        <v>0.8</v>
      </c>
      <c r="AH527" s="316">
        <v>420</v>
      </c>
    </row>
    <row r="528" spans="1:34">
      <c r="A528" s="315" t="s">
        <v>1334</v>
      </c>
      <c r="B528" s="315" t="s">
        <v>663</v>
      </c>
      <c r="C528" s="316" t="s">
        <v>1910</v>
      </c>
      <c r="D528" s="316" t="s">
        <v>1910</v>
      </c>
      <c r="E528" s="317">
        <v>11.12</v>
      </c>
      <c r="F528" s="317">
        <v>0</v>
      </c>
      <c r="G528" s="317">
        <v>0</v>
      </c>
      <c r="H528" s="317">
        <v>0</v>
      </c>
      <c r="I528" s="318">
        <v>0</v>
      </c>
      <c r="J528" s="318">
        <v>87.454169386728694</v>
      </c>
      <c r="K528" s="319">
        <v>18.9269407069255</v>
      </c>
      <c r="L528" s="319">
        <v>18.9269407069255</v>
      </c>
      <c r="M528" s="319">
        <f t="shared" si="8"/>
        <v>18.9269407069255</v>
      </c>
      <c r="N528" s="317">
        <v>2.1046758066101154</v>
      </c>
      <c r="O528" s="315" t="s">
        <v>1168</v>
      </c>
      <c r="P528" s="318">
        <v>215</v>
      </c>
      <c r="R528" s="320">
        <v>101.66666666666667</v>
      </c>
      <c r="S528" s="318">
        <v>32</v>
      </c>
      <c r="T528" s="318">
        <v>41.17</v>
      </c>
      <c r="U528" s="318">
        <v>128</v>
      </c>
      <c r="V528" s="315">
        <v>0.1462</v>
      </c>
      <c r="W528" s="318">
        <v>10</v>
      </c>
      <c r="X528" s="315">
        <v>0</v>
      </c>
      <c r="Y528" s="315" t="s">
        <v>1149</v>
      </c>
      <c r="Z528" s="315">
        <v>0</v>
      </c>
      <c r="AA528" s="315" t="s">
        <v>1150</v>
      </c>
      <c r="AB528" s="316">
        <v>0</v>
      </c>
      <c r="AC528" s="316">
        <v>2140</v>
      </c>
      <c r="AD528" s="316">
        <v>2040</v>
      </c>
      <c r="AE528" s="316">
        <v>0.38</v>
      </c>
      <c r="AF528" s="316">
        <v>1.3</v>
      </c>
      <c r="AG528" s="316">
        <v>0.8</v>
      </c>
      <c r="AH528" s="316">
        <v>400</v>
      </c>
    </row>
    <row r="529" spans="1:34">
      <c r="A529" s="315" t="s">
        <v>1334</v>
      </c>
      <c r="B529" s="315" t="s">
        <v>663</v>
      </c>
      <c r="C529" s="316" t="s">
        <v>1911</v>
      </c>
      <c r="D529" s="316" t="s">
        <v>1911</v>
      </c>
      <c r="E529" s="317">
        <v>7.7945991420290106</v>
      </c>
      <c r="F529" s="317">
        <v>0</v>
      </c>
      <c r="G529" s="317">
        <v>0</v>
      </c>
      <c r="H529" s="317">
        <v>0</v>
      </c>
      <c r="I529" s="318">
        <v>0</v>
      </c>
      <c r="J529" s="318">
        <v>85.587139653537605</v>
      </c>
      <c r="K529" s="319">
        <v>20.125332475581899</v>
      </c>
      <c r="L529" s="319">
        <v>20.125332475581899</v>
      </c>
      <c r="M529" s="319">
        <f t="shared" si="8"/>
        <v>20.125332475581899</v>
      </c>
      <c r="N529" s="317">
        <v>1.5686889924721927</v>
      </c>
      <c r="O529" s="315" t="s">
        <v>1168</v>
      </c>
      <c r="P529" s="318">
        <v>224</v>
      </c>
      <c r="R529" s="320">
        <v>106.66666666666667</v>
      </c>
      <c r="S529" s="318">
        <v>32</v>
      </c>
      <c r="T529" s="318">
        <v>33.94</v>
      </c>
      <c r="U529" s="318">
        <v>184</v>
      </c>
      <c r="V529" s="315">
        <v>0.108</v>
      </c>
      <c r="W529" s="318">
        <v>10</v>
      </c>
      <c r="X529" s="315">
        <v>0</v>
      </c>
      <c r="Y529" s="315" t="s">
        <v>1149</v>
      </c>
      <c r="Z529" s="315">
        <v>0</v>
      </c>
      <c r="AA529" s="315" t="s">
        <v>1150</v>
      </c>
      <c r="AB529" s="316">
        <v>0</v>
      </c>
      <c r="AC529" s="316">
        <v>2270</v>
      </c>
      <c r="AD529" s="316">
        <v>2270</v>
      </c>
      <c r="AE529" s="316">
        <v>0.39</v>
      </c>
      <c r="AF529" s="316">
        <v>1.3</v>
      </c>
      <c r="AG529" s="316">
        <v>0.6</v>
      </c>
      <c r="AH529" s="316">
        <v>445</v>
      </c>
    </row>
    <row r="530" spans="1:34">
      <c r="A530" s="315" t="s">
        <v>1334</v>
      </c>
      <c r="B530" s="315" t="s">
        <v>663</v>
      </c>
      <c r="C530" s="316" t="s">
        <v>1912</v>
      </c>
      <c r="D530" s="316" t="s">
        <v>1912</v>
      </c>
      <c r="E530" s="317">
        <v>4.0640513868889183</v>
      </c>
      <c r="F530" s="317">
        <v>0.4824155</v>
      </c>
      <c r="G530" s="317">
        <v>0.58256090000000005</v>
      </c>
      <c r="H530" s="317">
        <v>0.58256090000000005</v>
      </c>
      <c r="I530" s="318">
        <v>14.334486563811824</v>
      </c>
      <c r="J530" s="318">
        <v>70.414349207575498</v>
      </c>
      <c r="K530" s="319">
        <v>33.587559181318397</v>
      </c>
      <c r="L530" s="319">
        <v>19.253072617506575</v>
      </c>
      <c r="M530" s="319">
        <f t="shared" si="8"/>
        <v>19.253072617506575</v>
      </c>
      <c r="N530" s="317">
        <v>0.78245476473050657</v>
      </c>
      <c r="O530" s="315" t="s">
        <v>1148</v>
      </c>
      <c r="P530" s="318">
        <v>224.4425</v>
      </c>
      <c r="R530" s="320">
        <v>106.91249999999999</v>
      </c>
      <c r="S530" s="318">
        <v>32</v>
      </c>
      <c r="T530" s="318">
        <v>48</v>
      </c>
      <c r="U530" s="318">
        <v>95.149000000000001</v>
      </c>
      <c r="V530" s="315">
        <v>0.19</v>
      </c>
      <c r="W530" s="318">
        <v>120</v>
      </c>
      <c r="X530" s="315">
        <v>0</v>
      </c>
      <c r="Y530" s="315" t="s">
        <v>1149</v>
      </c>
      <c r="Z530" s="315">
        <v>0</v>
      </c>
      <c r="AA530" s="315" t="s">
        <v>1190</v>
      </c>
      <c r="AB530" s="316">
        <v>0.32540309507791926</v>
      </c>
      <c r="AC530" s="316">
        <v>2369.6</v>
      </c>
      <c r="AD530" s="316">
        <v>2369</v>
      </c>
      <c r="AE530" s="316">
        <v>0.49</v>
      </c>
      <c r="AF530" s="316">
        <v>1.32</v>
      </c>
      <c r="AG530" s="316">
        <v>0.6</v>
      </c>
      <c r="AH530" s="316">
        <v>500</v>
      </c>
    </row>
    <row r="531" spans="1:34">
      <c r="A531" s="315" t="s">
        <v>1334</v>
      </c>
      <c r="B531" s="315" t="s">
        <v>663</v>
      </c>
      <c r="C531" s="316" t="s">
        <v>1913</v>
      </c>
      <c r="D531" s="316" t="s">
        <v>1913</v>
      </c>
      <c r="E531" s="317">
        <v>5.0100004769412294</v>
      </c>
      <c r="F531" s="317">
        <v>0</v>
      </c>
      <c r="G531" s="317">
        <v>0</v>
      </c>
      <c r="H531" s="317">
        <v>0</v>
      </c>
      <c r="I531" s="318">
        <v>0</v>
      </c>
      <c r="J531" s="318">
        <v>80.820931447470997</v>
      </c>
      <c r="K531" s="319">
        <v>23.1003287630183</v>
      </c>
      <c r="L531" s="319">
        <v>23.1003287630183</v>
      </c>
      <c r="M531" s="319">
        <f t="shared" si="8"/>
        <v>23.1003287630183</v>
      </c>
      <c r="N531" s="317">
        <v>1.1573265812022089</v>
      </c>
      <c r="O531" s="315" t="s">
        <v>1168</v>
      </c>
      <c r="P531" s="318">
        <v>229.51835</v>
      </c>
      <c r="R531" s="320">
        <v>109.73241666666667</v>
      </c>
      <c r="S531" s="318">
        <v>36</v>
      </c>
      <c r="T531" s="318">
        <v>53.82</v>
      </c>
      <c r="U531" s="318">
        <v>571</v>
      </c>
      <c r="V531" s="315">
        <v>0.15</v>
      </c>
      <c r="W531" s="318">
        <v>10</v>
      </c>
      <c r="X531" s="315">
        <v>0</v>
      </c>
      <c r="Y531" s="315" t="s">
        <v>1149</v>
      </c>
      <c r="Z531" s="315">
        <v>0</v>
      </c>
      <c r="AA531" s="315" t="s">
        <v>1150</v>
      </c>
      <c r="AB531" s="316">
        <v>0</v>
      </c>
      <c r="AC531" s="316">
        <v>2357.1</v>
      </c>
      <c r="AD531" s="316">
        <v>2250</v>
      </c>
      <c r="AE531" s="316">
        <v>0.25</v>
      </c>
      <c r="AF531" s="316">
        <v>1.32</v>
      </c>
      <c r="AG531" s="316">
        <v>0.6</v>
      </c>
      <c r="AH531" s="316">
        <v>500</v>
      </c>
    </row>
    <row r="532" spans="1:34">
      <c r="A532" s="315" t="s">
        <v>1145</v>
      </c>
      <c r="B532" s="315" t="s">
        <v>663</v>
      </c>
      <c r="C532" s="316" t="s">
        <v>1914</v>
      </c>
      <c r="D532" s="316" t="s">
        <v>1914</v>
      </c>
      <c r="E532" s="317">
        <v>7.1126376771077515</v>
      </c>
      <c r="F532" s="317">
        <v>0</v>
      </c>
      <c r="G532" s="317">
        <v>0</v>
      </c>
      <c r="H532" s="317">
        <v>0.15</v>
      </c>
      <c r="I532" s="318">
        <v>2.1089222706054569</v>
      </c>
      <c r="J532" s="318">
        <v>87.311615183479105</v>
      </c>
      <c r="K532" s="319">
        <v>19.3965182420323</v>
      </c>
      <c r="L532" s="319">
        <v>17.287595971426843</v>
      </c>
      <c r="M532" s="319">
        <f t="shared" si="8"/>
        <v>17.287595971426843</v>
      </c>
      <c r="N532" s="317">
        <v>1.2296040645298674</v>
      </c>
      <c r="O532" s="315" t="s">
        <v>1168</v>
      </c>
      <c r="P532" s="318">
        <v>259.96109999999999</v>
      </c>
      <c r="R532" s="320">
        <v>126.64505555555554</v>
      </c>
      <c r="S532" s="318">
        <v>36</v>
      </c>
      <c r="T532" s="318">
        <v>61.76</v>
      </c>
      <c r="U532" s="318">
        <v>108</v>
      </c>
      <c r="V532" s="315">
        <v>0.13</v>
      </c>
      <c r="W532" s="318">
        <v>10</v>
      </c>
      <c r="X532" s="315">
        <v>0</v>
      </c>
      <c r="Y532" s="315" t="s">
        <v>1149</v>
      </c>
      <c r="Z532" s="315">
        <v>0</v>
      </c>
      <c r="AA532" s="315" t="s">
        <v>1150</v>
      </c>
      <c r="AB532" s="316">
        <v>0</v>
      </c>
      <c r="AC532" s="316">
        <v>2946.45</v>
      </c>
      <c r="AD532" s="316">
        <v>2900</v>
      </c>
      <c r="AE532" s="316">
        <v>0.35</v>
      </c>
      <c r="AF532" s="316">
        <v>1.4</v>
      </c>
      <c r="AG532" s="316">
        <v>0.5</v>
      </c>
      <c r="AH532" s="316">
        <v>620</v>
      </c>
    </row>
    <row r="533" spans="1:34">
      <c r="A533" s="315" t="s">
        <v>1145</v>
      </c>
      <c r="B533" s="315" t="s">
        <v>663</v>
      </c>
      <c r="C533" s="316" t="s">
        <v>1915</v>
      </c>
      <c r="D533" s="316" t="s">
        <v>1915</v>
      </c>
      <c r="E533" s="317">
        <v>23.322854220285372</v>
      </c>
      <c r="F533" s="317">
        <v>0</v>
      </c>
      <c r="G533" s="317">
        <v>0</v>
      </c>
      <c r="H533" s="317">
        <v>0</v>
      </c>
      <c r="I533" s="318">
        <v>0</v>
      </c>
      <c r="J533" s="318">
        <v>87.294375138044202</v>
      </c>
      <c r="K533" s="319">
        <v>19.4139697433321</v>
      </c>
      <c r="L533" s="319">
        <v>19.4139697433321</v>
      </c>
      <c r="M533" s="319">
        <f t="shared" si="8"/>
        <v>19.4139697433321</v>
      </c>
      <c r="N533" s="317">
        <v>4.5278918616076558</v>
      </c>
      <c r="O533" s="315" t="s">
        <v>1168</v>
      </c>
      <c r="P533" s="318">
        <v>264.76525000000004</v>
      </c>
      <c r="R533" s="320">
        <v>129.3140277777778</v>
      </c>
      <c r="S533" s="318">
        <v>36</v>
      </c>
      <c r="T533" s="318">
        <v>61.16</v>
      </c>
      <c r="U533" s="318">
        <v>607</v>
      </c>
      <c r="V533" s="315">
        <v>0.13</v>
      </c>
      <c r="W533" s="318">
        <v>10</v>
      </c>
      <c r="X533" s="315">
        <v>0</v>
      </c>
      <c r="Y533" s="315" t="s">
        <v>1149</v>
      </c>
      <c r="Z533" s="315">
        <v>0</v>
      </c>
      <c r="AA533" s="315" t="s">
        <v>1150</v>
      </c>
      <c r="AB533" s="316">
        <v>0</v>
      </c>
      <c r="AC533" s="316">
        <v>2996.55</v>
      </c>
      <c r="AD533" s="316">
        <v>2900</v>
      </c>
      <c r="AE533" s="316">
        <v>0.35</v>
      </c>
      <c r="AF533" s="316">
        <v>1.4</v>
      </c>
      <c r="AG533" s="316">
        <v>0.5</v>
      </c>
      <c r="AH533" s="316">
        <v>620</v>
      </c>
    </row>
    <row r="534" spans="1:34">
      <c r="A534" s="315" t="s">
        <v>1161</v>
      </c>
      <c r="B534" s="315" t="s">
        <v>1916</v>
      </c>
      <c r="C534" s="316" t="s">
        <v>1917</v>
      </c>
      <c r="D534" s="316" t="s">
        <v>1918</v>
      </c>
      <c r="E534" s="317">
        <v>16.899999999999999</v>
      </c>
      <c r="F534" s="317">
        <v>2.6</v>
      </c>
      <c r="G534" s="317">
        <v>2.6</v>
      </c>
      <c r="H534" s="317">
        <v>2.6</v>
      </c>
      <c r="I534" s="318">
        <v>15.384615384615385</v>
      </c>
      <c r="J534" s="318">
        <v>50.510528641765198</v>
      </c>
      <c r="K534" s="319">
        <v>38.413484509775806</v>
      </c>
      <c r="L534" s="319">
        <v>23.028869125160419</v>
      </c>
      <c r="M534" s="319">
        <f t="shared" si="8"/>
        <v>23.028869125160419</v>
      </c>
      <c r="N534" s="317">
        <v>3.8918788821521106</v>
      </c>
      <c r="O534" s="315" t="s">
        <v>1148</v>
      </c>
      <c r="P534" s="318">
        <v>152</v>
      </c>
      <c r="R534" s="320">
        <v>66.666666666666671</v>
      </c>
      <c r="S534" s="318">
        <v>33</v>
      </c>
      <c r="T534" s="318">
        <v>647.81842507882766</v>
      </c>
      <c r="U534" s="318">
        <v>17.364850939490005</v>
      </c>
      <c r="V534" s="315">
        <v>0.17449999999999999</v>
      </c>
      <c r="W534" s="318">
        <v>131.46</v>
      </c>
      <c r="X534" s="315">
        <v>2</v>
      </c>
      <c r="Y534" s="315" t="s">
        <v>1149</v>
      </c>
      <c r="Z534" s="315">
        <v>0</v>
      </c>
      <c r="AA534" s="315" t="s">
        <v>1190</v>
      </c>
      <c r="AB534" s="315">
        <v>0</v>
      </c>
      <c r="AC534" s="315">
        <v>1961.4</v>
      </c>
      <c r="AD534" s="315">
        <v>1910</v>
      </c>
      <c r="AE534" s="315">
        <v>0.93</v>
      </c>
      <c r="AF534" s="315">
        <v>1.2382</v>
      </c>
      <c r="AG534" s="315">
        <v>0.99399999999999999</v>
      </c>
      <c r="AH534" s="315">
        <v>385</v>
      </c>
    </row>
    <row r="535" spans="1:34">
      <c r="A535" s="315" t="s">
        <v>1717</v>
      </c>
      <c r="B535" s="315" t="s">
        <v>1916</v>
      </c>
      <c r="C535" s="316" t="s">
        <v>1919</v>
      </c>
      <c r="D535" s="316" t="s">
        <v>1919</v>
      </c>
      <c r="E535" s="317">
        <v>3.77</v>
      </c>
      <c r="F535" s="317">
        <v>2.46</v>
      </c>
      <c r="G535" s="317">
        <v>2.46</v>
      </c>
      <c r="H535" s="317">
        <v>2.46</v>
      </c>
      <c r="I535" s="318">
        <v>65.251989389920425</v>
      </c>
      <c r="J535" s="318">
        <v>51.530986371786398</v>
      </c>
      <c r="K535" s="319">
        <v>38.046081700331499</v>
      </c>
      <c r="L535" s="319">
        <v>-27.205907689588926</v>
      </c>
      <c r="M535" s="319">
        <f t="shared" si="8"/>
        <v>0</v>
      </c>
      <c r="N535" s="317">
        <v>0</v>
      </c>
      <c r="O535" s="315" t="s">
        <v>1148</v>
      </c>
      <c r="P535" s="318">
        <v>152</v>
      </c>
      <c r="R535" s="320">
        <v>66.666666666666671</v>
      </c>
      <c r="S535" s="318">
        <v>33</v>
      </c>
      <c r="T535" s="318">
        <v>131.63028</v>
      </c>
      <c r="U535" s="318">
        <v>5.2925000000000004</v>
      </c>
      <c r="V535" s="315">
        <v>0.17449999999999999</v>
      </c>
      <c r="W535" s="318">
        <v>131.43600000000001</v>
      </c>
      <c r="X535" s="315">
        <v>2</v>
      </c>
      <c r="Y535" s="315" t="s">
        <v>1149</v>
      </c>
      <c r="Z535" s="315">
        <v>0</v>
      </c>
      <c r="AA535" s="315" t="s">
        <v>1190</v>
      </c>
      <c r="AB535" s="315">
        <v>0</v>
      </c>
      <c r="AC535" s="315">
        <v>1883.2</v>
      </c>
      <c r="AD535" s="315">
        <v>1910</v>
      </c>
      <c r="AE535" s="315">
        <v>0.9</v>
      </c>
      <c r="AF535" s="315">
        <v>1.238</v>
      </c>
      <c r="AG535" s="315">
        <v>0.99399999999999999</v>
      </c>
      <c r="AH535" s="315">
        <v>385</v>
      </c>
    </row>
    <row r="536" spans="1:34">
      <c r="A536" s="315" t="s">
        <v>1277</v>
      </c>
      <c r="B536" s="315" t="s">
        <v>1916</v>
      </c>
      <c r="C536" s="316" t="s">
        <v>1920</v>
      </c>
      <c r="D536" s="316" t="s">
        <v>1920</v>
      </c>
      <c r="E536" s="317">
        <v>0.1</v>
      </c>
      <c r="F536" s="317">
        <v>0</v>
      </c>
      <c r="G536" s="317">
        <v>0</v>
      </c>
      <c r="H536" s="317">
        <v>0</v>
      </c>
      <c r="I536" s="318">
        <v>0</v>
      </c>
      <c r="J536" s="318">
        <v>81.859426729172299</v>
      </c>
      <c r="K536" s="319">
        <v>25.389986520369302</v>
      </c>
      <c r="L536" s="319">
        <v>25.389986520369302</v>
      </c>
      <c r="M536" s="319">
        <f t="shared" si="8"/>
        <v>25.389986520369302</v>
      </c>
      <c r="N536" s="317">
        <v>2.5389986520369303E-2</v>
      </c>
      <c r="O536" s="315" t="s">
        <v>1168</v>
      </c>
      <c r="P536" s="318">
        <v>161</v>
      </c>
      <c r="R536" s="320">
        <v>71.666666666666671</v>
      </c>
      <c r="S536" s="318">
        <v>36.4</v>
      </c>
      <c r="T536" s="318">
        <v>8.5154545454545456</v>
      </c>
      <c r="U536" s="318">
        <v>0.59363636363636363</v>
      </c>
      <c r="V536" s="315">
        <v>0.19400000000000001</v>
      </c>
      <c r="W536" s="318">
        <v>36.3733</v>
      </c>
      <c r="X536" s="315">
        <v>0</v>
      </c>
      <c r="Y536" s="315" t="s">
        <v>1149</v>
      </c>
      <c r="Z536" s="315">
        <v>0</v>
      </c>
      <c r="AA536" s="315" t="s">
        <v>1190</v>
      </c>
      <c r="AB536" s="315">
        <v>0.2</v>
      </c>
      <c r="AC536" s="315">
        <v>2456.6999999999998</v>
      </c>
      <c r="AD536" s="315">
        <v>2310</v>
      </c>
      <c r="AE536" s="315">
        <v>0.26200000000000001</v>
      </c>
      <c r="AF536" s="315">
        <v>1.3</v>
      </c>
      <c r="AG536" s="315">
        <v>0.38</v>
      </c>
      <c r="AH536" s="315">
        <v>640</v>
      </c>
    </row>
    <row r="537" spans="1:34">
      <c r="A537" s="315" t="s">
        <v>1145</v>
      </c>
      <c r="B537" s="315" t="s">
        <v>1916</v>
      </c>
      <c r="C537" s="316" t="s">
        <v>1921</v>
      </c>
      <c r="D537" s="316" t="s">
        <v>1921</v>
      </c>
      <c r="E537" s="317">
        <v>2.1</v>
      </c>
      <c r="F537" s="317">
        <v>0.59599999999999997</v>
      </c>
      <c r="G537" s="317">
        <v>0.59599999999999997</v>
      </c>
      <c r="H537" s="317">
        <v>0.59599999999999997</v>
      </c>
      <c r="I537" s="318">
        <v>28.38095238095238</v>
      </c>
      <c r="J537" s="318">
        <v>60.854067088786799</v>
      </c>
      <c r="K537" s="319">
        <v>36.336710761225397</v>
      </c>
      <c r="L537" s="319">
        <v>7.9557583802730178</v>
      </c>
      <c r="M537" s="319">
        <f t="shared" si="8"/>
        <v>7.9557583802730178</v>
      </c>
      <c r="N537" s="317">
        <v>0.16707092598573337</v>
      </c>
      <c r="O537" s="315" t="s">
        <v>1148</v>
      </c>
      <c r="P537" s="318">
        <v>161</v>
      </c>
      <c r="R537" s="320">
        <v>71.666666666666671</v>
      </c>
      <c r="S537" s="318">
        <v>36.4</v>
      </c>
      <c r="T537" s="318">
        <v>9.7727272727272734</v>
      </c>
      <c r="U537" s="318">
        <v>2.5127272727272731</v>
      </c>
      <c r="V537" s="315">
        <v>0.27900000000000003</v>
      </c>
      <c r="W537" s="318">
        <v>66.073333333329998</v>
      </c>
      <c r="X537" s="315">
        <v>2</v>
      </c>
      <c r="Y537" s="315" t="s">
        <v>1149</v>
      </c>
      <c r="Z537" s="315">
        <v>0</v>
      </c>
      <c r="AA537" s="315" t="s">
        <v>1190</v>
      </c>
      <c r="AB537" s="315">
        <v>0.2</v>
      </c>
      <c r="AC537" s="315">
        <v>2456.6999999999998</v>
      </c>
      <c r="AD537" s="315">
        <v>2310</v>
      </c>
      <c r="AE537" s="315">
        <v>0.49</v>
      </c>
      <c r="AF537" s="315">
        <v>1.32</v>
      </c>
      <c r="AG537" s="315">
        <v>0.38</v>
      </c>
      <c r="AH537" s="315">
        <v>640</v>
      </c>
    </row>
    <row r="538" spans="1:34">
      <c r="A538" s="315" t="s">
        <v>1145</v>
      </c>
      <c r="B538" s="315" t="s">
        <v>1916</v>
      </c>
      <c r="C538" s="316" t="s">
        <v>1922</v>
      </c>
      <c r="D538" s="316" t="s">
        <v>1922</v>
      </c>
      <c r="E538" s="317">
        <v>21.5</v>
      </c>
      <c r="F538" s="317">
        <v>8.9869249999999994</v>
      </c>
      <c r="G538" s="317">
        <v>8.9869249999999994</v>
      </c>
      <c r="H538" s="317">
        <v>8.9869249999999994</v>
      </c>
      <c r="I538" s="318">
        <v>41.799651162790695</v>
      </c>
      <c r="J538" s="318">
        <v>49.355232301479298</v>
      </c>
      <c r="K538" s="319">
        <v>39.950780382680598</v>
      </c>
      <c r="L538" s="319">
        <v>-1.8488707801100972</v>
      </c>
      <c r="M538" s="319">
        <f t="shared" si="8"/>
        <v>0</v>
      </c>
      <c r="N538" s="317">
        <v>0</v>
      </c>
      <c r="O538" s="315" t="s">
        <v>1148</v>
      </c>
      <c r="P538" s="318">
        <v>161</v>
      </c>
      <c r="R538" s="320">
        <v>71.666666666666671</v>
      </c>
      <c r="S538" s="318">
        <v>36.4</v>
      </c>
      <c r="T538" s="318">
        <v>16.623636363636361</v>
      </c>
      <c r="U538" s="318">
        <v>9.0436363636363648</v>
      </c>
      <c r="V538" s="315">
        <v>0.22</v>
      </c>
      <c r="W538" s="318">
        <v>164.530833333</v>
      </c>
      <c r="X538" s="315">
        <v>8</v>
      </c>
      <c r="Y538" s="315" t="s">
        <v>1149</v>
      </c>
      <c r="Z538" s="315">
        <v>0</v>
      </c>
      <c r="AA538" s="315" t="s">
        <v>1190</v>
      </c>
      <c r="AB538" s="315">
        <v>0.2</v>
      </c>
      <c r="AC538" s="315">
        <v>2403.6999999999998</v>
      </c>
      <c r="AD538" s="315">
        <v>2310</v>
      </c>
      <c r="AE538" s="315">
        <v>0.75</v>
      </c>
      <c r="AF538" s="315">
        <v>1.3</v>
      </c>
      <c r="AG538" s="315">
        <v>0.38</v>
      </c>
      <c r="AH538" s="315">
        <v>640</v>
      </c>
    </row>
    <row r="539" spans="1:34">
      <c r="A539" s="315" t="s">
        <v>1923</v>
      </c>
      <c r="B539" s="315" t="s">
        <v>1916</v>
      </c>
      <c r="C539" s="316" t="s">
        <v>1924</v>
      </c>
      <c r="D539" s="316" t="s">
        <v>1924</v>
      </c>
      <c r="E539" s="317">
        <v>24.4</v>
      </c>
      <c r="F539" s="317">
        <v>5.0973350000000002</v>
      </c>
      <c r="G539" s="317">
        <v>5.0973350000000002</v>
      </c>
      <c r="H539" s="317">
        <v>5.0973350000000002</v>
      </c>
      <c r="I539" s="318">
        <v>20.890717213114758</v>
      </c>
      <c r="J539" s="318">
        <v>67.010752126549804</v>
      </c>
      <c r="K539" s="319">
        <v>35.683336143190601</v>
      </c>
      <c r="L539" s="319">
        <v>14.792618930075843</v>
      </c>
      <c r="M539" s="319">
        <f t="shared" si="8"/>
        <v>14.792618930075843</v>
      </c>
      <c r="N539" s="317">
        <v>3.6093990189385057</v>
      </c>
      <c r="O539" s="315" t="s">
        <v>1148</v>
      </c>
      <c r="P539" s="318">
        <v>161</v>
      </c>
      <c r="R539" s="320">
        <v>71.666666666666671</v>
      </c>
      <c r="S539" s="318">
        <v>36.4</v>
      </c>
      <c r="T539" s="318">
        <v>24.025454545454544</v>
      </c>
      <c r="U539" s="318">
        <v>12.920909090909088</v>
      </c>
      <c r="V539" s="315">
        <v>0.249</v>
      </c>
      <c r="W539" s="318">
        <v>223.90408333333301</v>
      </c>
      <c r="X539" s="315">
        <v>7</v>
      </c>
      <c r="Y539" s="315" t="s">
        <v>1149</v>
      </c>
      <c r="Z539" s="315">
        <v>0</v>
      </c>
      <c r="AA539" s="315" t="s">
        <v>1190</v>
      </c>
      <c r="AB539" s="315">
        <v>0.2</v>
      </c>
      <c r="AC539" s="315">
        <v>2447.6999999999998</v>
      </c>
      <c r="AD539" s="315">
        <v>2310</v>
      </c>
      <c r="AE539" s="315">
        <v>0.38</v>
      </c>
      <c r="AF539" s="315">
        <v>1.3</v>
      </c>
      <c r="AG539" s="315">
        <v>0.38</v>
      </c>
      <c r="AH539" s="315">
        <v>640</v>
      </c>
    </row>
    <row r="540" spans="1:34">
      <c r="A540" s="315" t="s">
        <v>1145</v>
      </c>
      <c r="B540" s="315" t="s">
        <v>1916</v>
      </c>
      <c r="C540" s="316" t="s">
        <v>1925</v>
      </c>
      <c r="D540" s="316" t="s">
        <v>1925</v>
      </c>
      <c r="E540" s="317">
        <v>3.2</v>
      </c>
      <c r="F540" s="317">
        <v>0.13</v>
      </c>
      <c r="G540" s="317">
        <v>0.13</v>
      </c>
      <c r="H540" s="317">
        <v>0.13</v>
      </c>
      <c r="I540" s="318">
        <v>4.0625</v>
      </c>
      <c r="J540" s="318">
        <v>78.896082535509095</v>
      </c>
      <c r="K540" s="319">
        <v>25.5685964667775</v>
      </c>
      <c r="L540" s="319">
        <v>21.5060964667775</v>
      </c>
      <c r="M540" s="319">
        <f t="shared" si="8"/>
        <v>21.5060964667775</v>
      </c>
      <c r="N540" s="317">
        <v>0.68819508693688003</v>
      </c>
      <c r="O540" s="315" t="s">
        <v>1148</v>
      </c>
      <c r="P540" s="318">
        <v>164</v>
      </c>
      <c r="R540" s="320">
        <v>73.333333333333329</v>
      </c>
      <c r="S540" s="318">
        <v>34</v>
      </c>
      <c r="T540" s="318">
        <v>34.71</v>
      </c>
      <c r="U540" s="318">
        <v>9.004999999999999</v>
      </c>
      <c r="V540" s="315">
        <v>0.19</v>
      </c>
      <c r="W540" s="318">
        <v>100.25266667</v>
      </c>
      <c r="X540" s="315">
        <v>1</v>
      </c>
      <c r="Y540" s="315" t="s">
        <v>1149</v>
      </c>
      <c r="Z540" s="315">
        <v>0</v>
      </c>
      <c r="AA540" s="315" t="s">
        <v>1190</v>
      </c>
      <c r="AB540" s="315">
        <v>0.2</v>
      </c>
      <c r="AC540" s="315">
        <v>2941.7</v>
      </c>
      <c r="AD540" s="315">
        <v>2168</v>
      </c>
      <c r="AE540" s="315">
        <v>0.24099999999999999</v>
      </c>
      <c r="AF540" s="315">
        <v>1.37</v>
      </c>
      <c r="AG540" s="315">
        <v>0.42299999999999999</v>
      </c>
      <c r="AH540" s="315">
        <v>522</v>
      </c>
    </row>
    <row r="541" spans="1:34">
      <c r="A541" s="315" t="s">
        <v>1926</v>
      </c>
      <c r="B541" s="315" t="s">
        <v>1916</v>
      </c>
      <c r="C541" s="316" t="s">
        <v>1927</v>
      </c>
      <c r="D541" s="316" t="s">
        <v>1927</v>
      </c>
      <c r="E541" s="317">
        <v>2.2000000000000002</v>
      </c>
      <c r="F541" s="317">
        <v>0</v>
      </c>
      <c r="G541" s="317">
        <v>0</v>
      </c>
      <c r="H541" s="317">
        <v>0</v>
      </c>
      <c r="I541" s="318">
        <v>0</v>
      </c>
      <c r="J541" s="318">
        <v>64.175856736623004</v>
      </c>
      <c r="K541" s="319">
        <v>36.1783304869112</v>
      </c>
      <c r="L541" s="319">
        <v>36.1783304869112</v>
      </c>
      <c r="M541" s="319">
        <f t="shared" si="8"/>
        <v>36.1783304869112</v>
      </c>
      <c r="N541" s="317">
        <v>0.79592327071204638</v>
      </c>
      <c r="O541" s="315" t="s">
        <v>1168</v>
      </c>
      <c r="P541" s="318">
        <v>164</v>
      </c>
      <c r="R541" s="320">
        <v>73.333333333333329</v>
      </c>
      <c r="S541" s="318">
        <v>34</v>
      </c>
      <c r="T541" s="318">
        <v>33.67</v>
      </c>
      <c r="U541" s="318">
        <v>4.3033333333333337</v>
      </c>
      <c r="V541" s="315">
        <v>0.18099999999999999</v>
      </c>
      <c r="W541" s="318">
        <v>99.847999999999999</v>
      </c>
      <c r="X541" s="315">
        <v>0</v>
      </c>
      <c r="Y541" s="315" t="s">
        <v>1149</v>
      </c>
      <c r="Z541" s="315">
        <v>0</v>
      </c>
      <c r="AA541" s="315" t="s">
        <v>1190</v>
      </c>
      <c r="AB541" s="315">
        <v>0.2</v>
      </c>
      <c r="AC541" s="315">
        <v>2941.7</v>
      </c>
      <c r="AD541" s="315">
        <v>2168</v>
      </c>
      <c r="AE541" s="315">
        <v>0.39600000000000002</v>
      </c>
      <c r="AF541" s="315">
        <v>1.37</v>
      </c>
      <c r="AG541" s="315">
        <v>0.42299999999999999</v>
      </c>
      <c r="AH541" s="315">
        <v>522</v>
      </c>
    </row>
    <row r="542" spans="1:34">
      <c r="A542" s="315" t="s">
        <v>1926</v>
      </c>
      <c r="B542" s="315" t="s">
        <v>1916</v>
      </c>
      <c r="C542" s="316" t="s">
        <v>1928</v>
      </c>
      <c r="D542" s="316" t="s">
        <v>1928</v>
      </c>
      <c r="E542" s="317">
        <v>5.2</v>
      </c>
      <c r="F542" s="317">
        <v>0</v>
      </c>
      <c r="G542" s="317">
        <v>0</v>
      </c>
      <c r="H542" s="317">
        <v>0</v>
      </c>
      <c r="I542" s="318">
        <v>0</v>
      </c>
      <c r="J542" s="318">
        <v>0</v>
      </c>
      <c r="K542" s="319">
        <v>0</v>
      </c>
      <c r="L542" s="319">
        <v>0</v>
      </c>
      <c r="M542" s="319">
        <f t="shared" si="8"/>
        <v>0</v>
      </c>
      <c r="N542" s="317">
        <v>0</v>
      </c>
      <c r="O542" s="315" t="s">
        <v>1168</v>
      </c>
      <c r="P542" s="318">
        <v>164</v>
      </c>
      <c r="R542" s="320">
        <v>73.333333333333329</v>
      </c>
      <c r="S542" s="318">
        <v>34</v>
      </c>
      <c r="T542" s="318">
        <v>16.739999999999998</v>
      </c>
      <c r="U542" s="318">
        <v>0.94333333333333336</v>
      </c>
      <c r="V542" s="315">
        <v>0.19500000000000001</v>
      </c>
      <c r="W542" s="318">
        <v>182.8856667</v>
      </c>
      <c r="X542" s="315">
        <v>0</v>
      </c>
      <c r="Y542" s="315" t="s">
        <v>1149</v>
      </c>
      <c r="Z542" s="315">
        <v>0</v>
      </c>
      <c r="AA542" s="315" t="s">
        <v>1190</v>
      </c>
      <c r="AB542" s="315">
        <v>0.2</v>
      </c>
      <c r="AC542" s="315">
        <v>2941.7</v>
      </c>
      <c r="AD542" s="315">
        <v>2168</v>
      </c>
      <c r="AE542" s="315">
        <v>0.19</v>
      </c>
      <c r="AF542" s="315">
        <v>1.37</v>
      </c>
      <c r="AG542" s="315">
        <v>0.42299999999999999</v>
      </c>
      <c r="AH542" s="315">
        <v>522</v>
      </c>
    </row>
    <row r="543" spans="1:34">
      <c r="A543" s="315" t="s">
        <v>1929</v>
      </c>
      <c r="B543" s="315" t="s">
        <v>1916</v>
      </c>
      <c r="C543" s="316" t="s">
        <v>1930</v>
      </c>
      <c r="D543" s="316" t="s">
        <v>1930</v>
      </c>
      <c r="E543" s="317">
        <v>0.6</v>
      </c>
      <c r="F543" s="317">
        <v>0</v>
      </c>
      <c r="G543" s="317">
        <v>0</v>
      </c>
      <c r="H543" s="317">
        <v>0</v>
      </c>
      <c r="I543" s="318">
        <v>0</v>
      </c>
      <c r="J543" s="318">
        <v>65.110779718714198</v>
      </c>
      <c r="K543" s="319">
        <v>34.811476565680302</v>
      </c>
      <c r="L543" s="319">
        <v>34.811476565680302</v>
      </c>
      <c r="M543" s="319">
        <f t="shared" si="8"/>
        <v>34.811476565680302</v>
      </c>
      <c r="N543" s="317">
        <v>0.20886885939408179</v>
      </c>
      <c r="O543" s="315" t="s">
        <v>1168</v>
      </c>
      <c r="P543" s="318">
        <v>164</v>
      </c>
      <c r="R543" s="320">
        <v>73.333333333333329</v>
      </c>
      <c r="S543" s="318">
        <v>37.1</v>
      </c>
      <c r="T543" s="318">
        <v>3.6950000000000003</v>
      </c>
      <c r="U543" s="318">
        <v>1.2149999999999999</v>
      </c>
      <c r="V543" s="315">
        <v>0.192</v>
      </c>
      <c r="W543" s="318">
        <v>89.343500000000006</v>
      </c>
      <c r="X543" s="315">
        <v>1</v>
      </c>
      <c r="Y543" s="315" t="s">
        <v>1149</v>
      </c>
      <c r="Z543" s="315">
        <v>0</v>
      </c>
      <c r="AA543" s="315" t="s">
        <v>1190</v>
      </c>
      <c r="AB543" s="315">
        <v>0.2</v>
      </c>
      <c r="AC543" s="315">
        <v>2442</v>
      </c>
      <c r="AD543" s="315">
        <v>2168</v>
      </c>
      <c r="AE543" s="315">
        <v>0.42</v>
      </c>
      <c r="AF543" s="315">
        <v>1.37</v>
      </c>
      <c r="AG543" s="315">
        <v>0.42299999999999999</v>
      </c>
      <c r="AH543" s="315">
        <v>522</v>
      </c>
    </row>
    <row r="544" spans="1:34">
      <c r="A544" s="315" t="s">
        <v>1931</v>
      </c>
      <c r="B544" s="315" t="s">
        <v>1916</v>
      </c>
      <c r="C544" s="316" t="s">
        <v>1932</v>
      </c>
      <c r="D544" s="316" t="s">
        <v>1932</v>
      </c>
      <c r="E544" s="317">
        <v>1.7</v>
      </c>
      <c r="F544" s="317">
        <v>0.71</v>
      </c>
      <c r="G544" s="317">
        <v>0.71</v>
      </c>
      <c r="H544" s="317">
        <v>0.71</v>
      </c>
      <c r="I544" s="318">
        <v>41.764705882352942</v>
      </c>
      <c r="J544" s="318">
        <v>57.386441117319201</v>
      </c>
      <c r="K544" s="319">
        <v>37.142716142625702</v>
      </c>
      <c r="L544" s="319">
        <v>-4.6219897397272405</v>
      </c>
      <c r="M544" s="319">
        <f t="shared" si="8"/>
        <v>0</v>
      </c>
      <c r="N544" s="317">
        <v>0</v>
      </c>
      <c r="O544" s="315" t="s">
        <v>1148</v>
      </c>
      <c r="P544" s="318">
        <v>166</v>
      </c>
      <c r="R544" s="320">
        <v>74.444444444444443</v>
      </c>
      <c r="S544" s="318">
        <v>47</v>
      </c>
      <c r="T544" s="318">
        <v>15.875</v>
      </c>
      <c r="U544" s="318">
        <v>14.674999999999999</v>
      </c>
      <c r="V544" s="315">
        <v>0.22101417322834646</v>
      </c>
      <c r="W544" s="318">
        <v>355.39800000000002</v>
      </c>
      <c r="X544" s="315">
        <v>1</v>
      </c>
      <c r="Y544" s="315" t="s">
        <v>1149</v>
      </c>
      <c r="Z544" s="315">
        <v>0</v>
      </c>
      <c r="AA544" s="315" t="s">
        <v>1190</v>
      </c>
      <c r="AB544" s="315">
        <v>0.2</v>
      </c>
      <c r="AC544" s="315">
        <v>2549.6904</v>
      </c>
      <c r="AD544" s="315">
        <v>2408</v>
      </c>
      <c r="AE544" s="315">
        <v>0.9</v>
      </c>
      <c r="AF544" s="315">
        <v>1.302</v>
      </c>
      <c r="AG544" s="315">
        <v>4.37</v>
      </c>
      <c r="AH544" s="315">
        <v>500</v>
      </c>
    </row>
    <row r="545" spans="1:34">
      <c r="A545" s="315" t="s">
        <v>1334</v>
      </c>
      <c r="B545" s="315" t="s">
        <v>1916</v>
      </c>
      <c r="C545" s="316" t="s">
        <v>1933</v>
      </c>
      <c r="D545" s="316" t="s">
        <v>1933</v>
      </c>
      <c r="E545" s="317">
        <v>11.3</v>
      </c>
      <c r="F545" s="317">
        <v>4.293075</v>
      </c>
      <c r="G545" s="317">
        <v>4.293075</v>
      </c>
      <c r="H545" s="317">
        <v>4.293075</v>
      </c>
      <c r="I545" s="318">
        <v>37.991814159292034</v>
      </c>
      <c r="J545" s="318">
        <v>54.705622272053603</v>
      </c>
      <c r="K545" s="319">
        <v>38.408305013325098</v>
      </c>
      <c r="L545" s="319">
        <v>0.41649085403306429</v>
      </c>
      <c r="M545" s="319">
        <f t="shared" si="8"/>
        <v>0.41649085403306429</v>
      </c>
      <c r="N545" s="317">
        <v>4.7063466505736271E-2</v>
      </c>
      <c r="O545" s="315" t="s">
        <v>1148</v>
      </c>
      <c r="P545" s="318">
        <v>166</v>
      </c>
      <c r="R545" s="320">
        <v>74.444444444444443</v>
      </c>
      <c r="S545" s="318">
        <v>47</v>
      </c>
      <c r="T545" s="318">
        <v>19.14</v>
      </c>
      <c r="U545" s="318">
        <v>13.981666666666669</v>
      </c>
      <c r="V545" s="315">
        <v>0.22016614420062694</v>
      </c>
      <c r="W545" s="318">
        <v>351.529</v>
      </c>
      <c r="X545" s="315">
        <v>3</v>
      </c>
      <c r="Y545" s="315" t="s">
        <v>1149</v>
      </c>
      <c r="Z545" s="315">
        <v>0</v>
      </c>
      <c r="AA545" s="315" t="s">
        <v>1190</v>
      </c>
      <c r="AB545" s="315">
        <v>0.2</v>
      </c>
      <c r="AC545" s="315">
        <v>2159.6179999999999</v>
      </c>
      <c r="AD545" s="315">
        <v>2408</v>
      </c>
      <c r="AE545" s="315">
        <v>0.96500000000000008</v>
      </c>
      <c r="AF545" s="315">
        <v>1.4</v>
      </c>
      <c r="AG545" s="315">
        <v>4.37</v>
      </c>
      <c r="AH545" s="315">
        <v>500</v>
      </c>
    </row>
    <row r="546" spans="1:34">
      <c r="A546" s="315" t="s">
        <v>1934</v>
      </c>
      <c r="B546" s="315" t="s">
        <v>1916</v>
      </c>
      <c r="C546" s="316" t="s">
        <v>1935</v>
      </c>
      <c r="D546" s="316" t="s">
        <v>1935</v>
      </c>
      <c r="E546" s="317">
        <v>3</v>
      </c>
      <c r="F546" s="317">
        <v>0.56160500000000002</v>
      </c>
      <c r="G546" s="317">
        <v>0.56160500000000002</v>
      </c>
      <c r="H546" s="317">
        <v>0.56160500000000002</v>
      </c>
      <c r="I546" s="318">
        <v>18.720166666666668</v>
      </c>
      <c r="J546" s="318">
        <v>0</v>
      </c>
      <c r="K546" s="319">
        <v>0</v>
      </c>
      <c r="L546" s="319">
        <v>-18.720166666666668</v>
      </c>
      <c r="M546" s="319">
        <f t="shared" si="8"/>
        <v>0</v>
      </c>
      <c r="N546" s="317">
        <v>0</v>
      </c>
      <c r="O546" s="315" t="s">
        <v>1148</v>
      </c>
      <c r="P546" s="318">
        <v>166</v>
      </c>
      <c r="R546" s="320">
        <v>74.444444444444443</v>
      </c>
      <c r="S546" s="318">
        <v>47</v>
      </c>
      <c r="T546" s="318">
        <v>11.871666666666664</v>
      </c>
      <c r="U546" s="318">
        <v>2.0783333333333336</v>
      </c>
      <c r="V546" s="315">
        <v>0.23211217183770891</v>
      </c>
      <c r="W546" s="318">
        <v>507.03733</v>
      </c>
      <c r="X546" s="315">
        <v>1</v>
      </c>
      <c r="Y546" s="315" t="s">
        <v>1149</v>
      </c>
      <c r="Z546" s="315">
        <v>0</v>
      </c>
      <c r="AA546" s="315" t="s">
        <v>1190</v>
      </c>
      <c r="AB546" s="315">
        <v>0.2</v>
      </c>
      <c r="AC546" s="315">
        <v>1957</v>
      </c>
      <c r="AD546" s="315">
        <v>2408</v>
      </c>
      <c r="AE546" s="315">
        <v>0.997</v>
      </c>
      <c r="AF546" s="315">
        <v>1.302</v>
      </c>
      <c r="AG546" s="315">
        <v>4.37</v>
      </c>
      <c r="AH546" s="315">
        <v>500</v>
      </c>
    </row>
    <row r="547" spans="1:34">
      <c r="A547" s="315" t="s">
        <v>1717</v>
      </c>
      <c r="B547" s="315" t="s">
        <v>1916</v>
      </c>
      <c r="C547" s="316" t="s">
        <v>1936</v>
      </c>
      <c r="D547" s="316" t="s">
        <v>1936</v>
      </c>
      <c r="E547" s="317">
        <v>3.2</v>
      </c>
      <c r="F547" s="317">
        <v>0.38259300000000002</v>
      </c>
      <c r="G547" s="317">
        <v>0.38259300000000002</v>
      </c>
      <c r="H547" s="317">
        <v>0.38259300000000002</v>
      </c>
      <c r="I547" s="318">
        <v>11.956031250000001</v>
      </c>
      <c r="J547" s="318">
        <v>66.576524212692206</v>
      </c>
      <c r="K547" s="319">
        <v>33.525087681956499</v>
      </c>
      <c r="L547" s="319">
        <v>21.569056431956497</v>
      </c>
      <c r="M547" s="319">
        <f t="shared" si="8"/>
        <v>21.569056431956497</v>
      </c>
      <c r="N547" s="317">
        <v>0.69020980582260794</v>
      </c>
      <c r="O547" s="315" t="s">
        <v>1148</v>
      </c>
      <c r="P547" s="318">
        <v>166</v>
      </c>
      <c r="R547" s="320">
        <v>74.444444444444443</v>
      </c>
      <c r="S547" s="318">
        <v>36.4</v>
      </c>
      <c r="T547" s="318">
        <v>6.3250000000000002</v>
      </c>
      <c r="U547" s="318">
        <v>1.4166666666666667</v>
      </c>
      <c r="V547" s="315">
        <v>0.2</v>
      </c>
      <c r="W547" s="318">
        <v>27.00816</v>
      </c>
      <c r="X547" s="315">
        <v>0</v>
      </c>
      <c r="Y547" s="315" t="s">
        <v>1149</v>
      </c>
      <c r="Z547" s="315">
        <v>0</v>
      </c>
      <c r="AA547" s="315" t="s">
        <v>1190</v>
      </c>
      <c r="AB547" s="315">
        <v>0.2</v>
      </c>
      <c r="AC547" s="315">
        <v>2358.6999999999998</v>
      </c>
      <c r="AD547" s="315">
        <v>2408</v>
      </c>
      <c r="AE547" s="315">
        <v>0.39800000000000002</v>
      </c>
      <c r="AF547" s="315">
        <v>1.32</v>
      </c>
      <c r="AG547" s="315">
        <v>0.38</v>
      </c>
      <c r="AH547" s="315">
        <v>620</v>
      </c>
    </row>
    <row r="548" spans="1:34">
      <c r="A548" s="315" t="s">
        <v>1145</v>
      </c>
      <c r="B548" s="315" t="s">
        <v>1916</v>
      </c>
      <c r="C548" s="316" t="s">
        <v>1937</v>
      </c>
      <c r="D548" s="316" t="s">
        <v>1937</v>
      </c>
      <c r="E548" s="317">
        <v>4.5999999999999996</v>
      </c>
      <c r="F548" s="317">
        <v>0</v>
      </c>
      <c r="G548" s="317">
        <v>0</v>
      </c>
      <c r="H548" s="317">
        <v>0</v>
      </c>
      <c r="I548" s="318">
        <v>0</v>
      </c>
      <c r="J548" s="318">
        <v>51.921393371784397</v>
      </c>
      <c r="K548" s="319">
        <v>38.012591478758502</v>
      </c>
      <c r="L548" s="319">
        <v>38.012591478758502</v>
      </c>
      <c r="M548" s="319">
        <f t="shared" si="8"/>
        <v>38.012591478758502</v>
      </c>
      <c r="N548" s="317">
        <v>1.7485792080228908</v>
      </c>
      <c r="O548" s="315" t="s">
        <v>1168</v>
      </c>
      <c r="P548" s="318">
        <v>166</v>
      </c>
      <c r="R548" s="320">
        <v>74.444444444444443</v>
      </c>
      <c r="S548" s="318">
        <v>36.4</v>
      </c>
      <c r="T548" s="318">
        <v>11.168333333333331</v>
      </c>
      <c r="U548" s="318">
        <v>5.44</v>
      </c>
      <c r="V548" s="315">
        <v>0.19065870765557383</v>
      </c>
      <c r="W548" s="318">
        <v>146.90819999999999</v>
      </c>
      <c r="X548" s="315">
        <v>0</v>
      </c>
      <c r="Y548" s="315" t="s">
        <v>1149</v>
      </c>
      <c r="Z548" s="315">
        <v>0</v>
      </c>
      <c r="AA548" s="315" t="s">
        <v>1190</v>
      </c>
      <c r="AB548" s="315">
        <v>0.2</v>
      </c>
      <c r="AC548" s="315">
        <v>2358.6999999999998</v>
      </c>
      <c r="AD548" s="315">
        <v>2408</v>
      </c>
      <c r="AE548" s="315">
        <v>0.73927798128371547</v>
      </c>
      <c r="AF548" s="315">
        <v>1.3839999999999999</v>
      </c>
      <c r="AG548" s="315">
        <v>0.38</v>
      </c>
      <c r="AH548" s="315">
        <v>620</v>
      </c>
    </row>
    <row r="549" spans="1:34">
      <c r="A549" s="315" t="s">
        <v>1145</v>
      </c>
      <c r="B549" s="315" t="s">
        <v>1916</v>
      </c>
      <c r="C549" s="316" t="s">
        <v>1938</v>
      </c>
      <c r="D549" s="316" t="s">
        <v>1938</v>
      </c>
      <c r="E549" s="317">
        <v>4</v>
      </c>
      <c r="F549" s="317">
        <v>0.39402900000000002</v>
      </c>
      <c r="G549" s="317">
        <v>0.39402900000000002</v>
      </c>
      <c r="H549" s="317">
        <v>0.39402900000000002</v>
      </c>
      <c r="I549" s="318">
        <v>9.8507250000000006</v>
      </c>
      <c r="J549" s="318">
        <v>61.579064721696902</v>
      </c>
      <c r="K549" s="319">
        <v>35.797502817595401</v>
      </c>
      <c r="L549" s="319">
        <v>25.9467778175954</v>
      </c>
      <c r="M549" s="319">
        <f t="shared" si="8"/>
        <v>25.9467778175954</v>
      </c>
      <c r="N549" s="317">
        <v>1.037871112703816</v>
      </c>
      <c r="O549" s="315" t="s">
        <v>1148</v>
      </c>
      <c r="P549" s="318">
        <v>169</v>
      </c>
      <c r="R549" s="320">
        <v>76.111111111111114</v>
      </c>
      <c r="S549" s="318">
        <v>36.4</v>
      </c>
      <c r="T549" s="318">
        <v>1.7649999999999999</v>
      </c>
      <c r="U549" s="318">
        <v>0.87850000000000006</v>
      </c>
      <c r="V549" s="315">
        <v>0.20799999999999999</v>
      </c>
      <c r="W549" s="318">
        <v>96.161574999999999</v>
      </c>
      <c r="X549" s="315">
        <v>1</v>
      </c>
      <c r="Y549" s="315" t="s">
        <v>1149</v>
      </c>
      <c r="Z549" s="315">
        <v>0</v>
      </c>
      <c r="AA549" s="315" t="s">
        <v>1190</v>
      </c>
      <c r="AB549" s="315">
        <v>0.2</v>
      </c>
      <c r="AC549" s="315">
        <v>2515.6999999999998</v>
      </c>
      <c r="AD549" s="315">
        <v>2350</v>
      </c>
      <c r="AE549" s="315">
        <v>0.47899999999999998</v>
      </c>
      <c r="AF549" s="315">
        <v>1.32</v>
      </c>
      <c r="AG549" s="315">
        <v>0.38</v>
      </c>
      <c r="AH549" s="315">
        <v>626</v>
      </c>
    </row>
    <row r="550" spans="1:34">
      <c r="A550" s="315" t="s">
        <v>1939</v>
      </c>
      <c r="B550" s="315" t="s">
        <v>1916</v>
      </c>
      <c r="C550" s="316" t="s">
        <v>1940</v>
      </c>
      <c r="D550" s="316" t="s">
        <v>1940</v>
      </c>
      <c r="E550" s="317">
        <v>1.2</v>
      </c>
      <c r="F550" s="317">
        <v>7.7200000000000001E-4</v>
      </c>
      <c r="G550" s="317">
        <v>7.7200000000000001E-4</v>
      </c>
      <c r="H550" s="317">
        <v>7.7200000000000001E-4</v>
      </c>
      <c r="I550" s="318">
        <v>6.4333333333333326E-2</v>
      </c>
      <c r="J550" s="318">
        <v>56.102854745746903</v>
      </c>
      <c r="K550" s="319">
        <v>33.195797332666601</v>
      </c>
      <c r="L550" s="319">
        <v>33.13146399933327</v>
      </c>
      <c r="M550" s="319">
        <f t="shared" si="8"/>
        <v>33.13146399933327</v>
      </c>
      <c r="N550" s="317">
        <v>0.39757756799199923</v>
      </c>
      <c r="O550" s="315" t="s">
        <v>1148</v>
      </c>
      <c r="P550" s="318">
        <v>169</v>
      </c>
      <c r="R550" s="320">
        <v>76.111111111111114</v>
      </c>
      <c r="S550" s="318">
        <v>36.4</v>
      </c>
      <c r="T550" s="318">
        <v>10.878</v>
      </c>
      <c r="U550" s="318">
        <v>2.7049999999999996</v>
      </c>
      <c r="V550" s="315">
        <v>0.216</v>
      </c>
      <c r="W550" s="318">
        <v>74.506249999999994</v>
      </c>
      <c r="X550" s="315">
        <v>1</v>
      </c>
      <c r="Y550" s="315" t="s">
        <v>1149</v>
      </c>
      <c r="Z550" s="315">
        <v>0</v>
      </c>
      <c r="AA550" s="315" t="s">
        <v>1190</v>
      </c>
      <c r="AB550" s="315">
        <v>0.2</v>
      </c>
      <c r="AC550" s="315">
        <v>2515.6999999999998</v>
      </c>
      <c r="AD550" s="315">
        <v>2350</v>
      </c>
      <c r="AE550" s="315">
        <v>0.55600000000000005</v>
      </c>
      <c r="AF550" s="315">
        <v>1.32</v>
      </c>
      <c r="AG550" s="315">
        <v>0.38</v>
      </c>
      <c r="AH550" s="315">
        <v>626</v>
      </c>
    </row>
    <row r="551" spans="1:34">
      <c r="A551" s="315" t="s">
        <v>1931</v>
      </c>
      <c r="B551" s="315" t="s">
        <v>1916</v>
      </c>
      <c r="C551" s="316" t="s">
        <v>1941</v>
      </c>
      <c r="D551" s="316" t="s">
        <v>1941</v>
      </c>
      <c r="E551" s="317">
        <v>10.1</v>
      </c>
      <c r="F551" s="317">
        <v>4.9767609999999998</v>
      </c>
      <c r="G551" s="317">
        <v>4.9767609999999998</v>
      </c>
      <c r="H551" s="317">
        <v>4.9767609999999998</v>
      </c>
      <c r="I551" s="318">
        <v>49.27486138613861</v>
      </c>
      <c r="J551" s="318">
        <v>67.623195037537201</v>
      </c>
      <c r="K551" s="319">
        <v>35.555588313410205</v>
      </c>
      <c r="L551" s="319">
        <v>-13.719273072728406</v>
      </c>
      <c r="M551" s="319">
        <f t="shared" si="8"/>
        <v>0</v>
      </c>
      <c r="N551" s="317">
        <v>0</v>
      </c>
      <c r="O551" s="315" t="s">
        <v>1148</v>
      </c>
      <c r="P551" s="318">
        <v>169</v>
      </c>
      <c r="R551" s="320">
        <v>76.111111111111114</v>
      </c>
      <c r="S551" s="318">
        <v>36.4</v>
      </c>
      <c r="T551" s="318">
        <v>47.308181818181829</v>
      </c>
      <c r="U551" s="318">
        <v>7.507272727272726</v>
      </c>
      <c r="V551" s="315">
        <v>0.21099999999999999</v>
      </c>
      <c r="W551" s="318">
        <v>266.4479</v>
      </c>
      <c r="X551" s="315">
        <v>4</v>
      </c>
      <c r="Y551" s="315" t="s">
        <v>1149</v>
      </c>
      <c r="Z551" s="315">
        <v>0</v>
      </c>
      <c r="AA551" s="315" t="s">
        <v>1190</v>
      </c>
      <c r="AB551" s="315">
        <v>0.2</v>
      </c>
      <c r="AC551" s="315">
        <v>2515.6999999999998</v>
      </c>
      <c r="AD551" s="315">
        <v>2350</v>
      </c>
      <c r="AE551" s="315">
        <v>0.35899999999999999</v>
      </c>
      <c r="AF551" s="315">
        <v>1.32</v>
      </c>
      <c r="AG551" s="315">
        <v>0.38</v>
      </c>
      <c r="AH551" s="315">
        <v>626</v>
      </c>
    </row>
    <row r="552" spans="1:34">
      <c r="A552" s="315" t="s">
        <v>1145</v>
      </c>
      <c r="B552" s="315" t="s">
        <v>1916</v>
      </c>
      <c r="C552" s="316" t="s">
        <v>1942</v>
      </c>
      <c r="D552" s="316" t="s">
        <v>1942</v>
      </c>
      <c r="E552" s="317">
        <v>20.7</v>
      </c>
      <c r="F552" s="317">
        <v>6.7371999999999996</v>
      </c>
      <c r="G552" s="317">
        <v>6.7371999999999996</v>
      </c>
      <c r="H552" s="317">
        <v>6.7371999999999996</v>
      </c>
      <c r="I552" s="318">
        <v>32.546859903381645</v>
      </c>
      <c r="J552" s="318">
        <v>60.134762173715302</v>
      </c>
      <c r="K552" s="319">
        <v>37.245096689569898</v>
      </c>
      <c r="L552" s="319">
        <v>4.6982367861882537</v>
      </c>
      <c r="M552" s="319">
        <f t="shared" si="8"/>
        <v>4.6982367861882537</v>
      </c>
      <c r="N552" s="317">
        <v>0.97253501474096848</v>
      </c>
      <c r="O552" s="315" t="s">
        <v>1148</v>
      </c>
      <c r="P552" s="318">
        <v>171</v>
      </c>
      <c r="R552" s="320">
        <v>77.222222222222229</v>
      </c>
      <c r="S552" s="318">
        <v>38.200000000000003</v>
      </c>
      <c r="T552" s="318">
        <v>18.099090909090911</v>
      </c>
      <c r="U552" s="318">
        <v>6.875454545454545</v>
      </c>
      <c r="V552" s="315">
        <v>0.2</v>
      </c>
      <c r="W552" s="318">
        <v>343.65550000000002</v>
      </c>
      <c r="X552" s="315">
        <v>5</v>
      </c>
      <c r="Y552" s="315" t="s">
        <v>1149</v>
      </c>
      <c r="Z552" s="315">
        <v>0</v>
      </c>
      <c r="AA552" s="315" t="s">
        <v>1190</v>
      </c>
      <c r="AB552" s="315">
        <v>0.2</v>
      </c>
      <c r="AC552" s="315">
        <v>2403.6999999999998</v>
      </c>
      <c r="AD552" s="315">
        <v>2480</v>
      </c>
      <c r="AE552" s="315">
        <v>0.2</v>
      </c>
      <c r="AF552" s="315">
        <v>1.01</v>
      </c>
      <c r="AG552" s="315">
        <v>0.36</v>
      </c>
      <c r="AH552" s="315">
        <v>634</v>
      </c>
    </row>
    <row r="553" spans="1:34">
      <c r="A553" s="315" t="s">
        <v>1943</v>
      </c>
      <c r="B553" s="315" t="s">
        <v>1916</v>
      </c>
      <c r="C553" s="316" t="s">
        <v>1944</v>
      </c>
      <c r="D553" s="316" t="s">
        <v>1944</v>
      </c>
      <c r="E553" s="317">
        <v>21.7</v>
      </c>
      <c r="F553" s="317">
        <v>6.5083359999999999</v>
      </c>
      <c r="G553" s="317">
        <v>6.5083359999999999</v>
      </c>
      <c r="H553" s="317">
        <v>6.5083359999999999</v>
      </c>
      <c r="I553" s="318">
        <v>29.992331797235021</v>
      </c>
      <c r="J553" s="318">
        <v>50.041903468851402</v>
      </c>
      <c r="K553" s="319">
        <v>39.660960109248698</v>
      </c>
      <c r="L553" s="319">
        <v>9.6686283120136771</v>
      </c>
      <c r="M553" s="319">
        <f t="shared" si="8"/>
        <v>9.6686283120136771</v>
      </c>
      <c r="N553" s="317">
        <v>2.0980923437069681</v>
      </c>
      <c r="O553" s="315" t="s">
        <v>1148</v>
      </c>
      <c r="P553" s="318">
        <v>192</v>
      </c>
      <c r="R553" s="320">
        <v>88.888888888888886</v>
      </c>
      <c r="S553" s="318">
        <v>37</v>
      </c>
      <c r="T553" s="318">
        <v>34.787142857142861</v>
      </c>
      <c r="U553" s="318">
        <v>31.748571428571431</v>
      </c>
      <c r="V553" s="315">
        <v>0.19800000000000001</v>
      </c>
      <c r="W553" s="318">
        <v>221.54033329999999</v>
      </c>
      <c r="X553" s="315">
        <v>6</v>
      </c>
      <c r="Y553" s="315" t="s">
        <v>1149</v>
      </c>
      <c r="Z553" s="315">
        <v>0</v>
      </c>
      <c r="AA553" s="315" t="s">
        <v>1190</v>
      </c>
      <c r="AB553" s="315">
        <v>0.2</v>
      </c>
      <c r="AC553" s="315">
        <v>3454.7</v>
      </c>
      <c r="AD553" s="315">
        <v>3440</v>
      </c>
      <c r="AE553" s="315">
        <v>0.74299999999999999</v>
      </c>
      <c r="AF553" s="315">
        <v>1.45</v>
      </c>
      <c r="AG553" s="315">
        <v>0.36299999999999999</v>
      </c>
      <c r="AH553" s="315">
        <v>620</v>
      </c>
    </row>
    <row r="554" spans="1:34">
      <c r="A554" s="315" t="s">
        <v>1145</v>
      </c>
      <c r="B554" s="315" t="s">
        <v>1916</v>
      </c>
      <c r="C554" s="316" t="s">
        <v>1945</v>
      </c>
      <c r="D554" s="316" t="s">
        <v>1945</v>
      </c>
      <c r="E554" s="317">
        <v>9.1</v>
      </c>
      <c r="F554" s="317">
        <v>2.5331350000000001</v>
      </c>
      <c r="G554" s="317">
        <v>2.5331350000000001</v>
      </c>
      <c r="H554" s="317">
        <v>2.5331350000000001</v>
      </c>
      <c r="I554" s="318">
        <v>27.836648351648353</v>
      </c>
      <c r="J554" s="318">
        <v>51.9776834791803</v>
      </c>
      <c r="K554" s="319">
        <v>38.800433714094602</v>
      </c>
      <c r="L554" s="319">
        <v>10.963785362446249</v>
      </c>
      <c r="M554" s="319">
        <f t="shared" si="8"/>
        <v>10.963785362446249</v>
      </c>
      <c r="N554" s="317">
        <v>0.99770446798260859</v>
      </c>
      <c r="O554" s="315" t="s">
        <v>1148</v>
      </c>
      <c r="P554" s="318">
        <v>192</v>
      </c>
      <c r="R554" s="320">
        <v>88.888888888888886</v>
      </c>
      <c r="S554" s="318">
        <v>37</v>
      </c>
      <c r="T554" s="318">
        <v>16.832448979591838</v>
      </c>
      <c r="U554" s="318">
        <v>13.009795918367347</v>
      </c>
      <c r="V554" s="315">
        <v>0.20599999999999999</v>
      </c>
      <c r="W554" s="318">
        <v>125.30800000000001</v>
      </c>
      <c r="X554" s="315">
        <v>5</v>
      </c>
      <c r="Y554" s="315" t="s">
        <v>1149</v>
      </c>
      <c r="Z554" s="315">
        <v>0</v>
      </c>
      <c r="AA554" s="315" t="s">
        <v>1190</v>
      </c>
      <c r="AB554" s="315">
        <v>0.2</v>
      </c>
      <c r="AC554" s="315">
        <v>3888.8</v>
      </c>
      <c r="AD554" s="315">
        <v>3980</v>
      </c>
      <c r="AE554" s="315">
        <v>0.6</v>
      </c>
      <c r="AF554" s="315">
        <v>1.35</v>
      </c>
      <c r="AG554" s="315">
        <v>4.3</v>
      </c>
      <c r="AH554" s="315">
        <v>798</v>
      </c>
    </row>
    <row r="555" spans="1:34">
      <c r="A555" s="315" t="s">
        <v>1145</v>
      </c>
      <c r="B555" s="315" t="s">
        <v>1916</v>
      </c>
      <c r="C555" s="316" t="s">
        <v>1946</v>
      </c>
      <c r="D555" s="316" t="s">
        <v>1946</v>
      </c>
      <c r="E555" s="317">
        <v>1.6</v>
      </c>
      <c r="F555" s="317">
        <v>0</v>
      </c>
      <c r="G555" s="317">
        <v>0</v>
      </c>
      <c r="H555" s="317">
        <v>0</v>
      </c>
      <c r="I555" s="318">
        <v>0</v>
      </c>
      <c r="J555" s="318">
        <v>60.564740216078</v>
      </c>
      <c r="K555" s="319">
        <v>34.228527587588999</v>
      </c>
      <c r="L555" s="319">
        <v>34.228527587588999</v>
      </c>
      <c r="M555" s="319">
        <f t="shared" si="8"/>
        <v>34.228527587588999</v>
      </c>
      <c r="N555" s="317">
        <v>0.547656441401424</v>
      </c>
      <c r="O555" s="315" t="s">
        <v>1168</v>
      </c>
      <c r="P555" s="318">
        <v>192</v>
      </c>
      <c r="R555" s="320">
        <v>88.888888888888886</v>
      </c>
      <c r="S555" s="318">
        <v>37</v>
      </c>
      <c r="T555" s="318">
        <v>5.9566666666666661</v>
      </c>
      <c r="U555" s="318">
        <v>3.0549999999999997</v>
      </c>
      <c r="V555" s="315">
        <v>0.16900000000000001</v>
      </c>
      <c r="W555" s="318">
        <v>16.888874999999999</v>
      </c>
      <c r="X555" s="315">
        <v>0</v>
      </c>
      <c r="Y555" s="315" t="s">
        <v>1149</v>
      </c>
      <c r="Z555" s="315">
        <v>0</v>
      </c>
      <c r="AA555" s="315" t="s">
        <v>1190</v>
      </c>
      <c r="AB555" s="315">
        <v>0.2</v>
      </c>
      <c r="AC555" s="315">
        <v>3440</v>
      </c>
      <c r="AD555" s="315">
        <v>3440</v>
      </c>
      <c r="AE555" s="315">
        <v>0.51</v>
      </c>
      <c r="AF555" s="315">
        <v>1.45</v>
      </c>
      <c r="AG555" s="315">
        <v>0.38</v>
      </c>
      <c r="AH555" s="315">
        <v>620</v>
      </c>
    </row>
    <row r="556" spans="1:34">
      <c r="A556" s="315" t="s">
        <v>1943</v>
      </c>
      <c r="B556" s="315" t="s">
        <v>1916</v>
      </c>
      <c r="C556" s="316" t="s">
        <v>1947</v>
      </c>
      <c r="D556" s="316" t="s">
        <v>1947</v>
      </c>
      <c r="E556" s="317">
        <v>3.6</v>
      </c>
      <c r="F556" s="317">
        <v>0.95797299999999996</v>
      </c>
      <c r="G556" s="317">
        <v>0.95797299999999996</v>
      </c>
      <c r="H556" s="317">
        <v>0.95797299999999996</v>
      </c>
      <c r="I556" s="318">
        <v>26.610361111111107</v>
      </c>
      <c r="J556" s="318">
        <v>0</v>
      </c>
      <c r="K556" s="319">
        <v>0</v>
      </c>
      <c r="L556" s="319">
        <v>-26.610361111111107</v>
      </c>
      <c r="M556" s="319">
        <f t="shared" si="8"/>
        <v>0</v>
      </c>
      <c r="N556" s="317">
        <v>0</v>
      </c>
      <c r="O556" s="315" t="s">
        <v>1148</v>
      </c>
      <c r="P556" s="318">
        <v>192</v>
      </c>
      <c r="R556" s="320">
        <v>88.888888888888886</v>
      </c>
      <c r="S556" s="318">
        <v>37</v>
      </c>
      <c r="T556" s="318">
        <v>10.549999999999999</v>
      </c>
      <c r="U556" s="318">
        <v>5.665</v>
      </c>
      <c r="V556" s="315">
        <v>0.2</v>
      </c>
      <c r="W556" s="318">
        <v>30.860749999999999</v>
      </c>
      <c r="X556" s="315">
        <v>2</v>
      </c>
      <c r="Y556" s="315" t="s">
        <v>1149</v>
      </c>
      <c r="Z556" s="315">
        <v>0</v>
      </c>
      <c r="AA556" s="315" t="s">
        <v>1190</v>
      </c>
      <c r="AB556" s="315">
        <v>0.2</v>
      </c>
      <c r="AC556" s="315">
        <v>3330</v>
      </c>
      <c r="AD556" s="315">
        <v>3440</v>
      </c>
      <c r="AE556" s="315">
        <v>0.13</v>
      </c>
      <c r="AF556" s="315">
        <v>1.38</v>
      </c>
      <c r="AG556" s="315">
        <v>0.38</v>
      </c>
      <c r="AH556" s="315">
        <v>620</v>
      </c>
    </row>
    <row r="557" spans="1:34">
      <c r="A557" s="315" t="s">
        <v>1145</v>
      </c>
      <c r="B557" s="315" t="s">
        <v>1916</v>
      </c>
      <c r="C557" s="316" t="s">
        <v>1948</v>
      </c>
      <c r="D557" s="316" t="s">
        <v>1948</v>
      </c>
      <c r="E557" s="317">
        <v>2.58</v>
      </c>
      <c r="F557" s="317">
        <v>0</v>
      </c>
      <c r="G557" s="317">
        <v>0</v>
      </c>
      <c r="H557" s="317">
        <v>0</v>
      </c>
      <c r="I557" s="318">
        <v>0</v>
      </c>
      <c r="J557" s="318">
        <v>0</v>
      </c>
      <c r="K557" s="319">
        <v>0</v>
      </c>
      <c r="L557" s="319">
        <v>0</v>
      </c>
      <c r="M557" s="319">
        <f t="shared" si="8"/>
        <v>0</v>
      </c>
      <c r="N557" s="317">
        <v>0</v>
      </c>
      <c r="O557" s="315" t="s">
        <v>1168</v>
      </c>
      <c r="P557" s="318">
        <v>195</v>
      </c>
      <c r="R557" s="320">
        <v>90.555555555555557</v>
      </c>
      <c r="S557" s="318">
        <v>39</v>
      </c>
      <c r="T557" s="318">
        <v>0.26666666666666666</v>
      </c>
      <c r="U557" s="318">
        <v>0.18999999999999997</v>
      </c>
      <c r="V557" s="315">
        <v>0.16800000000000001</v>
      </c>
      <c r="W557" s="318">
        <v>2.95675</v>
      </c>
      <c r="X557" s="315">
        <v>1</v>
      </c>
      <c r="Y557" s="315" t="s">
        <v>1149</v>
      </c>
      <c r="Z557" s="315">
        <v>0</v>
      </c>
      <c r="AA557" s="315" t="s">
        <v>1190</v>
      </c>
      <c r="AB557" s="315">
        <v>0.2</v>
      </c>
      <c r="AC557" s="315">
        <v>3228.7</v>
      </c>
      <c r="AD557" s="315">
        <v>3449</v>
      </c>
      <c r="AE557" s="315">
        <v>0.7</v>
      </c>
      <c r="AF557" s="315">
        <v>1.4339999999999999</v>
      </c>
      <c r="AG557" s="315">
        <v>0.40699999999999997</v>
      </c>
      <c r="AH557" s="315">
        <v>882</v>
      </c>
    </row>
    <row r="558" spans="1:34">
      <c r="A558" s="315" t="s">
        <v>1485</v>
      </c>
      <c r="B558" s="315" t="s">
        <v>1916</v>
      </c>
      <c r="C558" s="316" t="s">
        <v>1949</v>
      </c>
      <c r="D558" s="316" t="s">
        <v>1949</v>
      </c>
      <c r="E558" s="317">
        <v>1.36</v>
      </c>
      <c r="F558" s="317">
        <v>0</v>
      </c>
      <c r="G558" s="317">
        <v>0</v>
      </c>
      <c r="H558" s="317">
        <v>0</v>
      </c>
      <c r="I558" s="318">
        <v>0</v>
      </c>
      <c r="J558" s="318">
        <v>81.107018223249796</v>
      </c>
      <c r="K558" s="319">
        <v>23.977804496058599</v>
      </c>
      <c r="L558" s="319">
        <v>23.977804496058599</v>
      </c>
      <c r="M558" s="319">
        <f t="shared" si="8"/>
        <v>23.977804496058599</v>
      </c>
      <c r="N558" s="317">
        <v>0.32609814114639696</v>
      </c>
      <c r="O558" s="315" t="s">
        <v>1168</v>
      </c>
      <c r="P558" s="318">
        <v>195</v>
      </c>
      <c r="R558" s="320">
        <v>90.555555555555557</v>
      </c>
      <c r="S558" s="318">
        <v>39</v>
      </c>
      <c r="T558" s="318">
        <v>7.8833333333333337</v>
      </c>
      <c r="U558" s="318">
        <v>1.8433333333333299</v>
      </c>
      <c r="V558" s="315">
        <v>0.23345794392523361</v>
      </c>
      <c r="W558" s="318">
        <v>60.787750000000003</v>
      </c>
      <c r="X558" s="315">
        <v>1</v>
      </c>
      <c r="Y558" s="315" t="s">
        <v>1149</v>
      </c>
      <c r="Z558" s="315">
        <v>0</v>
      </c>
      <c r="AA558" s="315" t="s">
        <v>1190</v>
      </c>
      <c r="AB558" s="315">
        <v>0.2</v>
      </c>
      <c r="AC558" s="315">
        <v>3228.7</v>
      </c>
      <c r="AD558" s="315">
        <v>3449</v>
      </c>
      <c r="AE558" s="315">
        <v>0.26346832465972775</v>
      </c>
      <c r="AF558" s="315">
        <v>1.478</v>
      </c>
      <c r="AG558" s="315">
        <v>0.40699999999999997</v>
      </c>
      <c r="AH558" s="315">
        <v>882</v>
      </c>
    </row>
    <row r="559" spans="1:34">
      <c r="A559" s="315" t="s">
        <v>1931</v>
      </c>
      <c r="B559" s="315" t="s">
        <v>1916</v>
      </c>
      <c r="C559" s="316" t="s">
        <v>1950</v>
      </c>
      <c r="D559" s="316" t="s">
        <v>1950</v>
      </c>
      <c r="E559" s="317">
        <v>6.7</v>
      </c>
      <c r="F559" s="317">
        <v>1.78</v>
      </c>
      <c r="G559" s="317">
        <v>1.78</v>
      </c>
      <c r="H559" s="317">
        <v>1.78</v>
      </c>
      <c r="I559" s="318">
        <v>26.567164179104481</v>
      </c>
      <c r="J559" s="318">
        <v>56.929386328720099</v>
      </c>
      <c r="K559" s="319">
        <v>37.735270860311502</v>
      </c>
      <c r="L559" s="319">
        <v>11.168106681207021</v>
      </c>
      <c r="M559" s="319">
        <f t="shared" si="8"/>
        <v>11.168106681207021</v>
      </c>
      <c r="N559" s="317">
        <v>0.74826314764087043</v>
      </c>
      <c r="O559" s="315" t="s">
        <v>1148</v>
      </c>
      <c r="P559" s="318">
        <v>195</v>
      </c>
      <c r="R559" s="320">
        <v>90.555555555555557</v>
      </c>
      <c r="S559" s="318">
        <v>39</v>
      </c>
      <c r="T559" s="318">
        <v>5.0662499999999993</v>
      </c>
      <c r="U559" s="318">
        <v>3.74</v>
      </c>
      <c r="V559" s="315">
        <v>0.217</v>
      </c>
      <c r="W559" s="318">
        <v>138.5812857</v>
      </c>
      <c r="X559" s="315">
        <v>4</v>
      </c>
      <c r="Y559" s="315" t="s">
        <v>1149</v>
      </c>
      <c r="Z559" s="315">
        <v>0</v>
      </c>
      <c r="AA559" s="315" t="s">
        <v>1190</v>
      </c>
      <c r="AB559" s="315">
        <v>0.2</v>
      </c>
      <c r="AC559" s="315">
        <v>3440</v>
      </c>
      <c r="AD559" s="315">
        <v>3449</v>
      </c>
      <c r="AE559" s="315">
        <v>0.55000000000000004</v>
      </c>
      <c r="AF559" s="315">
        <v>1.45</v>
      </c>
      <c r="AG559" s="315">
        <v>0.40699999999999997</v>
      </c>
      <c r="AH559" s="315">
        <v>882</v>
      </c>
    </row>
    <row r="560" spans="1:34">
      <c r="A560" s="315" t="s">
        <v>1951</v>
      </c>
      <c r="B560" s="315" t="s">
        <v>1916</v>
      </c>
      <c r="C560" s="316" t="s">
        <v>1952</v>
      </c>
      <c r="D560" s="316" t="s">
        <v>1952</v>
      </c>
      <c r="E560" s="317">
        <v>9.3000000000000007</v>
      </c>
      <c r="F560" s="317">
        <v>1.7701750000000001</v>
      </c>
      <c r="G560" s="317">
        <v>1.7701750000000001</v>
      </c>
      <c r="H560" s="317">
        <v>1.7701750000000001</v>
      </c>
      <c r="I560" s="318">
        <v>19.034139784946234</v>
      </c>
      <c r="J560" s="318">
        <v>56.508512916585801</v>
      </c>
      <c r="K560" s="319">
        <v>37.326027030787102</v>
      </c>
      <c r="L560" s="319">
        <v>18.291887245840869</v>
      </c>
      <c r="M560" s="319">
        <f t="shared" si="8"/>
        <v>18.291887245840869</v>
      </c>
      <c r="N560" s="317">
        <v>1.7011455138632008</v>
      </c>
      <c r="O560" s="315" t="s">
        <v>1148</v>
      </c>
      <c r="P560" s="318">
        <v>212</v>
      </c>
      <c r="R560" s="320">
        <v>100</v>
      </c>
      <c r="S560" s="318">
        <v>37</v>
      </c>
      <c r="T560" s="318">
        <v>8.2285714285714278</v>
      </c>
      <c r="U560" s="318">
        <v>6.55</v>
      </c>
      <c r="V560" s="315">
        <v>0.1965762152777778</v>
      </c>
      <c r="W560" s="318">
        <v>22.347799999999999</v>
      </c>
      <c r="X560" s="315">
        <v>3</v>
      </c>
      <c r="Y560" s="315" t="s">
        <v>1149</v>
      </c>
      <c r="Z560" s="315">
        <v>0</v>
      </c>
      <c r="AA560" s="315" t="s">
        <v>1190</v>
      </c>
      <c r="AB560" s="315">
        <v>0.2</v>
      </c>
      <c r="AC560" s="315">
        <v>3652.9</v>
      </c>
      <c r="AD560" s="315">
        <v>3980</v>
      </c>
      <c r="AE560" s="315">
        <v>0.46769910154652694</v>
      </c>
      <c r="AF560" s="315">
        <v>1.4750000000000001</v>
      </c>
      <c r="AG560" s="315">
        <v>0.13900000000000001</v>
      </c>
      <c r="AH560" s="315">
        <v>953</v>
      </c>
    </row>
    <row r="561" spans="1:34">
      <c r="A561" s="315" t="s">
        <v>1145</v>
      </c>
      <c r="B561" s="315" t="s">
        <v>1916</v>
      </c>
      <c r="C561" s="316" t="s">
        <v>1953</v>
      </c>
      <c r="D561" s="316" t="s">
        <v>1953</v>
      </c>
      <c r="E561" s="317">
        <v>8.8000000000000007</v>
      </c>
      <c r="F561" s="317">
        <v>2.4185840000000001</v>
      </c>
      <c r="G561" s="317">
        <v>2.4185840000000001</v>
      </c>
      <c r="H561" s="317">
        <v>2.4185840000000001</v>
      </c>
      <c r="I561" s="318">
        <v>27.483909090909091</v>
      </c>
      <c r="J561" s="318">
        <v>44.942781411816199</v>
      </c>
      <c r="K561" s="319">
        <v>41.263945355774901</v>
      </c>
      <c r="L561" s="319">
        <v>13.78003626486581</v>
      </c>
      <c r="M561" s="319">
        <f t="shared" si="8"/>
        <v>13.78003626486581</v>
      </c>
      <c r="N561" s="317">
        <v>1.2126431913081914</v>
      </c>
      <c r="O561" s="315" t="s">
        <v>1148</v>
      </c>
      <c r="P561" s="318">
        <v>212</v>
      </c>
      <c r="R561" s="320">
        <v>100</v>
      </c>
      <c r="S561" s="318">
        <v>37</v>
      </c>
      <c r="T561" s="318">
        <v>11.222857142857142</v>
      </c>
      <c r="U561" s="318">
        <v>2.2814285714285711</v>
      </c>
      <c r="V561" s="315">
        <v>0.17104086048879835</v>
      </c>
      <c r="W561" s="318">
        <v>422.99700000000001</v>
      </c>
      <c r="X561" s="315">
        <v>3</v>
      </c>
      <c r="Y561" s="315" t="s">
        <v>1149</v>
      </c>
      <c r="Z561" s="315">
        <v>0</v>
      </c>
      <c r="AA561" s="315" t="s">
        <v>1190</v>
      </c>
      <c r="AB561" s="315">
        <v>0.2</v>
      </c>
      <c r="AC561" s="315">
        <v>3183.4</v>
      </c>
      <c r="AD561" s="315">
        <v>3980</v>
      </c>
      <c r="AE561" s="315">
        <v>0.85634412817770689</v>
      </c>
      <c r="AF561" s="315">
        <v>1.4339999999999999</v>
      </c>
      <c r="AG561" s="315">
        <v>0.13900000000000001</v>
      </c>
      <c r="AH561" s="315">
        <v>953</v>
      </c>
    </row>
    <row r="562" spans="1:34">
      <c r="A562" s="315" t="s">
        <v>1145</v>
      </c>
      <c r="B562" s="315" t="s">
        <v>1916</v>
      </c>
      <c r="C562" s="316" t="s">
        <v>1954</v>
      </c>
      <c r="D562" s="316" t="s">
        <v>1954</v>
      </c>
      <c r="E562" s="317">
        <v>1.8</v>
      </c>
      <c r="F562" s="317">
        <v>0.33660000000000001</v>
      </c>
      <c r="G562" s="317">
        <v>0.33660000000000001</v>
      </c>
      <c r="H562" s="317">
        <v>0.33660000000000001</v>
      </c>
      <c r="I562" s="318">
        <v>18.7</v>
      </c>
      <c r="J562" s="318">
        <v>66.952463647561103</v>
      </c>
      <c r="K562" s="319">
        <v>31.934489904484497</v>
      </c>
      <c r="L562" s="319">
        <v>13.234489904484498</v>
      </c>
      <c r="M562" s="319">
        <f t="shared" si="8"/>
        <v>13.234489904484498</v>
      </c>
      <c r="N562" s="317">
        <v>0.23822081828072098</v>
      </c>
      <c r="O562" s="315" t="s">
        <v>1148</v>
      </c>
      <c r="P562" s="318">
        <v>212</v>
      </c>
      <c r="R562" s="320">
        <v>100</v>
      </c>
      <c r="S562" s="318">
        <v>37</v>
      </c>
      <c r="T562" s="318">
        <v>10.294285714285712</v>
      </c>
      <c r="U562" s="318">
        <v>5.4728571428571433</v>
      </c>
      <c r="V562" s="315">
        <v>0.16124104912572859</v>
      </c>
      <c r="W562" s="318">
        <v>23.606000000000002</v>
      </c>
      <c r="X562" s="315">
        <v>2</v>
      </c>
      <c r="Y562" s="315" t="s">
        <v>1149</v>
      </c>
      <c r="Z562" s="315">
        <v>0</v>
      </c>
      <c r="AA562" s="315" t="s">
        <v>1190</v>
      </c>
      <c r="AB562" s="315">
        <v>0.2</v>
      </c>
      <c r="AC562" s="315">
        <v>3321.9898437500001</v>
      </c>
      <c r="AD562" s="315">
        <v>3980</v>
      </c>
      <c r="AE562" s="315">
        <v>0.56326655495338251</v>
      </c>
      <c r="AF562" s="315">
        <v>1.4750000000000001</v>
      </c>
      <c r="AG562" s="315">
        <v>4.3</v>
      </c>
      <c r="AH562" s="315">
        <v>798</v>
      </c>
    </row>
    <row r="563" spans="1:34">
      <c r="A563" s="315" t="s">
        <v>1955</v>
      </c>
      <c r="B563" s="315" t="s">
        <v>1916</v>
      </c>
      <c r="C563" s="316" t="s">
        <v>1956</v>
      </c>
      <c r="D563" s="316" t="s">
        <v>1956</v>
      </c>
      <c r="E563" s="317">
        <v>32.1</v>
      </c>
      <c r="F563" s="317">
        <v>11.443989</v>
      </c>
      <c r="G563" s="317">
        <v>11.443989</v>
      </c>
      <c r="H563" s="317">
        <v>11.443989</v>
      </c>
      <c r="I563" s="318">
        <v>35.651056074766352</v>
      </c>
      <c r="J563" s="318">
        <v>65.726405381611798</v>
      </c>
      <c r="K563" s="319">
        <v>34.244115170127301</v>
      </c>
      <c r="L563" s="319">
        <v>-1.4069409046390504</v>
      </c>
      <c r="M563" s="319">
        <f t="shared" si="8"/>
        <v>0</v>
      </c>
      <c r="N563" s="317">
        <v>0</v>
      </c>
      <c r="O563" s="315" t="s">
        <v>1148</v>
      </c>
      <c r="P563" s="318">
        <v>212</v>
      </c>
      <c r="R563" s="320">
        <v>100</v>
      </c>
      <c r="S563" s="318">
        <v>37</v>
      </c>
      <c r="T563" s="318">
        <v>17.110000000000003</v>
      </c>
      <c r="U563" s="318">
        <v>10.968571428571428</v>
      </c>
      <c r="V563" s="315">
        <v>0.2</v>
      </c>
      <c r="W563" s="318">
        <v>140.15100000000001</v>
      </c>
      <c r="X563" s="315">
        <v>6</v>
      </c>
      <c r="Y563" s="315" t="s">
        <v>1149</v>
      </c>
      <c r="Z563" s="315">
        <v>0</v>
      </c>
      <c r="AA563" s="315" t="s">
        <v>1190</v>
      </c>
      <c r="AB563" s="315">
        <v>0.2</v>
      </c>
      <c r="AC563" s="315">
        <v>3888.8</v>
      </c>
      <c r="AD563" s="315">
        <v>3980</v>
      </c>
      <c r="AE563" s="315">
        <v>0.6</v>
      </c>
      <c r="AF563" s="315">
        <v>1.35</v>
      </c>
      <c r="AG563" s="315">
        <v>4.3</v>
      </c>
      <c r="AH563" s="315">
        <v>798</v>
      </c>
    </row>
    <row r="564" spans="1:34">
      <c r="A564" s="315" t="s">
        <v>1957</v>
      </c>
      <c r="B564" s="315" t="s">
        <v>1916</v>
      </c>
      <c r="C564" s="316" t="s">
        <v>1958</v>
      </c>
      <c r="D564" s="316" t="s">
        <v>1958</v>
      </c>
      <c r="E564" s="317">
        <v>0.63</v>
      </c>
      <c r="F564" s="317">
        <v>0.26</v>
      </c>
      <c r="G564" s="317">
        <v>0.26</v>
      </c>
      <c r="H564" s="317">
        <v>0.26</v>
      </c>
      <c r="I564" s="318">
        <v>41.269841269841272</v>
      </c>
      <c r="J564" s="318">
        <v>61.0353703054829</v>
      </c>
      <c r="K564" s="319">
        <v>33.773620227353405</v>
      </c>
      <c r="L564" s="319">
        <v>-7.4962210424878677</v>
      </c>
      <c r="M564" s="319">
        <f t="shared" si="8"/>
        <v>0</v>
      </c>
      <c r="N564" s="317">
        <v>0</v>
      </c>
      <c r="O564" s="315" t="s">
        <v>1148</v>
      </c>
      <c r="P564" s="318">
        <v>212</v>
      </c>
      <c r="R564" s="320">
        <v>100</v>
      </c>
      <c r="S564" s="318">
        <v>37</v>
      </c>
      <c r="T564" s="318">
        <v>4.6071</v>
      </c>
      <c r="U564" s="318">
        <v>0.19</v>
      </c>
      <c r="V564" s="315">
        <v>0.12976527131782944</v>
      </c>
      <c r="W564" s="318">
        <v>9.5670000000000002</v>
      </c>
      <c r="X564" s="315">
        <v>1</v>
      </c>
      <c r="Y564" s="315" t="s">
        <v>1149</v>
      </c>
      <c r="Z564" s="315">
        <v>0</v>
      </c>
      <c r="AA564" s="315" t="s">
        <v>1190</v>
      </c>
      <c r="AB564" s="315">
        <v>0</v>
      </c>
      <c r="AC564" s="315">
        <v>2732.4</v>
      </c>
      <c r="AD564" s="315">
        <v>3980</v>
      </c>
      <c r="AE564" s="315">
        <v>0.9656510240314653</v>
      </c>
      <c r="AF564" s="315">
        <v>1.403</v>
      </c>
      <c r="AG564" s="315">
        <v>4.3</v>
      </c>
      <c r="AH564" s="315">
        <v>798</v>
      </c>
    </row>
    <row r="565" spans="1:34">
      <c r="A565" s="315" t="s">
        <v>1145</v>
      </c>
      <c r="B565" s="315" t="s">
        <v>1916</v>
      </c>
      <c r="C565" s="316" t="s">
        <v>1959</v>
      </c>
      <c r="D565" s="316" t="s">
        <v>1959</v>
      </c>
      <c r="E565" s="317">
        <v>2.2000000000000002</v>
      </c>
      <c r="F565" s="317">
        <v>0.41699999999999998</v>
      </c>
      <c r="G565" s="317">
        <v>0.41699999999999998</v>
      </c>
      <c r="H565" s="317">
        <v>0.41699999999999998</v>
      </c>
      <c r="I565" s="318">
        <v>18.954545454545453</v>
      </c>
      <c r="J565" s="318">
        <v>63.707137595269302</v>
      </c>
      <c r="K565" s="319">
        <v>31.5093471342995</v>
      </c>
      <c r="L565" s="319">
        <v>12.554801679754046</v>
      </c>
      <c r="M565" s="319">
        <f t="shared" si="8"/>
        <v>12.554801679754046</v>
      </c>
      <c r="N565" s="317">
        <v>0.27620563695458905</v>
      </c>
      <c r="O565" s="315" t="s">
        <v>1148</v>
      </c>
      <c r="P565" s="318">
        <v>212</v>
      </c>
      <c r="R565" s="320">
        <v>100</v>
      </c>
      <c r="S565" s="318">
        <v>37</v>
      </c>
      <c r="T565" s="318">
        <v>3.28084</v>
      </c>
      <c r="U565" s="318">
        <v>3.4428999999999998</v>
      </c>
      <c r="V565" s="315">
        <v>0.15492456896551726</v>
      </c>
      <c r="W565" s="318">
        <v>48.605499999999999</v>
      </c>
      <c r="X565" s="315">
        <v>3</v>
      </c>
      <c r="Y565" s="315" t="s">
        <v>1149</v>
      </c>
      <c r="Z565" s="315">
        <v>0</v>
      </c>
      <c r="AA565" s="315" t="s">
        <v>1190</v>
      </c>
      <c r="AB565" s="315">
        <v>0.2</v>
      </c>
      <c r="AC565" s="315">
        <v>1981.9</v>
      </c>
      <c r="AD565" s="315">
        <v>3980</v>
      </c>
      <c r="AE565" s="315">
        <v>0.76730318390484809</v>
      </c>
      <c r="AF565" s="315">
        <v>1.403</v>
      </c>
      <c r="AG565" s="315">
        <v>4.3</v>
      </c>
      <c r="AH565" s="315">
        <v>798</v>
      </c>
    </row>
    <row r="566" spans="1:34">
      <c r="A566" s="315" t="s">
        <v>1145</v>
      </c>
      <c r="B566" s="315" t="s">
        <v>1916</v>
      </c>
      <c r="C566" s="316" t="s">
        <v>1960</v>
      </c>
      <c r="D566" s="316" t="s">
        <v>1960</v>
      </c>
      <c r="E566" s="317">
        <v>18.899999999999999</v>
      </c>
      <c r="F566" s="317">
        <v>6.4822649999999999</v>
      </c>
      <c r="G566" s="317">
        <v>6.4822649999999999</v>
      </c>
      <c r="H566" s="317">
        <v>6.4822649999999999</v>
      </c>
      <c r="I566" s="318">
        <v>34.297698412698416</v>
      </c>
      <c r="J566" s="318">
        <v>55.973984189959602</v>
      </c>
      <c r="K566" s="319">
        <v>39.167945539249402</v>
      </c>
      <c r="L566" s="319">
        <v>4.8702471265509857</v>
      </c>
      <c r="M566" s="319">
        <f t="shared" si="8"/>
        <v>4.8702471265509857</v>
      </c>
      <c r="N566" s="317">
        <v>0.92047670691813621</v>
      </c>
      <c r="O566" s="315" t="s">
        <v>1148</v>
      </c>
      <c r="P566" s="318">
        <v>217</v>
      </c>
      <c r="R566" s="320">
        <v>102.77777777777777</v>
      </c>
      <c r="S566" s="318">
        <v>37</v>
      </c>
      <c r="T566" s="318">
        <v>8.1516666666666655</v>
      </c>
      <c r="U566" s="318">
        <v>5.3999999999999995</v>
      </c>
      <c r="V566" s="315">
        <v>0.20447965651196073</v>
      </c>
      <c r="W566" s="318">
        <v>147.65880000000001</v>
      </c>
      <c r="X566" s="315">
        <v>1</v>
      </c>
      <c r="Y566" s="315" t="s">
        <v>1149</v>
      </c>
      <c r="Z566" s="315">
        <v>0</v>
      </c>
      <c r="AA566" s="315" t="s">
        <v>1190</v>
      </c>
      <c r="AB566" s="315">
        <v>0.2</v>
      </c>
      <c r="AC566" s="315">
        <v>3262.2811459016393</v>
      </c>
      <c r="AD566" s="315">
        <v>3425</v>
      </c>
      <c r="AE566" s="315">
        <v>0.52498662447130817</v>
      </c>
      <c r="AF566" s="315">
        <v>1.478</v>
      </c>
      <c r="AG566" s="315">
        <v>0.193</v>
      </c>
      <c r="AH566" s="315">
        <v>719</v>
      </c>
    </row>
    <row r="567" spans="1:34">
      <c r="A567" s="315" t="s">
        <v>1327</v>
      </c>
      <c r="B567" s="315" t="s">
        <v>1916</v>
      </c>
      <c r="C567" s="316" t="s">
        <v>1961</v>
      </c>
      <c r="D567" s="316" t="s">
        <v>1961</v>
      </c>
      <c r="E567" s="317">
        <v>15.8</v>
      </c>
      <c r="F567" s="317">
        <v>4.2150169999999996</v>
      </c>
      <c r="G567" s="317">
        <v>4.2150169999999996</v>
      </c>
      <c r="H567" s="317">
        <v>4.2150169999999996</v>
      </c>
      <c r="I567" s="318">
        <v>26.677322784810119</v>
      </c>
      <c r="J567" s="318">
        <v>49.684229258130799</v>
      </c>
      <c r="K567" s="319">
        <v>40.744845786188598</v>
      </c>
      <c r="L567" s="319">
        <v>14.067523001378479</v>
      </c>
      <c r="M567" s="319">
        <f t="shared" si="8"/>
        <v>14.067523001378479</v>
      </c>
      <c r="N567" s="317">
        <v>2.2226686342177997</v>
      </c>
      <c r="O567" s="315" t="s">
        <v>1148</v>
      </c>
      <c r="P567" s="318">
        <v>217</v>
      </c>
      <c r="R567" s="320">
        <v>102.77777777777777</v>
      </c>
      <c r="S567" s="318">
        <v>37</v>
      </c>
      <c r="T567" s="318">
        <v>10.224285714285715</v>
      </c>
      <c r="U567" s="318">
        <v>4.9857142857142858</v>
      </c>
      <c r="V567" s="315">
        <v>0.19236691351124771</v>
      </c>
      <c r="W567" s="318">
        <v>153.73650000000001</v>
      </c>
      <c r="X567" s="315">
        <v>5</v>
      </c>
      <c r="Y567" s="315" t="s">
        <v>1149</v>
      </c>
      <c r="Z567" s="315">
        <v>0</v>
      </c>
      <c r="AA567" s="315" t="s">
        <v>1190</v>
      </c>
      <c r="AB567" s="315">
        <v>0.2</v>
      </c>
      <c r="AC567" s="315">
        <v>3259</v>
      </c>
      <c r="AD567" s="315">
        <v>3425</v>
      </c>
      <c r="AE567" s="315">
        <v>0.63258067941631513</v>
      </c>
      <c r="AF567" s="315">
        <v>1.478</v>
      </c>
      <c r="AG567" s="315">
        <v>0.193</v>
      </c>
      <c r="AH567" s="315">
        <v>719</v>
      </c>
    </row>
    <row r="568" spans="1:34">
      <c r="A568" s="315" t="s">
        <v>1145</v>
      </c>
      <c r="B568" s="315" t="s">
        <v>737</v>
      </c>
      <c r="C568" s="316" t="s">
        <v>1962</v>
      </c>
      <c r="D568" s="316" t="s">
        <v>1962</v>
      </c>
      <c r="E568" s="317">
        <v>116.3</v>
      </c>
      <c r="F568" s="317">
        <v>51.290199999999999</v>
      </c>
      <c r="G568" s="317">
        <v>51.290199999999999</v>
      </c>
      <c r="H568" s="317">
        <v>51.290199999999999</v>
      </c>
      <c r="I568" s="318">
        <v>44.101633705932933</v>
      </c>
      <c r="J568" s="318">
        <v>57.531273344246898</v>
      </c>
      <c r="K568" s="319">
        <v>43.573790094409794</v>
      </c>
      <c r="L568" s="319">
        <v>-0.52784361152313863</v>
      </c>
      <c r="M568" s="319">
        <f t="shared" si="8"/>
        <v>0</v>
      </c>
      <c r="N568" s="317">
        <v>0</v>
      </c>
      <c r="O568" s="315" t="s">
        <v>1148</v>
      </c>
      <c r="P568" s="318">
        <v>199</v>
      </c>
      <c r="R568" s="320">
        <v>92.777777777777771</v>
      </c>
      <c r="S568" s="318">
        <v>46.2</v>
      </c>
      <c r="T568" s="318">
        <v>105.64150339888236</v>
      </c>
      <c r="U568" s="318">
        <v>223.108</v>
      </c>
      <c r="V568" s="315">
        <v>0.24404735942163366</v>
      </c>
      <c r="W568" s="318">
        <v>209.375</v>
      </c>
      <c r="X568" s="315">
        <v>21</v>
      </c>
      <c r="Y568" s="315" t="s">
        <v>1440</v>
      </c>
      <c r="Z568" s="315">
        <v>0</v>
      </c>
      <c r="AA568" s="315" t="s">
        <v>1150</v>
      </c>
      <c r="AB568" s="315">
        <v>0.1</v>
      </c>
      <c r="AC568" s="315">
        <v>1876</v>
      </c>
      <c r="AD568" s="315">
        <v>1868</v>
      </c>
      <c r="AE568" s="315">
        <v>0.60299170608698394</v>
      </c>
      <c r="AF568" s="315">
        <v>1.42</v>
      </c>
      <c r="AG568" s="315">
        <v>0.2596</v>
      </c>
      <c r="AH568" s="315">
        <v>700</v>
      </c>
    </row>
    <row r="569" spans="1:34">
      <c r="A569" s="315" t="s">
        <v>1963</v>
      </c>
      <c r="B569" s="315" t="s">
        <v>737</v>
      </c>
      <c r="C569" s="316" t="s">
        <v>1964</v>
      </c>
      <c r="D569" s="316" t="s">
        <v>1964</v>
      </c>
      <c r="E569" s="317">
        <v>103.45</v>
      </c>
      <c r="F569" s="317">
        <v>52.742899999999999</v>
      </c>
      <c r="G569" s="317">
        <v>52.742899999999999</v>
      </c>
      <c r="H569" s="317">
        <v>52.742899999999999</v>
      </c>
      <c r="I569" s="318">
        <v>50.983953600773312</v>
      </c>
      <c r="J569" s="318">
        <v>50.328033689181296</v>
      </c>
      <c r="K569" s="319">
        <v>45.53778942268</v>
      </c>
      <c r="L569" s="319">
        <v>-5.4461641780933121</v>
      </c>
      <c r="M569" s="319">
        <f t="shared" si="8"/>
        <v>0</v>
      </c>
      <c r="N569" s="317">
        <v>0</v>
      </c>
      <c r="O569" s="315" t="s">
        <v>1148</v>
      </c>
      <c r="P569" s="318">
        <v>199</v>
      </c>
      <c r="R569" s="320">
        <v>92.777777777777771</v>
      </c>
      <c r="S569" s="318">
        <v>46.2</v>
      </c>
      <c r="T569" s="318">
        <v>159.91594000000001</v>
      </c>
      <c r="U569" s="318">
        <v>223.108</v>
      </c>
      <c r="V569" s="315">
        <v>0.28599999999999998</v>
      </c>
      <c r="W569" s="318">
        <v>1000</v>
      </c>
      <c r="X569" s="315">
        <v>16</v>
      </c>
      <c r="Y569" s="315" t="s">
        <v>1149</v>
      </c>
      <c r="Z569" s="315">
        <v>0</v>
      </c>
      <c r="AA569" s="315" t="s">
        <v>1157</v>
      </c>
      <c r="AB569" s="315">
        <v>0</v>
      </c>
      <c r="AC569" s="315">
        <v>1890</v>
      </c>
      <c r="AD569" s="315">
        <v>1868</v>
      </c>
      <c r="AE569" s="315">
        <v>0.70699999999999996</v>
      </c>
      <c r="AF569" s="315">
        <v>1.42</v>
      </c>
      <c r="AG569" s="315">
        <v>0.2596</v>
      </c>
      <c r="AH569" s="315">
        <v>700</v>
      </c>
    </row>
    <row r="570" spans="1:34">
      <c r="A570" s="315" t="s">
        <v>1965</v>
      </c>
      <c r="B570" s="315" t="s">
        <v>1966</v>
      </c>
      <c r="C570" s="316" t="s">
        <v>1967</v>
      </c>
      <c r="D570" s="316" t="s">
        <v>1967</v>
      </c>
      <c r="E570" s="317">
        <v>7.1</v>
      </c>
      <c r="F570" s="317">
        <v>2.0195259999999999</v>
      </c>
      <c r="G570" s="317">
        <v>2.0195259999999999</v>
      </c>
      <c r="H570" s="317">
        <v>2.0195259999999999</v>
      </c>
      <c r="I570" s="318">
        <v>28.444028169014086</v>
      </c>
      <c r="J570" s="318">
        <v>52.164150567726999</v>
      </c>
      <c r="K570" s="319">
        <v>39.387100717105703</v>
      </c>
      <c r="L570" s="319">
        <v>10.943072548091617</v>
      </c>
      <c r="M570" s="319">
        <f t="shared" si="8"/>
        <v>10.943072548091617</v>
      </c>
      <c r="N570" s="317">
        <v>0.77695815091450482</v>
      </c>
      <c r="O570" s="315" t="s">
        <v>1148</v>
      </c>
      <c r="P570" s="318">
        <v>203</v>
      </c>
      <c r="R570" s="320">
        <v>95</v>
      </c>
      <c r="S570" s="318">
        <v>46</v>
      </c>
      <c r="T570" s="318">
        <v>42.652999999999999</v>
      </c>
      <c r="U570" s="318">
        <v>219.827</v>
      </c>
      <c r="V570" s="315">
        <v>0.2</v>
      </c>
      <c r="W570" s="318">
        <v>425</v>
      </c>
      <c r="X570" s="315">
        <v>9</v>
      </c>
      <c r="Y570" s="315" t="s">
        <v>1149</v>
      </c>
      <c r="Z570" s="315">
        <v>0</v>
      </c>
      <c r="AA570" s="315" t="s">
        <v>1190</v>
      </c>
      <c r="AB570" s="315">
        <v>9</v>
      </c>
      <c r="AC570" s="315">
        <v>2148</v>
      </c>
      <c r="AD570" s="315">
        <v>2148</v>
      </c>
      <c r="AE570" s="315">
        <v>0.5</v>
      </c>
      <c r="AF570" s="315">
        <v>1.71</v>
      </c>
      <c r="AG570" s="315">
        <v>0.22</v>
      </c>
      <c r="AH570" s="315">
        <v>1194</v>
      </c>
    </row>
    <row r="571" spans="1:34" s="328" customFormat="1">
      <c r="A571" s="328" t="s">
        <v>1161</v>
      </c>
      <c r="B571" s="315" t="s">
        <v>1966</v>
      </c>
      <c r="C571" s="316" t="s">
        <v>1968</v>
      </c>
      <c r="D571" s="316" t="s">
        <v>1968</v>
      </c>
      <c r="E571" s="317">
        <v>458.71</v>
      </c>
      <c r="F571" s="317">
        <v>226.74619300000001</v>
      </c>
      <c r="G571" s="317">
        <v>227.55205684000001</v>
      </c>
      <c r="H571" s="317">
        <v>227.61724705944999</v>
      </c>
      <c r="I571" s="318">
        <v>49.621165237175994</v>
      </c>
      <c r="J571" s="318">
        <v>52.599476195473599</v>
      </c>
      <c r="K571" s="319">
        <v>44.462683585823498</v>
      </c>
      <c r="L571" s="319">
        <v>-5.1584816513524956</v>
      </c>
      <c r="M571" s="319">
        <f t="shared" si="8"/>
        <v>0</v>
      </c>
      <c r="N571" s="317">
        <v>0</v>
      </c>
      <c r="O571" s="315" t="s">
        <v>1148</v>
      </c>
      <c r="P571" s="318">
        <v>223</v>
      </c>
      <c r="Q571" s="315"/>
      <c r="R571" s="320">
        <v>106.11111111111111</v>
      </c>
      <c r="S571" s="318">
        <v>47</v>
      </c>
      <c r="T571" s="318">
        <v>98.43</v>
      </c>
      <c r="U571" s="318">
        <v>157.488</v>
      </c>
      <c r="V571" s="315">
        <v>0.2</v>
      </c>
      <c r="W571" s="318">
        <v>200</v>
      </c>
      <c r="X571" s="315">
        <v>58</v>
      </c>
      <c r="Y571" s="315" t="s">
        <v>1440</v>
      </c>
      <c r="Z571" s="315">
        <v>4</v>
      </c>
      <c r="AA571" s="315" t="s">
        <v>1190</v>
      </c>
      <c r="AB571" s="315">
        <v>0.4</v>
      </c>
      <c r="AC571" s="315">
        <v>2553</v>
      </c>
      <c r="AD571" s="315">
        <v>2553</v>
      </c>
      <c r="AE571" s="315">
        <v>0.5</v>
      </c>
      <c r="AF571" s="315">
        <v>1.71</v>
      </c>
      <c r="AG571" s="315">
        <v>0.22</v>
      </c>
      <c r="AH571" s="315">
        <v>1194</v>
      </c>
    </row>
    <row r="572" spans="1:34">
      <c r="A572" s="315" t="s">
        <v>1969</v>
      </c>
      <c r="B572" s="315" t="s">
        <v>1970</v>
      </c>
      <c r="C572" s="316" t="s">
        <v>1971</v>
      </c>
      <c r="D572" s="316" t="s">
        <v>1971</v>
      </c>
      <c r="E572" s="317">
        <v>27.797999999999998</v>
      </c>
      <c r="F572" s="317">
        <v>21.964543599999999</v>
      </c>
      <c r="G572" s="317">
        <v>22.3122471</v>
      </c>
      <c r="H572" s="317">
        <v>22.773005999999999</v>
      </c>
      <c r="I572" s="318">
        <v>81.923181523850644</v>
      </c>
      <c r="J572" s="318">
        <v>68.747467762790905</v>
      </c>
      <c r="K572" s="319">
        <v>35.955359664324298</v>
      </c>
      <c r="L572" s="319">
        <v>-45.967821859526346</v>
      </c>
      <c r="M572" s="319">
        <f t="shared" si="8"/>
        <v>0</v>
      </c>
      <c r="N572" s="317">
        <v>0</v>
      </c>
      <c r="O572" s="315" t="s">
        <v>1148</v>
      </c>
      <c r="P572" s="318">
        <v>142</v>
      </c>
      <c r="R572" s="320">
        <v>61.111111111111114</v>
      </c>
      <c r="S572" s="318">
        <v>27.2</v>
      </c>
      <c r="T572" s="318">
        <v>36</v>
      </c>
      <c r="U572" s="318">
        <v>40</v>
      </c>
      <c r="V572" s="315">
        <v>0.24</v>
      </c>
      <c r="W572" s="318">
        <v>1201</v>
      </c>
      <c r="X572" s="315">
        <v>8</v>
      </c>
      <c r="Y572" s="315" t="s">
        <v>1149</v>
      </c>
      <c r="Z572" s="315">
        <v>0</v>
      </c>
      <c r="AA572" s="315" t="s">
        <v>1150</v>
      </c>
      <c r="AB572" s="315">
        <v>0</v>
      </c>
      <c r="AC572" s="315">
        <v>1216</v>
      </c>
      <c r="AD572" s="315">
        <v>1216</v>
      </c>
      <c r="AE572" s="315">
        <v>0.38</v>
      </c>
      <c r="AF572" s="315">
        <v>1.0960000000000001</v>
      </c>
      <c r="AG572" s="315">
        <v>1.8</v>
      </c>
      <c r="AH572" s="315">
        <v>166</v>
      </c>
    </row>
    <row r="573" spans="1:34">
      <c r="A573" s="315" t="s">
        <v>1972</v>
      </c>
      <c r="B573" s="315" t="s">
        <v>1970</v>
      </c>
      <c r="C573" s="316" t="s">
        <v>1973</v>
      </c>
      <c r="D573" s="316" t="s">
        <v>1973</v>
      </c>
      <c r="E573" s="317">
        <v>72.59</v>
      </c>
      <c r="F573" s="317">
        <v>31.364364699999999</v>
      </c>
      <c r="G573" s="317">
        <v>32.660478599999998</v>
      </c>
      <c r="H573" s="317">
        <v>34.546001499999996</v>
      </c>
      <c r="I573" s="318">
        <v>47.590579280892676</v>
      </c>
      <c r="J573" s="318">
        <v>67.7090105170915</v>
      </c>
      <c r="K573" s="319">
        <v>35.653888360975898</v>
      </c>
      <c r="L573" s="319">
        <v>-11.936690919916778</v>
      </c>
      <c r="M573" s="319">
        <f t="shared" si="8"/>
        <v>0</v>
      </c>
      <c r="N573" s="317">
        <v>0</v>
      </c>
      <c r="O573" s="315" t="s">
        <v>1148</v>
      </c>
      <c r="P573" s="318">
        <v>145</v>
      </c>
      <c r="R573" s="320">
        <v>62.777777777777779</v>
      </c>
      <c r="S573" s="318">
        <v>22.9</v>
      </c>
      <c r="T573" s="318">
        <v>45</v>
      </c>
      <c r="U573" s="318">
        <v>75</v>
      </c>
      <c r="V573" s="315">
        <v>0.28000000000000003</v>
      </c>
      <c r="W573" s="318">
        <v>997</v>
      </c>
      <c r="X573" s="315">
        <v>27</v>
      </c>
      <c r="Y573" s="315" t="s">
        <v>1149</v>
      </c>
      <c r="Z573" s="315">
        <v>0</v>
      </c>
      <c r="AA573" s="315" t="s">
        <v>1150</v>
      </c>
      <c r="AB573" s="315">
        <v>0</v>
      </c>
      <c r="AC573" s="315">
        <v>1217</v>
      </c>
      <c r="AD573" s="315">
        <v>1224</v>
      </c>
      <c r="AE573" s="315">
        <v>0.4</v>
      </c>
      <c r="AF573" s="315">
        <v>1.093</v>
      </c>
      <c r="AG573" s="315">
        <v>2.2000000000000002</v>
      </c>
      <c r="AH573" s="315">
        <v>152</v>
      </c>
    </row>
    <row r="574" spans="1:34">
      <c r="A574" s="315" t="s">
        <v>1161</v>
      </c>
      <c r="B574" s="315" t="s">
        <v>1970</v>
      </c>
      <c r="C574" s="316" t="s">
        <v>1974</v>
      </c>
      <c r="D574" s="316" t="s">
        <v>1974</v>
      </c>
      <c r="E574" s="317">
        <v>32.296031300000003</v>
      </c>
      <c r="F574" s="317">
        <v>17.207180099999999</v>
      </c>
      <c r="G574" s="317">
        <v>18.010559399999998</v>
      </c>
      <c r="H574" s="317">
        <v>19.0994125</v>
      </c>
      <c r="I574" s="318">
        <v>59.138574404341746</v>
      </c>
      <c r="J574" s="318">
        <v>65.405488972704703</v>
      </c>
      <c r="K574" s="319">
        <v>36.733334127048501</v>
      </c>
      <c r="L574" s="319">
        <v>-22.405240277293245</v>
      </c>
      <c r="M574" s="319">
        <f t="shared" si="8"/>
        <v>0</v>
      </c>
      <c r="N574" s="317">
        <v>0</v>
      </c>
      <c r="O574" s="315" t="s">
        <v>1148</v>
      </c>
      <c r="P574" s="318">
        <v>145</v>
      </c>
      <c r="R574" s="320">
        <v>62.777777777777779</v>
      </c>
      <c r="S574" s="318">
        <v>27.5</v>
      </c>
      <c r="T574" s="318">
        <v>43</v>
      </c>
      <c r="U574" s="318">
        <v>230</v>
      </c>
      <c r="V574" s="315">
        <v>0.26</v>
      </c>
      <c r="W574" s="318">
        <v>946</v>
      </c>
      <c r="X574" s="315">
        <v>5</v>
      </c>
      <c r="Y574" s="315" t="s">
        <v>1149</v>
      </c>
      <c r="Z574" s="315">
        <v>0</v>
      </c>
      <c r="AA574" s="315" t="s">
        <v>1150</v>
      </c>
      <c r="AB574" s="315">
        <v>0.02</v>
      </c>
      <c r="AC574" s="315">
        <v>1214</v>
      </c>
      <c r="AD574" s="315">
        <v>1228</v>
      </c>
      <c r="AE574" s="315">
        <v>0.42</v>
      </c>
      <c r="AF574" s="315">
        <v>1.1000000000000001</v>
      </c>
      <c r="AG574" s="315">
        <v>1.6</v>
      </c>
      <c r="AH574" s="315">
        <v>183</v>
      </c>
    </row>
    <row r="575" spans="1:34">
      <c r="A575" s="315" t="s">
        <v>1161</v>
      </c>
      <c r="B575" s="315" t="s">
        <v>1970</v>
      </c>
      <c r="C575" s="316" t="s">
        <v>1975</v>
      </c>
      <c r="D575" s="316" t="s">
        <v>1975</v>
      </c>
      <c r="E575" s="317">
        <v>10.028</v>
      </c>
      <c r="F575" s="317">
        <v>5.8591116999999997</v>
      </c>
      <c r="G575" s="317">
        <v>5.9783733999999997</v>
      </c>
      <c r="H575" s="317">
        <v>6.1364128999999998</v>
      </c>
      <c r="I575" s="318">
        <v>61.192789190267249</v>
      </c>
      <c r="J575" s="318">
        <v>72.926942629130295</v>
      </c>
      <c r="K575" s="319">
        <v>33.5741408685425</v>
      </c>
      <c r="L575" s="319">
        <v>-27.618648321724748</v>
      </c>
      <c r="M575" s="319">
        <f t="shared" si="8"/>
        <v>0</v>
      </c>
      <c r="N575" s="317">
        <v>0</v>
      </c>
      <c r="O575" s="315" t="s">
        <v>1148</v>
      </c>
      <c r="P575" s="318">
        <v>147</v>
      </c>
      <c r="R575" s="320">
        <v>63.888888888888886</v>
      </c>
      <c r="S575" s="318">
        <v>25.5</v>
      </c>
      <c r="T575" s="318">
        <v>20</v>
      </c>
      <c r="U575" s="318">
        <v>55</v>
      </c>
      <c r="V575" s="315">
        <v>0.27</v>
      </c>
      <c r="W575" s="318">
        <v>865</v>
      </c>
      <c r="X575" s="315">
        <v>7</v>
      </c>
      <c r="Y575" s="315" t="s">
        <v>1149</v>
      </c>
      <c r="Z575" s="315">
        <v>0</v>
      </c>
      <c r="AA575" s="315" t="s">
        <v>1150</v>
      </c>
      <c r="AB575" s="315">
        <v>0</v>
      </c>
      <c r="AC575" s="315">
        <v>1270</v>
      </c>
      <c r="AD575" s="315">
        <v>1270</v>
      </c>
      <c r="AE575" s="315">
        <v>0.34</v>
      </c>
      <c r="AF575" s="315">
        <v>1.1000000000000001</v>
      </c>
      <c r="AG575" s="315">
        <v>2</v>
      </c>
      <c r="AH575" s="315">
        <v>179</v>
      </c>
    </row>
    <row r="576" spans="1:34">
      <c r="A576" s="315" t="s">
        <v>1161</v>
      </c>
      <c r="B576" s="315" t="s">
        <v>1970</v>
      </c>
      <c r="C576" s="316" t="s">
        <v>1976</v>
      </c>
      <c r="D576" s="316" t="s">
        <v>1976</v>
      </c>
      <c r="E576" s="317">
        <v>29.943999999999999</v>
      </c>
      <c r="F576" s="317">
        <v>12.879572699999999</v>
      </c>
      <c r="G576" s="317">
        <v>13.173562599999999</v>
      </c>
      <c r="H576" s="317">
        <v>14.636844099999999</v>
      </c>
      <c r="I576" s="318">
        <v>48.88072435212397</v>
      </c>
      <c r="J576" s="318">
        <v>0</v>
      </c>
      <c r="K576" s="319">
        <v>0</v>
      </c>
      <c r="L576" s="319">
        <v>-48.88072435212397</v>
      </c>
      <c r="M576" s="319">
        <f t="shared" si="8"/>
        <v>0</v>
      </c>
      <c r="N576" s="317">
        <v>0</v>
      </c>
      <c r="O576" s="315" t="s">
        <v>1148</v>
      </c>
      <c r="P576" s="318">
        <v>147</v>
      </c>
      <c r="R576" s="320">
        <v>63.888888888888886</v>
      </c>
      <c r="S576" s="318">
        <v>21.5</v>
      </c>
      <c r="T576" s="318">
        <v>85</v>
      </c>
      <c r="U576" s="318">
        <v>75</v>
      </c>
      <c r="V576" s="315">
        <v>0.23</v>
      </c>
      <c r="W576" s="318">
        <v>300</v>
      </c>
      <c r="X576" s="315">
        <v>16</v>
      </c>
      <c r="Y576" s="315" t="s">
        <v>1149</v>
      </c>
      <c r="Z576" s="315">
        <v>0</v>
      </c>
      <c r="AA576" s="315" t="s">
        <v>1150</v>
      </c>
      <c r="AB576" s="315">
        <v>0</v>
      </c>
      <c r="AC576" s="315">
        <v>1259.8499999999999</v>
      </c>
      <c r="AD576" s="315">
        <v>1271</v>
      </c>
      <c r="AE576" s="315">
        <v>0.16</v>
      </c>
      <c r="AF576" s="315">
        <v>1.095</v>
      </c>
      <c r="AG576" s="315">
        <v>2.5</v>
      </c>
      <c r="AH576" s="315">
        <v>154</v>
      </c>
    </row>
    <row r="577" spans="1:34">
      <c r="A577" s="315" t="s">
        <v>1161</v>
      </c>
      <c r="B577" s="315" t="s">
        <v>1970</v>
      </c>
      <c r="C577" s="316" t="s">
        <v>1977</v>
      </c>
      <c r="D577" s="316" t="s">
        <v>1977</v>
      </c>
      <c r="E577" s="317">
        <v>24.608000000000001</v>
      </c>
      <c r="F577" s="317">
        <v>10.1281658</v>
      </c>
      <c r="G577" s="317">
        <v>10.282927899999999</v>
      </c>
      <c r="H577" s="317">
        <v>10.488010699999998</v>
      </c>
      <c r="I577" s="318">
        <v>42.620329567620281</v>
      </c>
      <c r="J577" s="318">
        <v>79.845411197743005</v>
      </c>
      <c r="K577" s="319">
        <v>29.250666892146398</v>
      </c>
      <c r="L577" s="319">
        <v>-13.369662675473883</v>
      </c>
      <c r="M577" s="319">
        <f t="shared" si="8"/>
        <v>0</v>
      </c>
      <c r="N577" s="317">
        <v>0</v>
      </c>
      <c r="O577" s="315" t="s">
        <v>1148</v>
      </c>
      <c r="P577" s="318">
        <v>147</v>
      </c>
      <c r="R577" s="320">
        <v>63.888888888888886</v>
      </c>
      <c r="S577" s="318">
        <v>27.5</v>
      </c>
      <c r="T577" s="318">
        <v>59</v>
      </c>
      <c r="U577" s="318">
        <v>210</v>
      </c>
      <c r="V577" s="315">
        <v>0.25</v>
      </c>
      <c r="W577" s="318">
        <v>1300</v>
      </c>
      <c r="X577" s="315">
        <v>5</v>
      </c>
      <c r="Y577" s="315" t="s">
        <v>1149</v>
      </c>
      <c r="Z577" s="315">
        <v>0</v>
      </c>
      <c r="AA577" s="315" t="s">
        <v>1150</v>
      </c>
      <c r="AB577" s="315">
        <v>0.04</v>
      </c>
      <c r="AC577" s="315">
        <v>1279</v>
      </c>
      <c r="AD577" s="315">
        <v>1296</v>
      </c>
      <c r="AE577" s="315">
        <v>0.25</v>
      </c>
      <c r="AF577" s="315">
        <v>1.1100000000000001</v>
      </c>
      <c r="AG577" s="315">
        <v>1.6</v>
      </c>
      <c r="AH577" s="315">
        <v>194</v>
      </c>
    </row>
    <row r="578" spans="1:34">
      <c r="A578" s="315" t="s">
        <v>1978</v>
      </c>
      <c r="B578" s="315" t="s">
        <v>1970</v>
      </c>
      <c r="C578" s="316" t="s">
        <v>1979</v>
      </c>
      <c r="D578" s="316" t="s">
        <v>1979</v>
      </c>
      <c r="E578" s="317">
        <v>23.346</v>
      </c>
      <c r="F578" s="317">
        <v>15.892560700000001</v>
      </c>
      <c r="G578" s="317">
        <v>16.4980166</v>
      </c>
      <c r="H578" s="317">
        <v>17.330373599999998</v>
      </c>
      <c r="I578" s="318">
        <v>74.232731945515283</v>
      </c>
      <c r="J578" s="318">
        <v>72.457472620853594</v>
      </c>
      <c r="K578" s="319">
        <v>33.4179060550995</v>
      </c>
      <c r="L578" s="319">
        <v>-40.814825890415783</v>
      </c>
      <c r="M578" s="319">
        <f t="shared" ref="M578:M601" si="9">IF(L578&lt;0,0,L578)</f>
        <v>0</v>
      </c>
      <c r="N578" s="317">
        <v>0</v>
      </c>
      <c r="O578" s="315" t="s">
        <v>1148</v>
      </c>
      <c r="P578" s="318">
        <v>148</v>
      </c>
      <c r="R578" s="320">
        <v>64.444444444444443</v>
      </c>
      <c r="S578" s="318">
        <v>26</v>
      </c>
      <c r="T578" s="318">
        <v>39</v>
      </c>
      <c r="U578" s="318">
        <v>106</v>
      </c>
      <c r="V578" s="315">
        <v>0.26</v>
      </c>
      <c r="W578" s="318">
        <v>617</v>
      </c>
      <c r="X578" s="315">
        <v>9</v>
      </c>
      <c r="Y578" s="315" t="s">
        <v>1149</v>
      </c>
      <c r="Z578" s="315">
        <v>0</v>
      </c>
      <c r="AA578" s="315" t="s">
        <v>1150</v>
      </c>
      <c r="AB578" s="315">
        <v>0.1</v>
      </c>
      <c r="AC578" s="315">
        <v>1316</v>
      </c>
      <c r="AD578" s="315">
        <v>1316</v>
      </c>
      <c r="AE578" s="315">
        <v>0.34</v>
      </c>
      <c r="AF578" s="315">
        <v>1.1000000000000001</v>
      </c>
      <c r="AG578" s="315">
        <v>1.9</v>
      </c>
      <c r="AH578" s="315">
        <v>195</v>
      </c>
    </row>
    <row r="579" spans="1:34">
      <c r="A579" s="315" t="s">
        <v>1978</v>
      </c>
      <c r="B579" s="315" t="s">
        <v>1970</v>
      </c>
      <c r="C579" s="316" t="s">
        <v>1980</v>
      </c>
      <c r="D579" s="316" t="s">
        <v>1980</v>
      </c>
      <c r="E579" s="317">
        <v>8.9209999999999994</v>
      </c>
      <c r="F579" s="317">
        <v>4.4923728000000001</v>
      </c>
      <c r="G579" s="317">
        <v>4.5602564000000001</v>
      </c>
      <c r="H579" s="317">
        <v>4.6502122000000004</v>
      </c>
      <c r="I579" s="318">
        <v>52.126579979822893</v>
      </c>
      <c r="J579" s="318">
        <v>71.811704016721293</v>
      </c>
      <c r="K579" s="319">
        <v>34.402857812047401</v>
      </c>
      <c r="L579" s="319">
        <v>-17.723722167775492</v>
      </c>
      <c r="M579" s="319">
        <f t="shared" si="9"/>
        <v>0</v>
      </c>
      <c r="N579" s="317">
        <v>0</v>
      </c>
      <c r="O579" s="315" t="s">
        <v>1148</v>
      </c>
      <c r="P579" s="318">
        <v>148</v>
      </c>
      <c r="R579" s="320">
        <v>64.444444444444443</v>
      </c>
      <c r="S579" s="318">
        <v>29.2</v>
      </c>
      <c r="T579" s="318">
        <v>36</v>
      </c>
      <c r="U579" s="318">
        <v>139</v>
      </c>
      <c r="V579" s="315">
        <v>0.21</v>
      </c>
      <c r="W579" s="318">
        <v>130</v>
      </c>
      <c r="X579" s="315">
        <v>4</v>
      </c>
      <c r="Y579" s="315" t="s">
        <v>1149</v>
      </c>
      <c r="Z579" s="315">
        <v>0</v>
      </c>
      <c r="AA579" s="315" t="s">
        <v>1150</v>
      </c>
      <c r="AB579" s="315">
        <v>0</v>
      </c>
      <c r="AC579" s="315">
        <v>1707</v>
      </c>
      <c r="AD579" s="315">
        <v>1707</v>
      </c>
      <c r="AE579" s="315">
        <v>0.33</v>
      </c>
      <c r="AF579" s="315">
        <v>1.145</v>
      </c>
      <c r="AG579" s="315">
        <v>0.87</v>
      </c>
      <c r="AH579" s="315">
        <v>258</v>
      </c>
    </row>
    <row r="580" spans="1:34" s="334" customFormat="1">
      <c r="A580" s="334" t="s">
        <v>1161</v>
      </c>
      <c r="B580" s="315" t="s">
        <v>1970</v>
      </c>
      <c r="C580" s="316" t="s">
        <v>1981</v>
      </c>
      <c r="D580" s="316" t="s">
        <v>1981</v>
      </c>
      <c r="E580" s="317">
        <v>10.301</v>
      </c>
      <c r="F580" s="317">
        <v>6.7228862999999999</v>
      </c>
      <c r="G580" s="317">
        <v>7.2471604999999997</v>
      </c>
      <c r="H580" s="317">
        <v>7.9577497999999993</v>
      </c>
      <c r="I580" s="318">
        <v>77.252206581885247</v>
      </c>
      <c r="J580" s="318">
        <v>68.202745003902095</v>
      </c>
      <c r="K580" s="319">
        <v>35.505065428590697</v>
      </c>
      <c r="L580" s="319">
        <v>-41.74714115329455</v>
      </c>
      <c r="M580" s="319">
        <f t="shared" si="9"/>
        <v>0</v>
      </c>
      <c r="N580" s="317">
        <v>0</v>
      </c>
      <c r="O580" s="315" t="s">
        <v>1148</v>
      </c>
      <c r="P580" s="318">
        <v>150</v>
      </c>
      <c r="Q580" s="315"/>
      <c r="R580" s="320">
        <v>65.555555555555557</v>
      </c>
      <c r="S580" s="318">
        <v>27.5</v>
      </c>
      <c r="T580" s="318">
        <v>48</v>
      </c>
      <c r="U580" s="318">
        <v>75</v>
      </c>
      <c r="V580" s="315">
        <v>0.22</v>
      </c>
      <c r="W580" s="318">
        <v>393</v>
      </c>
      <c r="X580" s="315">
        <v>7</v>
      </c>
      <c r="Y580" s="315" t="s">
        <v>1149</v>
      </c>
      <c r="Z580" s="315">
        <v>0</v>
      </c>
      <c r="AA580" s="315" t="s">
        <v>1150</v>
      </c>
      <c r="AB580" s="315">
        <v>0.35</v>
      </c>
      <c r="AC580" s="315">
        <v>1483</v>
      </c>
      <c r="AD580" s="315">
        <v>1489</v>
      </c>
      <c r="AE580" s="315">
        <v>0.38</v>
      </c>
      <c r="AF580" s="315">
        <v>1.1259999999999999</v>
      </c>
      <c r="AG580" s="315">
        <v>1.4</v>
      </c>
      <c r="AH580" s="315">
        <v>227</v>
      </c>
    </row>
    <row r="581" spans="1:34">
      <c r="A581" s="315" t="s">
        <v>1161</v>
      </c>
      <c r="B581" s="315" t="s">
        <v>1970</v>
      </c>
      <c r="C581" s="316" t="s">
        <v>1982</v>
      </c>
      <c r="D581" s="316" t="s">
        <v>1982</v>
      </c>
      <c r="E581" s="317">
        <v>9.0760000000000005</v>
      </c>
      <c r="F581" s="317">
        <v>3.0902422000000001</v>
      </c>
      <c r="G581" s="317">
        <v>3.0902422000000001</v>
      </c>
      <c r="H581" s="317">
        <v>3.0902422000000001</v>
      </c>
      <c r="I581" s="318">
        <v>34.04850374614368</v>
      </c>
      <c r="J581" s="318">
        <v>67.9307450214162</v>
      </c>
      <c r="K581" s="319">
        <v>32.344713343393501</v>
      </c>
      <c r="L581" s="319">
        <v>-1.7037904027501796</v>
      </c>
      <c r="M581" s="319">
        <f t="shared" si="9"/>
        <v>0</v>
      </c>
      <c r="N581" s="317">
        <v>0</v>
      </c>
      <c r="O581" s="315" t="s">
        <v>1148</v>
      </c>
      <c r="P581" s="318">
        <v>151</v>
      </c>
      <c r="R581" s="320">
        <v>66.111111111111114</v>
      </c>
      <c r="S581" s="318">
        <v>30.1</v>
      </c>
      <c r="T581" s="318">
        <v>42</v>
      </c>
      <c r="U581" s="318">
        <v>142</v>
      </c>
      <c r="V581" s="315">
        <v>0.18</v>
      </c>
      <c r="W581" s="318">
        <v>67</v>
      </c>
      <c r="X581" s="315">
        <v>4</v>
      </c>
      <c r="Y581" s="315" t="s">
        <v>1149</v>
      </c>
      <c r="Z581" s="315">
        <v>0</v>
      </c>
      <c r="AA581" s="315" t="s">
        <v>1150</v>
      </c>
      <c r="AB581" s="315">
        <v>0</v>
      </c>
      <c r="AC581" s="315">
        <v>1799</v>
      </c>
      <c r="AD581" s="315">
        <v>1799</v>
      </c>
      <c r="AE581" s="315">
        <v>0.35</v>
      </c>
      <c r="AF581" s="315">
        <v>1.1559999999999999</v>
      </c>
      <c r="AG581" s="315">
        <v>0.81</v>
      </c>
      <c r="AH581" s="315">
        <v>286</v>
      </c>
    </row>
    <row r="582" spans="1:34">
      <c r="A582" s="315" t="s">
        <v>1943</v>
      </c>
      <c r="B582" s="315" t="s">
        <v>1970</v>
      </c>
      <c r="C582" s="316" t="s">
        <v>1983</v>
      </c>
      <c r="D582" s="316" t="s">
        <v>1983</v>
      </c>
      <c r="E582" s="317">
        <v>14.427</v>
      </c>
      <c r="F582" s="317">
        <v>5.5548463999999997</v>
      </c>
      <c r="G582" s="317">
        <v>5.9822829999999998</v>
      </c>
      <c r="H582" s="317">
        <v>6.6565250999999996</v>
      </c>
      <c r="I582" s="318">
        <v>46.139357454772302</v>
      </c>
      <c r="J582" s="318">
        <v>65.711472052800303</v>
      </c>
      <c r="K582" s="319">
        <v>33.082647026064301</v>
      </c>
      <c r="L582" s="319">
        <v>-13.056710428708001</v>
      </c>
      <c r="M582" s="319">
        <f t="shared" si="9"/>
        <v>0</v>
      </c>
      <c r="N582" s="317">
        <v>0</v>
      </c>
      <c r="O582" s="315" t="s">
        <v>1148</v>
      </c>
      <c r="P582" s="318">
        <v>152</v>
      </c>
      <c r="R582" s="320">
        <v>66.666666666666671</v>
      </c>
      <c r="S582" s="318">
        <v>25.3</v>
      </c>
      <c r="T582" s="318">
        <v>60</v>
      </c>
      <c r="U582" s="318">
        <v>100</v>
      </c>
      <c r="V582" s="315">
        <v>0.22</v>
      </c>
      <c r="W582" s="318">
        <v>100</v>
      </c>
      <c r="X582" s="315">
        <v>8</v>
      </c>
      <c r="Y582" s="315" t="s">
        <v>1149</v>
      </c>
      <c r="Z582" s="315">
        <v>0</v>
      </c>
      <c r="AA582" s="315" t="s">
        <v>1150</v>
      </c>
      <c r="AB582" s="315">
        <v>0</v>
      </c>
      <c r="AC582" s="315">
        <v>1425.4</v>
      </c>
      <c r="AD582" s="315">
        <v>1440</v>
      </c>
      <c r="AE582" s="315">
        <v>0.39</v>
      </c>
      <c r="AF582" s="315">
        <v>1.1140000000000001</v>
      </c>
      <c r="AG582" s="315">
        <v>1.2</v>
      </c>
      <c r="AH582" s="315">
        <v>197</v>
      </c>
    </row>
    <row r="583" spans="1:34">
      <c r="A583" s="315" t="s">
        <v>1161</v>
      </c>
      <c r="B583" s="315" t="s">
        <v>1970</v>
      </c>
      <c r="C583" s="316" t="s">
        <v>1984</v>
      </c>
      <c r="D583" s="316" t="s">
        <v>1984</v>
      </c>
      <c r="E583" s="317">
        <v>57.911000000000001</v>
      </c>
      <c r="F583" s="317">
        <v>23.192358599999999</v>
      </c>
      <c r="G583" s="317">
        <v>23.827501899999998</v>
      </c>
      <c r="H583" s="317">
        <v>25.005045299999999</v>
      </c>
      <c r="I583" s="318">
        <v>43.178403584811178</v>
      </c>
      <c r="J583" s="318">
        <v>0</v>
      </c>
      <c r="K583" s="319">
        <v>0</v>
      </c>
      <c r="L583" s="319">
        <v>-43.178403584811178</v>
      </c>
      <c r="M583" s="319">
        <f t="shared" si="9"/>
        <v>0</v>
      </c>
      <c r="N583" s="317">
        <v>0</v>
      </c>
      <c r="O583" s="315" t="s">
        <v>1148</v>
      </c>
      <c r="P583" s="318">
        <v>155</v>
      </c>
      <c r="R583" s="320">
        <v>68.333333333333329</v>
      </c>
      <c r="S583" s="318">
        <v>24.6</v>
      </c>
      <c r="T583" s="318">
        <v>60</v>
      </c>
      <c r="U583" s="318">
        <v>130</v>
      </c>
      <c r="V583" s="315">
        <v>0.16</v>
      </c>
      <c r="W583" s="318">
        <v>367</v>
      </c>
      <c r="X583" s="315">
        <v>21</v>
      </c>
      <c r="Y583" s="315" t="s">
        <v>1149</v>
      </c>
      <c r="Z583" s="315">
        <v>0</v>
      </c>
      <c r="AA583" s="315" t="s">
        <v>1150</v>
      </c>
      <c r="AB583" s="315">
        <v>0.1</v>
      </c>
      <c r="AC583" s="315">
        <v>1550.1</v>
      </c>
      <c r="AD583" s="315">
        <v>1550</v>
      </c>
      <c r="AE583" s="315">
        <v>0.2</v>
      </c>
      <c r="AF583" s="315">
        <v>1.1220000000000001</v>
      </c>
      <c r="AG583" s="315">
        <v>1.1100000000000001</v>
      </c>
      <c r="AH583" s="315">
        <v>208</v>
      </c>
    </row>
    <row r="584" spans="1:34">
      <c r="A584" s="315" t="s">
        <v>1161</v>
      </c>
      <c r="B584" s="315" t="s">
        <v>1970</v>
      </c>
      <c r="C584" s="316" t="s">
        <v>1985</v>
      </c>
      <c r="D584" s="316" t="s">
        <v>1985</v>
      </c>
      <c r="E584" s="317">
        <v>20.0668009</v>
      </c>
      <c r="F584" s="317">
        <v>8.6819313000000005</v>
      </c>
      <c r="G584" s="317">
        <v>8.7840907000000001</v>
      </c>
      <c r="H584" s="317">
        <v>8.9194671000000003</v>
      </c>
      <c r="I584" s="318">
        <v>44.448874259773021</v>
      </c>
      <c r="J584" s="318">
        <v>63.349956768916101</v>
      </c>
      <c r="K584" s="319">
        <v>37.702008460428402</v>
      </c>
      <c r="L584" s="319">
        <v>-6.7468657993446186</v>
      </c>
      <c r="M584" s="319">
        <f t="shared" si="9"/>
        <v>0</v>
      </c>
      <c r="N584" s="317">
        <v>0</v>
      </c>
      <c r="O584" s="315" t="s">
        <v>1148</v>
      </c>
      <c r="P584" s="318">
        <v>155</v>
      </c>
      <c r="R584" s="320">
        <v>68.333333333333329</v>
      </c>
      <c r="S584" s="318">
        <v>31</v>
      </c>
      <c r="T584" s="318">
        <v>58</v>
      </c>
      <c r="U584" s="318">
        <v>190</v>
      </c>
      <c r="V584" s="315">
        <v>0.15</v>
      </c>
      <c r="W584" s="318">
        <v>133</v>
      </c>
      <c r="X584" s="315">
        <v>6</v>
      </c>
      <c r="Y584" s="315" t="s">
        <v>1149</v>
      </c>
      <c r="Z584" s="315">
        <v>0</v>
      </c>
      <c r="AA584" s="315" t="s">
        <v>1150</v>
      </c>
      <c r="AB584" s="315">
        <v>0.02</v>
      </c>
      <c r="AC584" s="315">
        <v>1910</v>
      </c>
      <c r="AD584" s="315">
        <v>1960</v>
      </c>
      <c r="AE584" s="315">
        <v>0.42</v>
      </c>
      <c r="AF584" s="315">
        <v>1.1779999999999999</v>
      </c>
      <c r="AG584" s="315">
        <v>0.8</v>
      </c>
      <c r="AH584" s="315">
        <v>334</v>
      </c>
    </row>
    <row r="585" spans="1:34">
      <c r="A585" s="315" t="s">
        <v>1161</v>
      </c>
      <c r="B585" s="315" t="s">
        <v>1970</v>
      </c>
      <c r="C585" s="316" t="s">
        <v>1986</v>
      </c>
      <c r="D585" s="316" t="s">
        <v>1986</v>
      </c>
      <c r="E585" s="317">
        <v>52.015000000000001</v>
      </c>
      <c r="F585" s="317">
        <v>11.653369400000001</v>
      </c>
      <c r="G585" s="317">
        <v>12.851970900000001</v>
      </c>
      <c r="H585" s="317">
        <v>20.508440400000001</v>
      </c>
      <c r="I585" s="318">
        <v>39.427935018744598</v>
      </c>
      <c r="J585" s="318">
        <v>64.799089974008695</v>
      </c>
      <c r="K585" s="319">
        <v>39.487498040439903</v>
      </c>
      <c r="L585" s="319">
        <v>5.956302169530403E-2</v>
      </c>
      <c r="M585" s="319">
        <f t="shared" si="9"/>
        <v>5.956302169530403E-2</v>
      </c>
      <c r="N585" s="317">
        <v>3.098170573481239E-2</v>
      </c>
      <c r="O585" s="315" t="s">
        <v>1148</v>
      </c>
      <c r="P585" s="318">
        <v>162</v>
      </c>
      <c r="R585" s="320">
        <v>72.222222222222229</v>
      </c>
      <c r="S585" s="318">
        <v>25.5</v>
      </c>
      <c r="T585" s="318">
        <v>57</v>
      </c>
      <c r="U585" s="318">
        <v>115</v>
      </c>
      <c r="V585" s="315">
        <v>0.18</v>
      </c>
      <c r="W585" s="318">
        <v>800</v>
      </c>
      <c r="X585" s="315">
        <v>23</v>
      </c>
      <c r="Y585" s="315" t="s">
        <v>1149</v>
      </c>
      <c r="Z585" s="315">
        <v>0</v>
      </c>
      <c r="AA585" s="315" t="s">
        <v>1150</v>
      </c>
      <c r="AB585" s="315">
        <v>0</v>
      </c>
      <c r="AC585" s="315">
        <v>1744</v>
      </c>
      <c r="AD585" s="315">
        <v>1744</v>
      </c>
      <c r="AE585" s="315">
        <v>0.39</v>
      </c>
      <c r="AF585" s="315">
        <v>1.1339999999999999</v>
      </c>
      <c r="AG585" s="315">
        <v>0.9</v>
      </c>
      <c r="AH585" s="315">
        <v>236</v>
      </c>
    </row>
    <row r="586" spans="1:34">
      <c r="A586" s="315" t="s">
        <v>1987</v>
      </c>
      <c r="B586" s="315" t="s">
        <v>1970</v>
      </c>
      <c r="C586" s="316" t="s">
        <v>1988</v>
      </c>
      <c r="D586" s="316" t="s">
        <v>1988</v>
      </c>
      <c r="E586" s="317">
        <v>19.701999999999998</v>
      </c>
      <c r="F586" s="317">
        <v>2.9375182999999998</v>
      </c>
      <c r="G586" s="317">
        <v>3.2598447999999998</v>
      </c>
      <c r="H586" s="317">
        <v>5.7445218999999996</v>
      </c>
      <c r="I586" s="318">
        <v>29.157049538117956</v>
      </c>
      <c r="J586" s="318">
        <v>75.571856919902899</v>
      </c>
      <c r="K586" s="319">
        <v>33.226663579851198</v>
      </c>
      <c r="L586" s="319">
        <v>4.0696140417332423</v>
      </c>
      <c r="M586" s="319">
        <f t="shared" si="9"/>
        <v>4.0696140417332423</v>
      </c>
      <c r="N586" s="317">
        <v>0.80179535850228334</v>
      </c>
      <c r="O586" s="315" t="s">
        <v>1148</v>
      </c>
      <c r="P586" s="318">
        <v>164</v>
      </c>
      <c r="R586" s="320">
        <v>73.333333333333329</v>
      </c>
      <c r="S586" s="318">
        <v>29</v>
      </c>
      <c r="T586" s="318">
        <v>21</v>
      </c>
      <c r="U586" s="318">
        <v>43</v>
      </c>
      <c r="V586" s="315">
        <v>0.17</v>
      </c>
      <c r="W586" s="318">
        <v>100</v>
      </c>
      <c r="X586" s="315">
        <v>13</v>
      </c>
      <c r="Y586" s="315" t="s">
        <v>1149</v>
      </c>
      <c r="Z586" s="315">
        <v>0</v>
      </c>
      <c r="AA586" s="315" t="s">
        <v>1150</v>
      </c>
      <c r="AB586" s="315">
        <v>0</v>
      </c>
      <c r="AC586" s="315">
        <v>1856</v>
      </c>
      <c r="AD586" s="315">
        <v>1856</v>
      </c>
      <c r="AE586" s="315">
        <v>0.28000000000000003</v>
      </c>
      <c r="AF586" s="315">
        <v>1.1619999999999999</v>
      </c>
      <c r="AG586" s="315">
        <v>0.64</v>
      </c>
      <c r="AH586" s="315">
        <v>292</v>
      </c>
    </row>
    <row r="587" spans="1:34">
      <c r="A587" s="315" t="s">
        <v>1145</v>
      </c>
      <c r="B587" s="315" t="s">
        <v>1970</v>
      </c>
      <c r="C587" s="316" t="s">
        <v>1989</v>
      </c>
      <c r="D587" s="316" t="s">
        <v>1989</v>
      </c>
      <c r="E587" s="317">
        <v>25.349</v>
      </c>
      <c r="F587" s="317">
        <v>8.4701304000000004</v>
      </c>
      <c r="G587" s="317">
        <v>8.7742661999999996</v>
      </c>
      <c r="H587" s="317">
        <v>9.199954</v>
      </c>
      <c r="I587" s="318">
        <v>36.293163438399937</v>
      </c>
      <c r="J587" s="318">
        <v>70.836210429833301</v>
      </c>
      <c r="K587" s="319">
        <v>36.474324157976504</v>
      </c>
      <c r="L587" s="319">
        <v>0.18116071957656743</v>
      </c>
      <c r="M587" s="319">
        <f t="shared" si="9"/>
        <v>0.18116071957656743</v>
      </c>
      <c r="N587" s="317">
        <v>4.5922430805464078E-2</v>
      </c>
      <c r="O587" s="315" t="s">
        <v>1148</v>
      </c>
      <c r="P587" s="318">
        <v>167</v>
      </c>
      <c r="R587" s="320">
        <v>75</v>
      </c>
      <c r="S587" s="318">
        <v>31</v>
      </c>
      <c r="T587" s="318">
        <v>46</v>
      </c>
      <c r="U587" s="318">
        <v>91</v>
      </c>
      <c r="V587" s="315">
        <v>0.18</v>
      </c>
      <c r="W587" s="318">
        <v>110</v>
      </c>
      <c r="X587" s="315">
        <v>14</v>
      </c>
      <c r="Y587" s="315" t="s">
        <v>1149</v>
      </c>
      <c r="Z587" s="315">
        <v>0</v>
      </c>
      <c r="AA587" s="315" t="s">
        <v>1150</v>
      </c>
      <c r="AB587" s="315">
        <v>0</v>
      </c>
      <c r="AC587" s="315">
        <v>1950</v>
      </c>
      <c r="AD587" s="315">
        <v>1950</v>
      </c>
      <c r="AE587" s="315">
        <v>0.32</v>
      </c>
      <c r="AF587" s="315">
        <v>1.18</v>
      </c>
      <c r="AG587" s="315">
        <v>0.46</v>
      </c>
      <c r="AH587" s="315">
        <v>400</v>
      </c>
    </row>
    <row r="588" spans="1:34">
      <c r="A588" s="315" t="s">
        <v>1145</v>
      </c>
      <c r="B588" s="315" t="s">
        <v>1970</v>
      </c>
      <c r="C588" s="316" t="s">
        <v>1990</v>
      </c>
      <c r="D588" s="316" t="s">
        <v>1990</v>
      </c>
      <c r="E588" s="317">
        <v>14.343</v>
      </c>
      <c r="F588" s="317">
        <v>0.32159929999999998</v>
      </c>
      <c r="G588" s="317">
        <v>0.49011319999999997</v>
      </c>
      <c r="H588" s="317">
        <v>2.7192271000000003</v>
      </c>
      <c r="I588" s="318">
        <v>18.958565850937742</v>
      </c>
      <c r="J588" s="318">
        <v>57.380362574379397</v>
      </c>
      <c r="K588" s="319">
        <v>35.173230104844301</v>
      </c>
      <c r="L588" s="319">
        <v>16.214664253906559</v>
      </c>
      <c r="M588" s="319">
        <f t="shared" si="9"/>
        <v>16.214664253906559</v>
      </c>
      <c r="N588" s="317">
        <v>2.3256692939378176</v>
      </c>
      <c r="O588" s="315" t="s">
        <v>1148</v>
      </c>
      <c r="P588" s="318">
        <v>176</v>
      </c>
      <c r="R588" s="320">
        <v>80</v>
      </c>
      <c r="S588" s="318">
        <v>32</v>
      </c>
      <c r="T588" s="318">
        <v>40</v>
      </c>
      <c r="U588" s="318">
        <v>82</v>
      </c>
      <c r="V588" s="315">
        <v>0.21</v>
      </c>
      <c r="W588" s="318">
        <v>1168</v>
      </c>
      <c r="X588" s="315">
        <v>4</v>
      </c>
      <c r="Y588" s="315" t="s">
        <v>1149</v>
      </c>
      <c r="Z588" s="315">
        <v>0</v>
      </c>
      <c r="AA588" s="315" t="s">
        <v>1150</v>
      </c>
      <c r="AB588" s="315">
        <v>8.0000000000000002E-3</v>
      </c>
      <c r="AC588" s="315">
        <v>2198</v>
      </c>
      <c r="AD588" s="315">
        <v>2443</v>
      </c>
      <c r="AE588" s="315">
        <v>0.52</v>
      </c>
      <c r="AF588" s="315">
        <v>1.2270000000000001</v>
      </c>
      <c r="AG588" s="315">
        <v>0.62</v>
      </c>
      <c r="AH588" s="315">
        <v>440</v>
      </c>
    </row>
    <row r="589" spans="1:34">
      <c r="A589" s="315" t="s">
        <v>1145</v>
      </c>
      <c r="B589" s="315" t="s">
        <v>1080</v>
      </c>
      <c r="C589" s="316" t="s">
        <v>1991</v>
      </c>
      <c r="D589" s="316" t="s">
        <v>1992</v>
      </c>
      <c r="E589" s="317">
        <v>34.380026193866463</v>
      </c>
      <c r="F589" s="317">
        <v>3.6010390000000001</v>
      </c>
      <c r="G589" s="317">
        <v>4.644914</v>
      </c>
      <c r="H589" s="317">
        <v>8.9418398434418016</v>
      </c>
      <c r="I589" s="318">
        <v>26.008822078899584</v>
      </c>
      <c r="J589" s="318">
        <v>46.973037180218498</v>
      </c>
      <c r="K589" s="319">
        <v>43.228942295388002</v>
      </c>
      <c r="L589" s="319">
        <v>17.220120216488418</v>
      </c>
      <c r="M589" s="319">
        <f t="shared" si="9"/>
        <v>17.220120216488418</v>
      </c>
      <c r="N589" s="317">
        <v>5.9202818410440123</v>
      </c>
      <c r="O589" s="315" t="s">
        <v>1148</v>
      </c>
      <c r="P589" s="318">
        <v>150</v>
      </c>
      <c r="R589" s="320">
        <v>65.555555555555557</v>
      </c>
      <c r="S589" s="318">
        <v>23</v>
      </c>
      <c r="T589" s="318">
        <v>70</v>
      </c>
      <c r="U589" s="318">
        <v>150</v>
      </c>
      <c r="V589" s="315">
        <v>0.2</v>
      </c>
      <c r="W589" s="318">
        <v>100</v>
      </c>
      <c r="X589" s="315">
        <v>14</v>
      </c>
      <c r="Y589" s="315" t="s">
        <v>1149</v>
      </c>
      <c r="Z589" s="315">
        <v>0</v>
      </c>
      <c r="AA589" s="315" t="s">
        <v>1150</v>
      </c>
      <c r="AB589" s="315">
        <v>2.3602920821817857</v>
      </c>
      <c r="AC589" s="315">
        <v>1931</v>
      </c>
      <c r="AD589" s="315">
        <v>1844</v>
      </c>
      <c r="AE589" s="315">
        <v>0.85</v>
      </c>
      <c r="AF589" s="315">
        <v>1.145</v>
      </c>
      <c r="AG589" s="315">
        <v>3.75</v>
      </c>
      <c r="AH589" s="315">
        <v>259</v>
      </c>
    </row>
    <row r="590" spans="1:34">
      <c r="A590" s="315" t="s">
        <v>1993</v>
      </c>
      <c r="B590" s="315" t="s">
        <v>1080</v>
      </c>
      <c r="C590" s="316" t="s">
        <v>1994</v>
      </c>
      <c r="D590" s="316" t="s">
        <v>1995</v>
      </c>
      <c r="E590" s="317">
        <v>16.320012434086696</v>
      </c>
      <c r="F590" s="317">
        <v>0.30950149999999998</v>
      </c>
      <c r="G590" s="317">
        <v>0.30950149999999998</v>
      </c>
      <c r="H590" s="317">
        <v>3.962028088321389</v>
      </c>
      <c r="I590" s="318">
        <v>24.277114397573147</v>
      </c>
      <c r="J590" s="318">
        <v>42.890850785206197</v>
      </c>
      <c r="K590" s="319">
        <v>39.395971893993398</v>
      </c>
      <c r="L590" s="319">
        <v>15.118857496420251</v>
      </c>
      <c r="M590" s="319">
        <f t="shared" si="9"/>
        <v>15.118857496420251</v>
      </c>
      <c r="N590" s="317">
        <v>2.4673994233076337</v>
      </c>
      <c r="O590" s="315" t="s">
        <v>1148</v>
      </c>
      <c r="P590" s="318">
        <v>157</v>
      </c>
      <c r="R590" s="320">
        <v>69.444444444444443</v>
      </c>
      <c r="S590" s="318">
        <v>29</v>
      </c>
      <c r="T590" s="318">
        <v>20</v>
      </c>
      <c r="U590" s="318">
        <v>62</v>
      </c>
      <c r="V590" s="315">
        <v>0.2</v>
      </c>
      <c r="W590" s="318">
        <v>100</v>
      </c>
      <c r="X590" s="315">
        <v>6</v>
      </c>
      <c r="Y590" s="315" t="s">
        <v>1149</v>
      </c>
      <c r="Z590" s="315">
        <v>0</v>
      </c>
      <c r="AA590" s="315" t="s">
        <v>1150</v>
      </c>
      <c r="AB590" s="315">
        <v>0.50205532284617127</v>
      </c>
      <c r="AC590" s="315">
        <v>2130</v>
      </c>
      <c r="AD590" s="315">
        <v>2072</v>
      </c>
      <c r="AE590" s="315">
        <v>0.85</v>
      </c>
      <c r="AF590" s="315">
        <v>1.24</v>
      </c>
      <c r="AG590" s="315">
        <v>1.56</v>
      </c>
      <c r="AH590" s="315">
        <v>388</v>
      </c>
    </row>
    <row r="591" spans="1:34">
      <c r="A591" s="315" t="s">
        <v>1895</v>
      </c>
      <c r="B591" s="315" t="s">
        <v>1080</v>
      </c>
      <c r="C591" s="316" t="s">
        <v>1996</v>
      </c>
      <c r="D591" s="316" t="s">
        <v>1996</v>
      </c>
      <c r="E591" s="317">
        <v>12.2700093484218</v>
      </c>
      <c r="F591" s="317">
        <v>1.7905285</v>
      </c>
      <c r="G591" s="317">
        <v>1.7905285</v>
      </c>
      <c r="H591" s="317">
        <v>3.0443901776113615</v>
      </c>
      <c r="I591" s="318">
        <v>24.811636985451351</v>
      </c>
      <c r="J591" s="318">
        <v>41.125599873183702</v>
      </c>
      <c r="K591" s="319">
        <v>44.8590716498991</v>
      </c>
      <c r="L591" s="319">
        <v>20.047434664447749</v>
      </c>
      <c r="M591" s="319">
        <f t="shared" si="9"/>
        <v>20.047434664447749</v>
      </c>
      <c r="N591" s="317">
        <v>2.4598221074464912</v>
      </c>
      <c r="O591" s="315" t="s">
        <v>1148</v>
      </c>
      <c r="P591" s="318">
        <v>160</v>
      </c>
      <c r="R591" s="320">
        <v>71.111111111111114</v>
      </c>
      <c r="S591" s="318">
        <v>32</v>
      </c>
      <c r="T591" s="318">
        <v>18</v>
      </c>
      <c r="U591" s="318">
        <v>128</v>
      </c>
      <c r="V591" s="315">
        <v>0.2</v>
      </c>
      <c r="W591" s="318">
        <v>100</v>
      </c>
      <c r="X591" s="315">
        <v>6</v>
      </c>
      <c r="Y591" s="315" t="s">
        <v>1149</v>
      </c>
      <c r="Z591" s="315">
        <v>0</v>
      </c>
      <c r="AA591" s="315" t="s">
        <v>1150</v>
      </c>
      <c r="AB591" s="315">
        <v>0.98020021555467995</v>
      </c>
      <c r="AC591" s="315">
        <v>2203</v>
      </c>
      <c r="AD591" s="315">
        <v>2157</v>
      </c>
      <c r="AE591" s="315">
        <v>0.85</v>
      </c>
      <c r="AF591" s="315">
        <v>1.284</v>
      </c>
      <c r="AG591" s="315">
        <v>1.07</v>
      </c>
      <c r="AH591" s="315">
        <v>462</v>
      </c>
    </row>
    <row r="592" spans="1:34">
      <c r="A592" s="315" t="s">
        <v>1895</v>
      </c>
      <c r="B592" s="315" t="s">
        <v>1080</v>
      </c>
      <c r="C592" s="316" t="s">
        <v>1997</v>
      </c>
      <c r="D592" s="316" t="s">
        <v>1997</v>
      </c>
      <c r="E592" s="317">
        <v>16.430012517894877</v>
      </c>
      <c r="F592" s="317">
        <v>0.981935</v>
      </c>
      <c r="G592" s="317">
        <v>1.206548</v>
      </c>
      <c r="H592" s="317">
        <v>4.7837662712031168</v>
      </c>
      <c r="I592" s="318">
        <v>29.116023289652642</v>
      </c>
      <c r="J592" s="318">
        <v>40.894389123407599</v>
      </c>
      <c r="K592" s="319">
        <v>40.0256269984122</v>
      </c>
      <c r="L592" s="319">
        <v>10.909603708759558</v>
      </c>
      <c r="M592" s="319">
        <f t="shared" si="9"/>
        <v>10.909603708759558</v>
      </c>
      <c r="N592" s="317">
        <v>1.7924492550019191</v>
      </c>
      <c r="O592" s="315" t="s">
        <v>1148</v>
      </c>
      <c r="P592" s="318">
        <v>160</v>
      </c>
      <c r="R592" s="320">
        <v>71.111111111111114</v>
      </c>
      <c r="S592" s="318">
        <v>32</v>
      </c>
      <c r="T592" s="318">
        <v>15</v>
      </c>
      <c r="U592" s="318">
        <v>128</v>
      </c>
      <c r="V592" s="315">
        <v>0.2</v>
      </c>
      <c r="W592" s="318">
        <v>100</v>
      </c>
      <c r="X592" s="315">
        <v>7</v>
      </c>
      <c r="Y592" s="315" t="s">
        <v>1149</v>
      </c>
      <c r="Z592" s="315">
        <v>0</v>
      </c>
      <c r="AA592" s="315" t="s">
        <v>1150</v>
      </c>
      <c r="AB592" s="315">
        <v>1.6221383520303874</v>
      </c>
      <c r="AC592" s="315">
        <v>2203</v>
      </c>
      <c r="AD592" s="315">
        <v>2157</v>
      </c>
      <c r="AE592" s="315">
        <v>0.85</v>
      </c>
      <c r="AF592" s="315">
        <v>1.284</v>
      </c>
      <c r="AG592" s="315">
        <v>1.07</v>
      </c>
      <c r="AH592" s="315">
        <v>462</v>
      </c>
    </row>
    <row r="593" spans="1:34">
      <c r="A593" s="315" t="s">
        <v>1895</v>
      </c>
      <c r="B593" s="315" t="s">
        <v>1080</v>
      </c>
      <c r="C593" s="316" t="s">
        <v>1998</v>
      </c>
      <c r="D593" s="316" t="s">
        <v>1998</v>
      </c>
      <c r="E593" s="317">
        <v>13.640010392214617</v>
      </c>
      <c r="F593" s="317">
        <v>6.0760506999999997</v>
      </c>
      <c r="G593" s="317">
        <v>6.7836056999999998</v>
      </c>
      <c r="H593" s="317">
        <v>6.7836056999999998</v>
      </c>
      <c r="I593" s="318">
        <v>49.733141727457301</v>
      </c>
      <c r="J593" s="318">
        <v>40.217285067152901</v>
      </c>
      <c r="K593" s="319">
        <v>46.168412062921895</v>
      </c>
      <c r="L593" s="319">
        <v>-3.5647296645354061</v>
      </c>
      <c r="M593" s="319">
        <f t="shared" si="9"/>
        <v>0</v>
      </c>
      <c r="N593" s="317">
        <v>0</v>
      </c>
      <c r="O593" s="315" t="s">
        <v>1148</v>
      </c>
      <c r="P593" s="318">
        <v>162</v>
      </c>
      <c r="R593" s="320">
        <v>72.222222222222229</v>
      </c>
      <c r="S593" s="318">
        <v>33</v>
      </c>
      <c r="T593" s="318">
        <v>18</v>
      </c>
      <c r="U593" s="318">
        <v>120</v>
      </c>
      <c r="V593" s="315">
        <v>0.2</v>
      </c>
      <c r="W593" s="318">
        <v>100</v>
      </c>
      <c r="X593" s="315">
        <v>12</v>
      </c>
      <c r="Y593" s="315" t="s">
        <v>1149</v>
      </c>
      <c r="Z593" s="315">
        <v>0</v>
      </c>
      <c r="AA593" s="315" t="s">
        <v>1150</v>
      </c>
      <c r="AB593" s="315">
        <v>8.4322726822310941E-4</v>
      </c>
      <c r="AC593" s="315">
        <v>2242</v>
      </c>
      <c r="AD593" s="315">
        <v>2201</v>
      </c>
      <c r="AE593" s="315">
        <v>0.85</v>
      </c>
      <c r="AF593" s="315">
        <v>1.31</v>
      </c>
      <c r="AG593" s="315">
        <v>0.86</v>
      </c>
      <c r="AH593" s="315">
        <v>509</v>
      </c>
    </row>
    <row r="594" spans="1:34">
      <c r="A594" s="315" t="s">
        <v>1895</v>
      </c>
      <c r="B594" s="315" t="s">
        <v>1080</v>
      </c>
      <c r="C594" s="316" t="s">
        <v>1999</v>
      </c>
      <c r="D594" s="316" t="s">
        <v>1999</v>
      </c>
      <c r="E594" s="317">
        <v>23.0600175692426</v>
      </c>
      <c r="F594" s="317">
        <v>5.8779643999999998</v>
      </c>
      <c r="G594" s="317">
        <v>6.3815884</v>
      </c>
      <c r="H594" s="317">
        <v>8.2685199944223378</v>
      </c>
      <c r="I594" s="318">
        <v>35.85652079229493</v>
      </c>
      <c r="J594" s="318">
        <v>37.582113602015397</v>
      </c>
      <c r="K594" s="319">
        <v>47.320520964456399</v>
      </c>
      <c r="L594" s="319">
        <v>11.464000172161469</v>
      </c>
      <c r="M594" s="319">
        <f t="shared" si="9"/>
        <v>11.464000172161469</v>
      </c>
      <c r="N594" s="317">
        <v>2.6436004538384368</v>
      </c>
      <c r="O594" s="315" t="s">
        <v>1148</v>
      </c>
      <c r="P594" s="318">
        <v>165</v>
      </c>
      <c r="R594" s="320">
        <v>73.888888888888886</v>
      </c>
      <c r="S594" s="318">
        <v>37</v>
      </c>
      <c r="T594" s="318">
        <v>15</v>
      </c>
      <c r="U594" s="318">
        <v>165</v>
      </c>
      <c r="V594" s="315">
        <v>0.2</v>
      </c>
      <c r="W594" s="318">
        <v>100</v>
      </c>
      <c r="X594" s="315">
        <v>13</v>
      </c>
      <c r="Y594" s="315" t="s">
        <v>1149</v>
      </c>
      <c r="Z594" s="315">
        <v>0</v>
      </c>
      <c r="AA594" s="315" t="s">
        <v>1150</v>
      </c>
      <c r="AB594" s="315">
        <v>1.336876581532273</v>
      </c>
      <c r="AC594" s="315">
        <v>2332</v>
      </c>
      <c r="AD594" s="315">
        <v>2305</v>
      </c>
      <c r="AE594" s="315">
        <v>0.85</v>
      </c>
      <c r="AF594" s="315">
        <v>1.3759999999999999</v>
      </c>
      <c r="AG594" s="315">
        <v>0.51</v>
      </c>
      <c r="AH594" s="315">
        <v>651</v>
      </c>
    </row>
    <row r="595" spans="1:34">
      <c r="A595" s="315" t="s">
        <v>1145</v>
      </c>
      <c r="B595" s="315" t="s">
        <v>1080</v>
      </c>
      <c r="C595" s="316" t="s">
        <v>2000</v>
      </c>
      <c r="D595" s="316" t="s">
        <v>2000</v>
      </c>
      <c r="E595" s="317">
        <v>25.280019260644099</v>
      </c>
      <c r="F595" s="317">
        <v>9.3426816000000006</v>
      </c>
      <c r="G595" s="317">
        <v>11.982836600000001</v>
      </c>
      <c r="H595" s="317">
        <v>11.982836600000001</v>
      </c>
      <c r="I595" s="318">
        <v>47.400425120145634</v>
      </c>
      <c r="J595" s="318">
        <v>36.670981097773598</v>
      </c>
      <c r="K595" s="319">
        <v>47.762336979944905</v>
      </c>
      <c r="L595" s="319">
        <v>0.36191185979927099</v>
      </c>
      <c r="M595" s="319">
        <f t="shared" si="9"/>
        <v>0.36191185979927099</v>
      </c>
      <c r="N595" s="317">
        <v>9.1491387863810975E-2</v>
      </c>
      <c r="O595" s="315" t="s">
        <v>1148</v>
      </c>
      <c r="P595" s="318">
        <v>166</v>
      </c>
      <c r="R595" s="320">
        <v>74.444444444444443</v>
      </c>
      <c r="S595" s="318">
        <v>38</v>
      </c>
      <c r="T595" s="318">
        <v>20</v>
      </c>
      <c r="U595" s="318">
        <v>220</v>
      </c>
      <c r="V595" s="315">
        <v>0.2</v>
      </c>
      <c r="W595" s="318">
        <v>100</v>
      </c>
      <c r="X595" s="315">
        <v>15</v>
      </c>
      <c r="Y595" s="315" t="s">
        <v>1149</v>
      </c>
      <c r="Z595" s="315">
        <v>0</v>
      </c>
      <c r="AA595" s="315" t="s">
        <v>1150</v>
      </c>
      <c r="AB595" s="315">
        <v>1.7296689975311563</v>
      </c>
      <c r="AC595" s="315">
        <v>2367</v>
      </c>
      <c r="AD595" s="315">
        <v>2345</v>
      </c>
      <c r="AE595" s="315">
        <v>0.85</v>
      </c>
      <c r="AF595" s="315">
        <v>1.4039999999999999</v>
      </c>
      <c r="AG595" s="315">
        <v>0.41</v>
      </c>
      <c r="AH595" s="315">
        <v>720</v>
      </c>
    </row>
    <row r="596" spans="1:34">
      <c r="A596" s="315" t="s">
        <v>1145</v>
      </c>
      <c r="B596" s="315" t="s">
        <v>1080</v>
      </c>
      <c r="C596" s="316" t="s">
        <v>2001</v>
      </c>
      <c r="D596" s="316" t="s">
        <v>2001</v>
      </c>
      <c r="E596" s="317">
        <v>74.300056608617737</v>
      </c>
      <c r="F596" s="317">
        <v>40.659878500000005</v>
      </c>
      <c r="G596" s="317">
        <v>41.336029500000002</v>
      </c>
      <c r="H596" s="317">
        <v>41.336029500000002</v>
      </c>
      <c r="I596" s="318">
        <v>55.633913871346387</v>
      </c>
      <c r="J596" s="318">
        <v>36.694366791489003</v>
      </c>
      <c r="K596" s="319">
        <v>47.9296338494323</v>
      </c>
      <c r="L596" s="319">
        <v>-7.7042800219140872</v>
      </c>
      <c r="M596" s="319">
        <f t="shared" si="9"/>
        <v>0</v>
      </c>
      <c r="N596" s="317">
        <v>0</v>
      </c>
      <c r="O596" s="315" t="s">
        <v>1148</v>
      </c>
      <c r="P596" s="318">
        <v>167</v>
      </c>
      <c r="R596" s="320">
        <v>75</v>
      </c>
      <c r="S596" s="318">
        <v>38.700000000000003</v>
      </c>
      <c r="T596" s="318">
        <v>20</v>
      </c>
      <c r="U596" s="318">
        <v>250</v>
      </c>
      <c r="V596" s="315">
        <v>0.2</v>
      </c>
      <c r="W596" s="318">
        <v>100</v>
      </c>
      <c r="X596" s="315">
        <v>30</v>
      </c>
      <c r="Y596" s="315" t="s">
        <v>1149</v>
      </c>
      <c r="Z596" s="315">
        <v>0</v>
      </c>
      <c r="AA596" s="315" t="s">
        <v>1150</v>
      </c>
      <c r="AB596" s="315">
        <v>0</v>
      </c>
      <c r="AC596" s="315">
        <v>2408</v>
      </c>
      <c r="AD596" s="315">
        <v>2374</v>
      </c>
      <c r="AE596" s="315">
        <v>0.85</v>
      </c>
      <c r="AF596" s="315">
        <v>1.42</v>
      </c>
      <c r="AG596" s="315">
        <v>0.32500000000000001</v>
      </c>
      <c r="AH596" s="315">
        <v>755</v>
      </c>
    </row>
    <row r="597" spans="1:34">
      <c r="A597" s="315" t="s">
        <v>1145</v>
      </c>
      <c r="B597" s="315" t="s">
        <v>1080</v>
      </c>
      <c r="C597" s="316" t="s">
        <v>2002</v>
      </c>
      <c r="D597" s="316" t="s">
        <v>2002</v>
      </c>
      <c r="E597" s="317">
        <v>63.20004815161024</v>
      </c>
      <c r="F597" s="317">
        <v>24.584195000000001</v>
      </c>
      <c r="G597" s="317">
        <v>25.440928</v>
      </c>
      <c r="H597" s="317">
        <v>25.440928</v>
      </c>
      <c r="I597" s="318">
        <v>40.254602241710167</v>
      </c>
      <c r="J597" s="318">
        <v>36.708187465402098</v>
      </c>
      <c r="K597" s="319">
        <v>47.922821527124</v>
      </c>
      <c r="L597" s="319">
        <v>7.6682192854138336</v>
      </c>
      <c r="M597" s="319">
        <f t="shared" si="9"/>
        <v>7.6682192854138336</v>
      </c>
      <c r="N597" s="317">
        <v>4.8463182807526053</v>
      </c>
      <c r="O597" s="315" t="s">
        <v>1148</v>
      </c>
      <c r="P597" s="318">
        <v>168</v>
      </c>
      <c r="R597" s="320">
        <v>75.555555555555557</v>
      </c>
      <c r="S597" s="318">
        <v>38.700000000000003</v>
      </c>
      <c r="T597" s="318">
        <v>20</v>
      </c>
      <c r="U597" s="318">
        <v>250</v>
      </c>
      <c r="V597" s="315">
        <v>0.2</v>
      </c>
      <c r="W597" s="318">
        <v>100</v>
      </c>
      <c r="X597" s="315">
        <v>32</v>
      </c>
      <c r="Y597" s="315" t="s">
        <v>1149</v>
      </c>
      <c r="Z597" s="315">
        <v>0</v>
      </c>
      <c r="AA597" s="315" t="s">
        <v>1150</v>
      </c>
      <c r="AB597" s="315">
        <v>0</v>
      </c>
      <c r="AC597" s="315">
        <v>2430</v>
      </c>
      <c r="AD597" s="315">
        <v>2379</v>
      </c>
      <c r="AE597" s="315">
        <v>0.85</v>
      </c>
      <c r="AF597" s="315">
        <v>1.42</v>
      </c>
      <c r="AG597" s="315">
        <v>0.32500000000000001</v>
      </c>
      <c r="AH597" s="315">
        <v>755</v>
      </c>
    </row>
    <row r="598" spans="1:34">
      <c r="A598" s="315" t="s">
        <v>2003</v>
      </c>
      <c r="B598" s="315" t="s">
        <v>1080</v>
      </c>
      <c r="C598" s="316" t="s">
        <v>2004</v>
      </c>
      <c r="D598" s="316" t="s">
        <v>2004</v>
      </c>
      <c r="E598" s="317">
        <v>55.000041904091191</v>
      </c>
      <c r="F598" s="317">
        <v>34.573594300000003</v>
      </c>
      <c r="G598" s="317">
        <v>34.793151300000005</v>
      </c>
      <c r="H598" s="317">
        <v>34.793151300000005</v>
      </c>
      <c r="I598" s="318">
        <v>63.260226893412444</v>
      </c>
      <c r="J598" s="318">
        <v>36.722153515338697</v>
      </c>
      <c r="K598" s="319">
        <v>49.149881398630704</v>
      </c>
      <c r="L598" s="319">
        <v>-14.11034549478174</v>
      </c>
      <c r="M598" s="319">
        <f t="shared" si="9"/>
        <v>0</v>
      </c>
      <c r="N598" s="317">
        <v>0</v>
      </c>
      <c r="O598" s="315" t="s">
        <v>1148</v>
      </c>
      <c r="P598" s="318">
        <v>169</v>
      </c>
      <c r="R598" s="320">
        <v>76.111111111111114</v>
      </c>
      <c r="S598" s="318">
        <v>41</v>
      </c>
      <c r="T598" s="318">
        <v>20</v>
      </c>
      <c r="U598" s="318">
        <v>190</v>
      </c>
      <c r="V598" s="315">
        <v>0.2</v>
      </c>
      <c r="W598" s="318">
        <v>100</v>
      </c>
      <c r="X598" s="315">
        <v>19</v>
      </c>
      <c r="Y598" s="315" t="s">
        <v>1149</v>
      </c>
      <c r="Z598" s="315">
        <v>0</v>
      </c>
      <c r="AA598" s="315" t="s">
        <v>1150</v>
      </c>
      <c r="AB598" s="315">
        <v>0</v>
      </c>
      <c r="AC598" s="315">
        <v>2450</v>
      </c>
      <c r="AD598" s="315">
        <v>2439</v>
      </c>
      <c r="AE598" s="315">
        <v>0.85</v>
      </c>
      <c r="AF598" s="315">
        <v>1.49</v>
      </c>
      <c r="AG598" s="315">
        <v>0.29399999999999998</v>
      </c>
      <c r="AH598" s="315">
        <v>883</v>
      </c>
    </row>
    <row r="599" spans="1:34">
      <c r="A599" s="315" t="s">
        <v>1895</v>
      </c>
      <c r="B599" s="315" t="s">
        <v>1080</v>
      </c>
      <c r="C599" s="316" t="s">
        <v>2005</v>
      </c>
      <c r="D599" s="316" t="s">
        <v>2005</v>
      </c>
      <c r="E599" s="317">
        <v>63.500048380178022</v>
      </c>
      <c r="F599" s="317">
        <v>39.177517799999997</v>
      </c>
      <c r="G599" s="317">
        <v>39.8748158</v>
      </c>
      <c r="H599" s="317">
        <v>41.349354699999999</v>
      </c>
      <c r="I599" s="318">
        <v>65.117044403555894</v>
      </c>
      <c r="J599" s="318">
        <v>36.7328220876499</v>
      </c>
      <c r="K599" s="319">
        <v>47.910691888250099</v>
      </c>
      <c r="L599" s="319">
        <v>-17.206352515305795</v>
      </c>
      <c r="M599" s="319">
        <f t="shared" si="9"/>
        <v>0</v>
      </c>
      <c r="N599" s="317">
        <v>0</v>
      </c>
      <c r="O599" s="315" t="s">
        <v>1148</v>
      </c>
      <c r="P599" s="318">
        <v>170</v>
      </c>
      <c r="R599" s="320">
        <v>76.666666666666671</v>
      </c>
      <c r="S599" s="318">
        <v>41</v>
      </c>
      <c r="T599" s="318">
        <v>20</v>
      </c>
      <c r="U599" s="318">
        <v>300</v>
      </c>
      <c r="V599" s="315">
        <v>0.2</v>
      </c>
      <c r="W599" s="318">
        <v>100</v>
      </c>
      <c r="X599" s="315">
        <v>20</v>
      </c>
      <c r="Y599" s="315" t="s">
        <v>1149</v>
      </c>
      <c r="Z599" s="315">
        <v>0</v>
      </c>
      <c r="AA599" s="315" t="s">
        <v>1150</v>
      </c>
      <c r="AB599" s="315">
        <v>0</v>
      </c>
      <c r="AC599" s="315">
        <v>2496</v>
      </c>
      <c r="AD599" s="315">
        <v>2438</v>
      </c>
      <c r="AE599" s="315">
        <v>0.85</v>
      </c>
      <c r="AF599" s="315">
        <v>1.49</v>
      </c>
      <c r="AG599" s="315">
        <v>0.29399999999999998</v>
      </c>
      <c r="AH599" s="315">
        <v>883</v>
      </c>
    </row>
    <row r="600" spans="1:34">
      <c r="A600" s="315" t="s">
        <v>1145</v>
      </c>
      <c r="B600" s="315" t="s">
        <v>1080</v>
      </c>
      <c r="C600" s="316" t="s">
        <v>2006</v>
      </c>
      <c r="D600" s="316" t="s">
        <v>2006</v>
      </c>
      <c r="E600" s="317">
        <v>10.030007641782449</v>
      </c>
      <c r="F600" s="317">
        <v>6.8957492</v>
      </c>
      <c r="G600" s="317">
        <v>6.9615982000000001</v>
      </c>
      <c r="H600" s="317">
        <v>6.9615982000000001</v>
      </c>
      <c r="I600" s="318">
        <v>69.407705842613325</v>
      </c>
      <c r="J600" s="318">
        <v>37.191094296765797</v>
      </c>
      <c r="K600" s="319">
        <v>47.507357365252403</v>
      </c>
      <c r="L600" s="319">
        <v>-21.900348477360922</v>
      </c>
      <c r="M600" s="319">
        <f t="shared" si="9"/>
        <v>0</v>
      </c>
      <c r="N600" s="317">
        <v>0</v>
      </c>
      <c r="O600" s="315" t="s">
        <v>1148</v>
      </c>
      <c r="P600" s="318">
        <v>194</v>
      </c>
      <c r="R600" s="320">
        <v>90</v>
      </c>
      <c r="S600" s="318">
        <v>40</v>
      </c>
      <c r="T600" s="318">
        <v>15</v>
      </c>
      <c r="U600" s="318">
        <v>120</v>
      </c>
      <c r="V600" s="315">
        <v>0.2</v>
      </c>
      <c r="W600" s="318">
        <v>100</v>
      </c>
      <c r="X600" s="315">
        <v>6</v>
      </c>
      <c r="Y600" s="315" t="s">
        <v>1149</v>
      </c>
      <c r="Z600" s="315">
        <v>0</v>
      </c>
      <c r="AA600" s="315" t="s">
        <v>1150</v>
      </c>
      <c r="AB600" s="315">
        <v>0</v>
      </c>
      <c r="AC600" s="315">
        <v>3244</v>
      </c>
      <c r="AD600" s="315">
        <v>3244</v>
      </c>
      <c r="AE600" s="315">
        <v>0.85</v>
      </c>
      <c r="AF600" s="315">
        <v>1.6359999999999999</v>
      </c>
      <c r="AG600" s="315">
        <v>0.28000000000000003</v>
      </c>
      <c r="AH600" s="315">
        <v>1064</v>
      </c>
    </row>
    <row r="601" spans="1:34">
      <c r="A601" s="315" t="s">
        <v>1145</v>
      </c>
      <c r="B601" s="315" t="s">
        <v>2007</v>
      </c>
      <c r="C601" s="316" t="s">
        <v>2008</v>
      </c>
      <c r="D601" s="316" t="s">
        <v>2008</v>
      </c>
      <c r="E601" s="317">
        <v>19</v>
      </c>
      <c r="F601" s="317">
        <v>3.489398</v>
      </c>
      <c r="G601" s="317">
        <v>3.489398</v>
      </c>
      <c r="H601" s="317">
        <v>4.5413660000000009</v>
      </c>
      <c r="I601" s="318">
        <v>23.901926315789478</v>
      </c>
      <c r="J601" s="318">
        <v>56.784746026789598</v>
      </c>
      <c r="K601" s="319">
        <v>41.165562225956499</v>
      </c>
      <c r="L601" s="319">
        <v>17.263635910167022</v>
      </c>
      <c r="M601" s="319">
        <f t="shared" si="9"/>
        <v>17.263635910167022</v>
      </c>
      <c r="N601" s="317">
        <v>3.2800908229317343</v>
      </c>
      <c r="O601" s="315" t="s">
        <v>1148</v>
      </c>
      <c r="P601" s="318">
        <v>161.6</v>
      </c>
      <c r="R601" s="320">
        <v>72</v>
      </c>
      <c r="S601" s="318">
        <v>41.2</v>
      </c>
      <c r="T601" s="318">
        <v>49.3</v>
      </c>
      <c r="U601" s="318">
        <v>0</v>
      </c>
      <c r="V601" s="315">
        <v>0.21</v>
      </c>
      <c r="W601" s="318">
        <v>62.7</v>
      </c>
      <c r="X601" s="315">
        <v>2</v>
      </c>
      <c r="Y601" s="315" t="s">
        <v>1149</v>
      </c>
      <c r="Z601" s="315">
        <v>0</v>
      </c>
      <c r="AA601" s="315" t="s">
        <v>1150</v>
      </c>
      <c r="AB601" s="315">
        <v>0</v>
      </c>
      <c r="AC601" s="315">
        <v>2534</v>
      </c>
      <c r="AD601" s="315">
        <v>1813</v>
      </c>
      <c r="AE601" s="315">
        <v>0.63</v>
      </c>
      <c r="AF601" s="315">
        <v>1.25</v>
      </c>
      <c r="AG601" s="315">
        <v>0.53200000000000003</v>
      </c>
      <c r="AH601" s="315">
        <v>431</v>
      </c>
    </row>
  </sheetData>
  <pageMargins left="0.7" right="0.7" top="0.75" bottom="0.75" header="0.3" footer="0.3"/>
  <headerFooter>
    <oddHeader>&amp;C&amp;"Calibri"&amp;8&amp;K000000 For Internal Use - For Internal Distribution Only&amp;1#_x000D_</oddHeader>
  </headerFooter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A7838-6D94-4E75-83D3-8538E2A5E980}">
  <sheetPr>
    <tabColor rgb="FF00B050"/>
  </sheetPr>
  <dimension ref="A1:AH601"/>
  <sheetViews>
    <sheetView topLeftCell="B1" zoomScaleNormal="100" workbookViewId="0">
      <pane ySplit="1" topLeftCell="A583" activePane="bottomLeft" state="frozen"/>
      <selection activeCell="B1" sqref="B1"/>
      <selection pane="bottomLeft" activeCell="B1" sqref="B1"/>
    </sheetView>
  </sheetViews>
  <sheetFormatPr defaultRowHeight="14"/>
  <cols>
    <col min="1" max="1" width="24.1640625" style="315" hidden="1" customWidth="1"/>
    <col min="2" max="2" width="9.4140625" style="315" customWidth="1"/>
    <col min="3" max="3" width="17.83203125" style="316" customWidth="1"/>
    <col min="4" max="4" width="32.5" style="316" customWidth="1"/>
    <col min="5" max="5" width="20.33203125" style="317" customWidth="1"/>
    <col min="6" max="6" width="21.33203125" style="317" customWidth="1"/>
    <col min="7" max="7" width="17.33203125" style="317" customWidth="1"/>
    <col min="8" max="8" width="19" style="317" customWidth="1"/>
    <col min="9" max="9" width="15.33203125" style="318" customWidth="1"/>
    <col min="10" max="10" width="16.83203125" style="318" customWidth="1"/>
    <col min="11" max="11" width="17.6640625" style="319" customWidth="1"/>
    <col min="12" max="13" width="34" style="319" customWidth="1"/>
    <col min="14" max="14" width="20.5" style="317" customWidth="1"/>
    <col min="15" max="15" width="8.83203125" style="315" customWidth="1"/>
    <col min="16" max="16" width="22.5" style="318" customWidth="1"/>
    <col min="17" max="17" width="18" style="315" customWidth="1"/>
    <col min="18" max="18" width="12.5" style="320" customWidth="1"/>
    <col min="19" max="19" width="13.08203125" style="318" customWidth="1"/>
    <col min="20" max="20" width="17.33203125" style="318" customWidth="1"/>
    <col min="21" max="21" width="8.83203125" style="318" customWidth="1"/>
    <col min="22" max="22" width="8.83203125" style="315" customWidth="1"/>
    <col min="23" max="23" width="21.58203125" style="318" customWidth="1"/>
    <col min="24" max="24" width="8.83203125" style="315" customWidth="1"/>
    <col min="25" max="25" width="11.5" style="315" customWidth="1"/>
    <col min="26" max="26" width="8.83203125" style="315" customWidth="1"/>
    <col min="27" max="27" width="27.33203125" style="315" customWidth="1"/>
    <col min="28" max="33" width="8.6640625" style="345"/>
    <col min="34" max="34" width="8" style="345" customWidth="1"/>
    <col min="35" max="16384" width="8.6640625" style="315"/>
  </cols>
  <sheetData>
    <row r="1" spans="1:34" s="346" customFormat="1" ht="56">
      <c r="A1" s="346" t="s">
        <v>1113</v>
      </c>
      <c r="B1" s="346" t="s">
        <v>361</v>
      </c>
      <c r="C1" s="310" t="s">
        <v>673</v>
      </c>
      <c r="D1" s="310" t="s">
        <v>1114</v>
      </c>
      <c r="E1" s="311" t="s">
        <v>1115</v>
      </c>
      <c r="F1" s="311" t="s">
        <v>1116</v>
      </c>
      <c r="G1" s="311" t="s">
        <v>1117</v>
      </c>
      <c r="H1" s="311" t="s">
        <v>1118</v>
      </c>
      <c r="I1" s="347" t="s">
        <v>1119</v>
      </c>
      <c r="J1" s="347" t="s">
        <v>1120</v>
      </c>
      <c r="K1" s="348" t="s">
        <v>1121</v>
      </c>
      <c r="L1" s="348" t="s">
        <v>1122</v>
      </c>
      <c r="M1" s="348" t="s">
        <v>1123</v>
      </c>
      <c r="N1" s="311" t="s">
        <v>1124</v>
      </c>
      <c r="O1" s="346" t="s">
        <v>1125</v>
      </c>
      <c r="P1" s="347" t="s">
        <v>1126</v>
      </c>
      <c r="Q1" s="346" t="s">
        <v>1127</v>
      </c>
      <c r="R1" s="313" t="s">
        <v>1128</v>
      </c>
      <c r="S1" s="347" t="s">
        <v>1129</v>
      </c>
      <c r="T1" s="347" t="s">
        <v>1130</v>
      </c>
      <c r="U1" s="347" t="s">
        <v>1131</v>
      </c>
      <c r="V1" s="346" t="s">
        <v>1132</v>
      </c>
      <c r="W1" s="347" t="s">
        <v>1133</v>
      </c>
      <c r="X1" s="346" t="s">
        <v>1134</v>
      </c>
      <c r="Y1" s="346" t="s">
        <v>1135</v>
      </c>
      <c r="Z1" s="346" t="s">
        <v>1136</v>
      </c>
      <c r="AA1" s="346" t="s">
        <v>1137</v>
      </c>
      <c r="AB1" s="314" t="s">
        <v>1138</v>
      </c>
      <c r="AC1" s="314" t="s">
        <v>1139</v>
      </c>
      <c r="AD1" s="314" t="s">
        <v>1140</v>
      </c>
      <c r="AE1" s="314" t="s">
        <v>1141</v>
      </c>
      <c r="AF1" s="314" t="s">
        <v>1142</v>
      </c>
      <c r="AG1" s="314" t="s">
        <v>1143</v>
      </c>
      <c r="AH1" s="314" t="s">
        <v>1144</v>
      </c>
    </row>
    <row r="2" spans="1:34">
      <c r="A2" s="315" t="s">
        <v>1145</v>
      </c>
      <c r="B2" s="315" t="s">
        <v>696</v>
      </c>
      <c r="C2" s="316" t="s">
        <v>1529</v>
      </c>
      <c r="D2" s="316" t="s">
        <v>1529</v>
      </c>
      <c r="E2" s="317">
        <v>7.98</v>
      </c>
      <c r="F2" s="317">
        <v>0.37204852026601398</v>
      </c>
      <c r="G2" s="317">
        <v>0.40079127745386856</v>
      </c>
      <c r="H2" s="317">
        <v>0.40079127745386856</v>
      </c>
      <c r="I2" s="318">
        <v>5.0224470858880768</v>
      </c>
      <c r="J2" s="318">
        <v>0</v>
      </c>
      <c r="K2" s="319">
        <v>0</v>
      </c>
      <c r="L2" s="319">
        <v>-5.0224470858880768</v>
      </c>
      <c r="M2" s="319">
        <f>IF(L2&lt;0,0,L2)</f>
        <v>0</v>
      </c>
      <c r="N2" s="317">
        <v>0</v>
      </c>
      <c r="O2" s="315" t="s">
        <v>1148</v>
      </c>
      <c r="P2" s="318">
        <v>0</v>
      </c>
      <c r="R2" s="320">
        <v>96</v>
      </c>
      <c r="S2" s="318">
        <v>30</v>
      </c>
      <c r="T2" s="318">
        <v>286.5</v>
      </c>
      <c r="U2" s="318">
        <v>104</v>
      </c>
      <c r="V2" s="315">
        <v>0.01</v>
      </c>
      <c r="W2" s="318">
        <v>0.01</v>
      </c>
      <c r="X2" s="315">
        <v>0</v>
      </c>
      <c r="Y2" s="315" t="s">
        <v>1149</v>
      </c>
      <c r="Z2" s="315">
        <v>0</v>
      </c>
      <c r="AA2" s="315" t="s">
        <v>1435</v>
      </c>
      <c r="AB2" s="315"/>
      <c r="AC2" s="315"/>
      <c r="AD2" s="315"/>
      <c r="AE2" s="315"/>
      <c r="AF2" s="315"/>
      <c r="AG2" s="315"/>
      <c r="AH2" s="315"/>
    </row>
    <row r="3" spans="1:34">
      <c r="A3" s="315" t="s">
        <v>1145</v>
      </c>
      <c r="B3" s="315" t="s">
        <v>696</v>
      </c>
      <c r="C3" s="316" t="s">
        <v>1530</v>
      </c>
      <c r="D3" s="316" t="s">
        <v>1530</v>
      </c>
      <c r="E3" s="317">
        <v>0.9</v>
      </c>
      <c r="F3" s="317">
        <v>0</v>
      </c>
      <c r="G3" s="317">
        <v>0</v>
      </c>
      <c r="H3" s="317">
        <v>0</v>
      </c>
      <c r="I3" s="318">
        <v>0</v>
      </c>
      <c r="J3" s="318">
        <v>0</v>
      </c>
      <c r="K3" s="319">
        <v>0</v>
      </c>
      <c r="L3" s="319">
        <v>0</v>
      </c>
      <c r="M3" s="319">
        <f t="shared" ref="M3:M66" si="0">IF(L3&lt;0,0,L3)</f>
        <v>0</v>
      </c>
      <c r="N3" s="317">
        <v>0</v>
      </c>
      <c r="O3" s="315" t="s">
        <v>1168</v>
      </c>
      <c r="P3" s="318">
        <v>0</v>
      </c>
      <c r="R3" s="320">
        <v>96</v>
      </c>
      <c r="S3" s="318">
        <v>30</v>
      </c>
      <c r="T3" s="318">
        <v>111</v>
      </c>
      <c r="U3" s="318">
        <v>232</v>
      </c>
      <c r="V3" s="315">
        <v>0.01</v>
      </c>
      <c r="W3" s="318">
        <v>0.01</v>
      </c>
      <c r="X3" s="315">
        <v>2</v>
      </c>
      <c r="Y3" s="315" t="s">
        <v>1149</v>
      </c>
      <c r="Z3" s="315">
        <v>0</v>
      </c>
      <c r="AA3" s="315" t="s">
        <v>1435</v>
      </c>
      <c r="AB3" s="315"/>
      <c r="AC3" s="315"/>
      <c r="AD3" s="315"/>
      <c r="AE3" s="315"/>
      <c r="AF3" s="315"/>
      <c r="AG3" s="315"/>
      <c r="AH3" s="315"/>
    </row>
    <row r="4" spans="1:34">
      <c r="A4" s="315" t="s">
        <v>1145</v>
      </c>
      <c r="B4" s="315" t="s">
        <v>1073</v>
      </c>
      <c r="C4" s="316" t="s">
        <v>1467</v>
      </c>
      <c r="D4" s="316" t="s">
        <v>1468</v>
      </c>
      <c r="E4" s="317">
        <v>88.331374999999994</v>
      </c>
      <c r="F4" s="317">
        <v>3.0493606</v>
      </c>
      <c r="G4" s="317">
        <v>7.2276261850328796</v>
      </c>
      <c r="H4" s="317">
        <v>16.594730889989613</v>
      </c>
      <c r="I4" s="318">
        <v>18.786904302111921</v>
      </c>
      <c r="J4" s="318">
        <v>70.982991496652403</v>
      </c>
      <c r="K4" s="319">
        <v>34.611724397715996</v>
      </c>
      <c r="L4" s="319">
        <v>15.824820095604075</v>
      </c>
      <c r="M4" s="319">
        <f t="shared" si="0"/>
        <v>15.824820095604075</v>
      </c>
      <c r="N4" s="317">
        <v>13.978281181723393</v>
      </c>
      <c r="O4" s="315" t="s">
        <v>1148</v>
      </c>
      <c r="P4" s="318">
        <v>107</v>
      </c>
      <c r="R4" s="320">
        <v>41.666666666666664</v>
      </c>
      <c r="S4" s="318">
        <v>19</v>
      </c>
      <c r="T4" s="318">
        <v>135</v>
      </c>
      <c r="U4" s="318">
        <v>21</v>
      </c>
      <c r="V4" s="315">
        <v>0.31</v>
      </c>
      <c r="W4" s="318">
        <v>1500</v>
      </c>
      <c r="X4" s="315">
        <v>7</v>
      </c>
      <c r="Y4" s="315" t="s">
        <v>1149</v>
      </c>
      <c r="Z4" s="315">
        <v>0</v>
      </c>
      <c r="AA4" s="315" t="s">
        <v>1150</v>
      </c>
      <c r="AB4" s="315"/>
      <c r="AC4" s="315"/>
      <c r="AD4" s="315"/>
      <c r="AE4" s="315"/>
      <c r="AF4" s="315"/>
      <c r="AG4" s="315"/>
      <c r="AH4" s="315"/>
    </row>
    <row r="5" spans="1:34">
      <c r="A5" s="315" t="s">
        <v>1145</v>
      </c>
      <c r="B5" s="315" t="s">
        <v>1073</v>
      </c>
      <c r="C5" s="316" t="s">
        <v>1469</v>
      </c>
      <c r="D5" s="316" t="s">
        <v>1469</v>
      </c>
      <c r="E5" s="317">
        <v>153.39216999999999</v>
      </c>
      <c r="F5" s="317">
        <v>50.399896700000006</v>
      </c>
      <c r="G5" s="317">
        <v>60.94493625993028</v>
      </c>
      <c r="H5" s="317">
        <v>76.929396609027009</v>
      </c>
      <c r="I5" s="318">
        <v>50.152101381072455</v>
      </c>
      <c r="J5" s="318">
        <v>64.374423637907398</v>
      </c>
      <c r="K5" s="319">
        <v>38.866807487729496</v>
      </c>
      <c r="L5" s="319">
        <v>-11.28529389334296</v>
      </c>
      <c r="M5" s="319">
        <f t="shared" si="0"/>
        <v>0</v>
      </c>
      <c r="N5" s="317">
        <v>0</v>
      </c>
      <c r="O5" s="315" t="s">
        <v>1148</v>
      </c>
      <c r="P5" s="318">
        <v>113</v>
      </c>
      <c r="R5" s="320">
        <v>45</v>
      </c>
      <c r="S5" s="318">
        <v>20</v>
      </c>
      <c r="T5" s="318">
        <v>28</v>
      </c>
      <c r="U5" s="318">
        <v>26</v>
      </c>
      <c r="V5" s="315">
        <v>0.28999999999999998</v>
      </c>
      <c r="W5" s="318">
        <v>1750</v>
      </c>
      <c r="X5" s="315">
        <v>33</v>
      </c>
      <c r="Y5" s="315" t="s">
        <v>1149</v>
      </c>
      <c r="Z5" s="315">
        <v>0</v>
      </c>
      <c r="AA5" s="315" t="s">
        <v>1190</v>
      </c>
      <c r="AB5" s="315"/>
      <c r="AC5" s="315"/>
      <c r="AD5" s="315"/>
      <c r="AE5" s="315"/>
      <c r="AF5" s="315"/>
      <c r="AG5" s="315"/>
      <c r="AH5" s="315"/>
    </row>
    <row r="6" spans="1:34">
      <c r="A6" s="315" t="s">
        <v>1158</v>
      </c>
      <c r="B6" s="315" t="s">
        <v>1659</v>
      </c>
      <c r="C6" s="316" t="s">
        <v>1660</v>
      </c>
      <c r="D6" s="316" t="s">
        <v>1660</v>
      </c>
      <c r="E6" s="317">
        <v>21.9</v>
      </c>
      <c r="F6" s="317">
        <v>0</v>
      </c>
      <c r="G6" s="317">
        <v>0</v>
      </c>
      <c r="H6" s="317">
        <v>0</v>
      </c>
      <c r="I6" s="318">
        <v>0</v>
      </c>
      <c r="J6" s="318">
        <v>45.696002228166797</v>
      </c>
      <c r="K6" s="319">
        <v>41.490896200704405</v>
      </c>
      <c r="L6" s="319">
        <v>41.490896200704405</v>
      </c>
      <c r="M6" s="319">
        <f t="shared" si="0"/>
        <v>41.490896200704405</v>
      </c>
      <c r="N6" s="317">
        <v>9.086506267954265</v>
      </c>
      <c r="O6" s="315" t="s">
        <v>1168</v>
      </c>
      <c r="P6" s="318">
        <v>117.45</v>
      </c>
      <c r="R6" s="320">
        <v>47.472222222222221</v>
      </c>
      <c r="S6" s="318">
        <v>29.8</v>
      </c>
      <c r="T6" s="318">
        <v>111.85257100000001</v>
      </c>
      <c r="U6" s="318">
        <v>40.461292000000007</v>
      </c>
      <c r="V6" s="315">
        <v>0.312</v>
      </c>
      <c r="W6" s="318">
        <v>460.16300000000001</v>
      </c>
      <c r="X6" s="315">
        <v>3</v>
      </c>
      <c r="Y6" s="315" t="s">
        <v>1149</v>
      </c>
      <c r="Z6" s="315">
        <v>0</v>
      </c>
      <c r="AA6" s="315" t="s">
        <v>1157</v>
      </c>
      <c r="AB6" s="315"/>
      <c r="AC6" s="315"/>
      <c r="AD6" s="315"/>
      <c r="AE6" s="315"/>
      <c r="AF6" s="315"/>
      <c r="AG6" s="315"/>
      <c r="AH6" s="315"/>
    </row>
    <row r="7" spans="1:34">
      <c r="A7" s="315" t="s">
        <v>1161</v>
      </c>
      <c r="B7" s="322" t="s">
        <v>584</v>
      </c>
      <c r="C7" s="323" t="s">
        <v>1152</v>
      </c>
      <c r="D7" s="323" t="s">
        <v>1153</v>
      </c>
      <c r="E7" s="324">
        <v>230.59999999999994</v>
      </c>
      <c r="F7" s="324">
        <v>74.262301300000004</v>
      </c>
      <c r="G7" s="324">
        <v>79.6660989817657</v>
      </c>
      <c r="H7" s="324">
        <v>80.942711902350254</v>
      </c>
      <c r="I7" s="325">
        <v>35.100915829293264</v>
      </c>
      <c r="J7" s="325">
        <v>55.0109213760526</v>
      </c>
      <c r="K7" s="326">
        <v>38.529838075710998</v>
      </c>
      <c r="L7" s="326">
        <v>3.4289222464177342</v>
      </c>
      <c r="M7" s="326">
        <f t="shared" si="0"/>
        <v>3.4289222464177342</v>
      </c>
      <c r="N7" s="324">
        <v>7.9070947002392931</v>
      </c>
      <c r="O7" s="322" t="s">
        <v>1148</v>
      </c>
      <c r="P7" s="325">
        <v>118</v>
      </c>
      <c r="Q7" s="322"/>
      <c r="R7" s="327">
        <v>116.11111111111111</v>
      </c>
      <c r="S7" s="325">
        <v>42</v>
      </c>
      <c r="T7" s="325">
        <v>30</v>
      </c>
      <c r="U7" s="325">
        <v>164</v>
      </c>
      <c r="V7" s="322">
        <v>0.21</v>
      </c>
      <c r="W7" s="325">
        <v>150</v>
      </c>
      <c r="X7" s="322">
        <v>12</v>
      </c>
      <c r="Y7" s="322" t="s">
        <v>1154</v>
      </c>
      <c r="Z7" s="322">
        <v>9</v>
      </c>
      <c r="AA7" s="322" t="s">
        <v>1150</v>
      </c>
      <c r="AB7" s="322">
        <v>0.22</v>
      </c>
      <c r="AC7" s="322">
        <v>2517</v>
      </c>
      <c r="AD7" s="322">
        <v>2517</v>
      </c>
      <c r="AE7" s="322">
        <v>0.7</v>
      </c>
      <c r="AF7" s="322">
        <v>1.45</v>
      </c>
      <c r="AG7" s="322">
        <v>0.39</v>
      </c>
      <c r="AH7" s="322">
        <v>670</v>
      </c>
    </row>
    <row r="8" spans="1:34">
      <c r="A8" s="315" t="s">
        <v>1158</v>
      </c>
      <c r="B8" s="315" t="s">
        <v>1659</v>
      </c>
      <c r="C8" s="316" t="s">
        <v>1661</v>
      </c>
      <c r="D8" s="316" t="s">
        <v>1661</v>
      </c>
      <c r="E8" s="317">
        <v>42.79</v>
      </c>
      <c r="F8" s="317">
        <v>0</v>
      </c>
      <c r="G8" s="317">
        <v>0</v>
      </c>
      <c r="H8" s="317">
        <v>0</v>
      </c>
      <c r="I8" s="318">
        <v>0</v>
      </c>
      <c r="J8" s="318">
        <v>46.264026145952101</v>
      </c>
      <c r="K8" s="319">
        <v>42.001351956610399</v>
      </c>
      <c r="L8" s="319">
        <v>42.001351956610399</v>
      </c>
      <c r="M8" s="319">
        <f t="shared" si="0"/>
        <v>42.001351956610399</v>
      </c>
      <c r="N8" s="317">
        <v>17.972378502233589</v>
      </c>
      <c r="O8" s="315" t="s">
        <v>1168</v>
      </c>
      <c r="P8" s="318">
        <v>120.13</v>
      </c>
      <c r="R8" s="320">
        <v>48.961111111111109</v>
      </c>
      <c r="S8" s="318">
        <v>29.8</v>
      </c>
      <c r="T8" s="318">
        <v>216.51318999999998</v>
      </c>
      <c r="U8" s="318">
        <v>73.061308000000011</v>
      </c>
      <c r="V8" s="315">
        <v>0.28499999999999998</v>
      </c>
      <c r="W8" s="318">
        <v>258.01600000000002</v>
      </c>
      <c r="X8" s="315">
        <v>3</v>
      </c>
      <c r="Y8" s="315" t="s">
        <v>1149</v>
      </c>
      <c r="Z8" s="315">
        <v>0</v>
      </c>
      <c r="AA8" s="315" t="s">
        <v>1157</v>
      </c>
      <c r="AB8" s="315"/>
      <c r="AC8" s="315"/>
      <c r="AD8" s="315"/>
      <c r="AE8" s="315"/>
      <c r="AF8" s="315"/>
      <c r="AG8" s="315"/>
      <c r="AH8" s="315"/>
    </row>
    <row r="9" spans="1:34">
      <c r="A9" s="315" t="s">
        <v>1145</v>
      </c>
      <c r="B9" s="315" t="s">
        <v>1458</v>
      </c>
      <c r="C9" s="316" t="s">
        <v>1459</v>
      </c>
      <c r="D9" s="316" t="s">
        <v>1459</v>
      </c>
      <c r="E9" s="317">
        <v>123.1</v>
      </c>
      <c r="F9" s="317">
        <v>0</v>
      </c>
      <c r="G9" s="317">
        <v>0</v>
      </c>
      <c r="H9" s="317">
        <v>30.487995133189013</v>
      </c>
      <c r="I9" s="318">
        <v>24.766852260917151</v>
      </c>
      <c r="J9" s="318">
        <v>53.615700342170101</v>
      </c>
      <c r="K9" s="319">
        <v>40.176147664562897</v>
      </c>
      <c r="L9" s="319">
        <v>15.409295403645746</v>
      </c>
      <c r="M9" s="319">
        <f t="shared" si="0"/>
        <v>15.409295403645746</v>
      </c>
      <c r="N9" s="317">
        <v>18.96884264188791</v>
      </c>
      <c r="O9" s="315" t="s">
        <v>1168</v>
      </c>
      <c r="P9" s="318">
        <v>122</v>
      </c>
      <c r="R9" s="320">
        <v>50</v>
      </c>
      <c r="S9" s="318">
        <v>28</v>
      </c>
      <c r="T9" s="318">
        <v>72.1785</v>
      </c>
      <c r="U9" s="318">
        <v>118.47113</v>
      </c>
      <c r="V9" s="315">
        <v>0.3</v>
      </c>
      <c r="W9" s="318">
        <v>230</v>
      </c>
      <c r="X9" s="315">
        <v>6</v>
      </c>
      <c r="Y9" s="315" t="s">
        <v>1154</v>
      </c>
      <c r="Z9" s="315">
        <v>2</v>
      </c>
      <c r="AA9" s="315" t="s">
        <v>1150</v>
      </c>
      <c r="AB9" s="315"/>
      <c r="AC9" s="315"/>
      <c r="AD9" s="315"/>
      <c r="AE9" s="315"/>
      <c r="AF9" s="315"/>
      <c r="AG9" s="315"/>
      <c r="AH9" s="315"/>
    </row>
    <row r="10" spans="1:34">
      <c r="A10" s="315" t="s">
        <v>1145</v>
      </c>
      <c r="B10" s="315" t="s">
        <v>1073</v>
      </c>
      <c r="C10" s="316" t="s">
        <v>1470</v>
      </c>
      <c r="D10" s="316" t="s">
        <v>1470</v>
      </c>
      <c r="E10" s="317">
        <v>62.276454999999999</v>
      </c>
      <c r="F10" s="317">
        <v>21.172195200000001</v>
      </c>
      <c r="G10" s="317">
        <v>22.744958315790011</v>
      </c>
      <c r="H10" s="317">
        <v>34.965348863915104</v>
      </c>
      <c r="I10" s="318">
        <v>56.145374466024286</v>
      </c>
      <c r="J10" s="318">
        <v>68.007882549371104</v>
      </c>
      <c r="K10" s="319">
        <v>37.283803745471701</v>
      </c>
      <c r="L10" s="319">
        <v>-18.861570720552585</v>
      </c>
      <c r="M10" s="319">
        <f t="shared" si="0"/>
        <v>0</v>
      </c>
      <c r="N10" s="317">
        <v>0</v>
      </c>
      <c r="O10" s="315" t="s">
        <v>1148</v>
      </c>
      <c r="P10" s="318">
        <v>123</v>
      </c>
      <c r="R10" s="320">
        <v>50.555555555555557</v>
      </c>
      <c r="S10" s="318">
        <v>20</v>
      </c>
      <c r="T10" s="318">
        <v>103</v>
      </c>
      <c r="U10" s="318">
        <v>22</v>
      </c>
      <c r="V10" s="315">
        <v>0.27</v>
      </c>
      <c r="W10" s="318">
        <v>2450</v>
      </c>
      <c r="X10" s="315">
        <v>15</v>
      </c>
      <c r="Y10" s="315" t="s">
        <v>1149</v>
      </c>
      <c r="Z10" s="315">
        <v>0</v>
      </c>
      <c r="AA10" s="315" t="s">
        <v>1150</v>
      </c>
      <c r="AB10" s="315"/>
      <c r="AC10" s="315"/>
      <c r="AD10" s="315"/>
      <c r="AE10" s="315"/>
      <c r="AF10" s="315"/>
      <c r="AG10" s="315"/>
      <c r="AH10" s="315"/>
    </row>
    <row r="11" spans="1:34">
      <c r="A11" s="315" t="s">
        <v>1145</v>
      </c>
      <c r="B11" s="315" t="s">
        <v>1073</v>
      </c>
      <c r="C11" s="316" t="s">
        <v>1471</v>
      </c>
      <c r="D11" s="316" t="s">
        <v>1471</v>
      </c>
      <c r="E11" s="317">
        <v>50.1</v>
      </c>
      <c r="F11" s="317">
        <v>20.538270799999999</v>
      </c>
      <c r="G11" s="317">
        <v>22.794026662419036</v>
      </c>
      <c r="H11" s="317">
        <v>29.320006446971941</v>
      </c>
      <c r="I11" s="318">
        <v>58.522966960023837</v>
      </c>
      <c r="J11" s="318">
        <v>71.456321644819198</v>
      </c>
      <c r="K11" s="319">
        <v>35.279658222519004</v>
      </c>
      <c r="L11" s="319">
        <v>-23.243308737504833</v>
      </c>
      <c r="M11" s="319">
        <f t="shared" si="0"/>
        <v>0</v>
      </c>
      <c r="N11" s="317">
        <v>0</v>
      </c>
      <c r="O11" s="315" t="s">
        <v>1148</v>
      </c>
      <c r="P11" s="318">
        <v>128</v>
      </c>
      <c r="R11" s="320">
        <v>53.333333333333336</v>
      </c>
      <c r="S11" s="318">
        <v>20</v>
      </c>
      <c r="T11" s="318">
        <v>28</v>
      </c>
      <c r="U11" s="318">
        <v>8</v>
      </c>
      <c r="V11" s="315">
        <v>0.25</v>
      </c>
      <c r="W11" s="318">
        <v>2500</v>
      </c>
      <c r="X11" s="315">
        <v>17</v>
      </c>
      <c r="Y11" s="315" t="s">
        <v>1149</v>
      </c>
      <c r="Z11" s="315">
        <v>0</v>
      </c>
      <c r="AA11" s="315" t="s">
        <v>1190</v>
      </c>
      <c r="AB11" s="315"/>
      <c r="AC11" s="315"/>
      <c r="AD11" s="315"/>
      <c r="AE11" s="315"/>
      <c r="AF11" s="315"/>
      <c r="AG11" s="315"/>
      <c r="AH11" s="315"/>
    </row>
    <row r="12" spans="1:34">
      <c r="A12" s="315" t="s">
        <v>1173</v>
      </c>
      <c r="B12" s="315" t="s">
        <v>1753</v>
      </c>
      <c r="C12" s="316" t="s">
        <v>1754</v>
      </c>
      <c r="D12" s="316" t="s">
        <v>1754</v>
      </c>
      <c r="E12" s="317">
        <v>4.3221838295736381</v>
      </c>
      <c r="F12" s="317">
        <v>1.4239999999999999</v>
      </c>
      <c r="G12" s="317">
        <v>1.4239999999999999</v>
      </c>
      <c r="H12" s="317">
        <v>1.4239999999999999</v>
      </c>
      <c r="I12" s="318">
        <v>32.946308073631158</v>
      </c>
      <c r="J12" s="318">
        <v>67.317964036202099</v>
      </c>
      <c r="K12" s="319">
        <v>34.837292643664405</v>
      </c>
      <c r="L12" s="319">
        <v>1.8909845700332468</v>
      </c>
      <c r="M12" s="319">
        <f t="shared" si="0"/>
        <v>1.8909845700332468</v>
      </c>
      <c r="N12" s="317">
        <v>8.1731829305709575E-2</v>
      </c>
      <c r="O12" s="315" t="s">
        <v>1148</v>
      </c>
      <c r="P12" s="318">
        <v>129.375</v>
      </c>
      <c r="R12" s="320">
        <v>54.097222222222221</v>
      </c>
      <c r="S12" s="318">
        <v>20</v>
      </c>
      <c r="T12" s="318">
        <v>30</v>
      </c>
      <c r="U12" s="318">
        <v>68</v>
      </c>
      <c r="V12" s="315">
        <v>0.24</v>
      </c>
      <c r="W12" s="318">
        <v>320</v>
      </c>
      <c r="X12" s="315">
        <v>1</v>
      </c>
      <c r="Y12" s="315" t="s">
        <v>1149</v>
      </c>
      <c r="Z12" s="315">
        <v>0</v>
      </c>
      <c r="AA12" s="315" t="s">
        <v>1157</v>
      </c>
      <c r="AB12" s="315"/>
      <c r="AC12" s="315"/>
      <c r="AD12" s="315"/>
      <c r="AE12" s="315"/>
      <c r="AF12" s="315"/>
      <c r="AG12" s="315"/>
      <c r="AH12" s="315"/>
    </row>
    <row r="13" spans="1:34">
      <c r="A13" s="315" t="s">
        <v>1145</v>
      </c>
      <c r="B13" s="315" t="s">
        <v>663</v>
      </c>
      <c r="C13" s="316" t="s">
        <v>1783</v>
      </c>
      <c r="D13" s="316" t="s">
        <v>1784</v>
      </c>
      <c r="E13" s="317">
        <v>2.494217837444153</v>
      </c>
      <c r="F13" s="317">
        <v>7.8288999999999997E-3</v>
      </c>
      <c r="G13" s="317">
        <v>8.1343000000000006E-3</v>
      </c>
      <c r="H13" s="317">
        <v>8.1343000000000006E-3</v>
      </c>
      <c r="I13" s="318">
        <v>0.3261262860799396</v>
      </c>
      <c r="J13" s="318">
        <v>75.081900098017002</v>
      </c>
      <c r="K13" s="319">
        <v>30.936391365386299</v>
      </c>
      <c r="L13" s="319">
        <v>30.610265079306359</v>
      </c>
      <c r="M13" s="319">
        <f t="shared" si="0"/>
        <v>30.610265079306359</v>
      </c>
      <c r="N13" s="317">
        <v>0.76348669169699779</v>
      </c>
      <c r="O13" s="315" t="s">
        <v>1148</v>
      </c>
      <c r="P13" s="318">
        <v>130</v>
      </c>
      <c r="R13" s="320">
        <v>54.444444444444443</v>
      </c>
      <c r="S13" s="318">
        <v>21</v>
      </c>
      <c r="T13" s="318">
        <v>12.82</v>
      </c>
      <c r="U13" s="318">
        <v>141.083</v>
      </c>
      <c r="V13" s="315">
        <v>0.3</v>
      </c>
      <c r="W13" s="318">
        <v>114.04</v>
      </c>
      <c r="X13" s="315">
        <v>0</v>
      </c>
      <c r="Y13" s="315" t="s">
        <v>1149</v>
      </c>
      <c r="Z13" s="315">
        <v>0</v>
      </c>
      <c r="AA13" s="315" t="s">
        <v>1190</v>
      </c>
      <c r="AB13" s="315"/>
      <c r="AC13" s="315"/>
      <c r="AD13" s="315"/>
      <c r="AE13" s="315"/>
      <c r="AF13" s="315"/>
      <c r="AG13" s="315"/>
      <c r="AH13" s="315"/>
    </row>
    <row r="14" spans="1:34">
      <c r="A14" s="315" t="s">
        <v>1145</v>
      </c>
      <c r="B14" s="315" t="s">
        <v>663</v>
      </c>
      <c r="C14" s="316" t="s">
        <v>1785</v>
      </c>
      <c r="D14" s="316" t="s">
        <v>1785</v>
      </c>
      <c r="E14" s="317">
        <v>1.7860430700274443</v>
      </c>
      <c r="F14" s="317">
        <v>1.5845634</v>
      </c>
      <c r="G14" s="317">
        <v>1.5845634</v>
      </c>
      <c r="H14" s="317">
        <v>1.5845634</v>
      </c>
      <c r="I14" s="318">
        <v>88.719215487656271</v>
      </c>
      <c r="J14" s="318">
        <v>72.637474732457505</v>
      </c>
      <c r="K14" s="319">
        <v>32.944959497833295</v>
      </c>
      <c r="L14" s="319">
        <v>-55.774255989822976</v>
      </c>
      <c r="M14" s="319">
        <f t="shared" si="0"/>
        <v>0</v>
      </c>
      <c r="N14" s="317">
        <v>0</v>
      </c>
      <c r="O14" s="315" t="s">
        <v>1148</v>
      </c>
      <c r="P14" s="318">
        <v>130</v>
      </c>
      <c r="R14" s="320">
        <v>54.444444444444443</v>
      </c>
      <c r="S14" s="318">
        <v>21</v>
      </c>
      <c r="T14" s="318">
        <v>42.5</v>
      </c>
      <c r="U14" s="318">
        <v>141.083</v>
      </c>
      <c r="V14" s="315">
        <v>0.33</v>
      </c>
      <c r="W14" s="318">
        <v>3000</v>
      </c>
      <c r="X14" s="315">
        <v>0</v>
      </c>
      <c r="Y14" s="315" t="s">
        <v>1149</v>
      </c>
      <c r="Z14" s="315">
        <v>0</v>
      </c>
      <c r="AA14" s="315" t="s">
        <v>1190</v>
      </c>
      <c r="AB14" s="315"/>
      <c r="AC14" s="315"/>
      <c r="AD14" s="315"/>
      <c r="AE14" s="315"/>
      <c r="AF14" s="315"/>
      <c r="AG14" s="315"/>
      <c r="AH14" s="315"/>
    </row>
    <row r="15" spans="1:34">
      <c r="A15" s="315" t="s">
        <v>1145</v>
      </c>
      <c r="B15" s="315" t="s">
        <v>1073</v>
      </c>
      <c r="C15" s="316" t="s">
        <v>1472</v>
      </c>
      <c r="D15" s="316" t="s">
        <v>1472</v>
      </c>
      <c r="E15" s="317">
        <v>90.5</v>
      </c>
      <c r="F15" s="317">
        <v>27.828387899999999</v>
      </c>
      <c r="G15" s="317">
        <v>32.408937242104415</v>
      </c>
      <c r="H15" s="317">
        <v>40.745794021989035</v>
      </c>
      <c r="I15" s="318">
        <v>45.022976819877385</v>
      </c>
      <c r="J15" s="318">
        <v>70.807131965270699</v>
      </c>
      <c r="K15" s="319">
        <v>35.921419279460395</v>
      </c>
      <c r="L15" s="319">
        <v>-9.1015575404169908</v>
      </c>
      <c r="M15" s="319">
        <f t="shared" si="0"/>
        <v>0</v>
      </c>
      <c r="N15" s="317">
        <v>0</v>
      </c>
      <c r="O15" s="315" t="s">
        <v>1148</v>
      </c>
      <c r="P15" s="318">
        <v>132</v>
      </c>
      <c r="R15" s="320">
        <v>55.555555555555557</v>
      </c>
      <c r="S15" s="318">
        <v>20</v>
      </c>
      <c r="T15" s="318">
        <v>62</v>
      </c>
      <c r="U15" s="318">
        <v>24</v>
      </c>
      <c r="V15" s="315">
        <v>0.28999999999999998</v>
      </c>
      <c r="W15" s="318">
        <v>900</v>
      </c>
      <c r="X15" s="315">
        <v>19</v>
      </c>
      <c r="Y15" s="315" t="s">
        <v>1149</v>
      </c>
      <c r="Z15" s="315">
        <v>0</v>
      </c>
      <c r="AA15" s="315" t="s">
        <v>1190</v>
      </c>
      <c r="AB15" s="315"/>
      <c r="AC15" s="315"/>
      <c r="AD15" s="315"/>
      <c r="AE15" s="315"/>
      <c r="AF15" s="315"/>
      <c r="AG15" s="315"/>
      <c r="AH15" s="315"/>
    </row>
    <row r="16" spans="1:34">
      <c r="A16" s="315" t="s">
        <v>1145</v>
      </c>
      <c r="B16" s="315" t="s">
        <v>1762</v>
      </c>
      <c r="C16" s="316" t="s">
        <v>1763</v>
      </c>
      <c r="D16" s="316" t="s">
        <v>1764</v>
      </c>
      <c r="E16" s="317">
        <v>24.830000000000002</v>
      </c>
      <c r="F16" s="317">
        <v>14.378645432249941</v>
      </c>
      <c r="G16" s="317">
        <v>14.684558914294513</v>
      </c>
      <c r="H16" s="317">
        <v>14.859230200173089</v>
      </c>
      <c r="I16" s="318">
        <v>59.843859042179169</v>
      </c>
      <c r="J16" s="318">
        <v>45.346758885414197</v>
      </c>
      <c r="K16" s="319">
        <v>46</v>
      </c>
      <c r="L16" s="319">
        <v>-13.843859042179169</v>
      </c>
      <c r="M16" s="319">
        <f t="shared" si="0"/>
        <v>0</v>
      </c>
      <c r="N16" s="317">
        <v>0</v>
      </c>
      <c r="O16" s="315" t="s">
        <v>1148</v>
      </c>
      <c r="P16" s="318">
        <v>133</v>
      </c>
      <c r="R16" s="320">
        <v>56.111111111111114</v>
      </c>
      <c r="S16" s="318">
        <v>25</v>
      </c>
      <c r="T16" s="318">
        <v>354.33072000000004</v>
      </c>
      <c r="U16" s="318">
        <v>354.33072000000004</v>
      </c>
      <c r="V16" s="315">
        <v>0.26</v>
      </c>
      <c r="W16" s="318">
        <v>300</v>
      </c>
      <c r="X16" s="315">
        <v>15</v>
      </c>
      <c r="Y16" s="315" t="s">
        <v>1149</v>
      </c>
      <c r="Z16" s="315">
        <v>4</v>
      </c>
      <c r="AA16" s="315" t="s">
        <v>1150</v>
      </c>
      <c r="AB16" s="315"/>
      <c r="AC16" s="315"/>
      <c r="AD16" s="315"/>
      <c r="AE16" s="315"/>
      <c r="AF16" s="315"/>
      <c r="AG16" s="315"/>
      <c r="AH16" s="315"/>
    </row>
    <row r="17" spans="1:34">
      <c r="A17" s="315" t="s">
        <v>1145</v>
      </c>
      <c r="B17" s="315" t="s">
        <v>1073</v>
      </c>
      <c r="C17" s="316" t="s">
        <v>1473</v>
      </c>
      <c r="D17" s="316" t="s">
        <v>1473</v>
      </c>
      <c r="E17" s="317">
        <v>155.35</v>
      </c>
      <c r="F17" s="317">
        <v>55.331906400000001</v>
      </c>
      <c r="G17" s="317">
        <v>64.095589568921199</v>
      </c>
      <c r="H17" s="317">
        <v>84.996396508292435</v>
      </c>
      <c r="I17" s="318">
        <v>54.712839722106501</v>
      </c>
      <c r="J17" s="318">
        <v>45.679465889248299</v>
      </c>
      <c r="K17" s="319">
        <v>44.197374293297599</v>
      </c>
      <c r="L17" s="319">
        <v>-10.515465428808902</v>
      </c>
      <c r="M17" s="319">
        <f t="shared" si="0"/>
        <v>0</v>
      </c>
      <c r="N17" s="317">
        <v>0</v>
      </c>
      <c r="O17" s="315" t="s">
        <v>1148</v>
      </c>
      <c r="P17" s="318">
        <v>134</v>
      </c>
      <c r="R17" s="320">
        <v>56.666666666666664</v>
      </c>
      <c r="S17" s="318">
        <v>20</v>
      </c>
      <c r="T17" s="318">
        <v>30</v>
      </c>
      <c r="U17" s="318">
        <v>19</v>
      </c>
      <c r="V17" s="315">
        <v>0.24</v>
      </c>
      <c r="W17" s="318">
        <v>1900</v>
      </c>
      <c r="X17" s="315">
        <v>33</v>
      </c>
      <c r="Y17" s="315" t="s">
        <v>1149</v>
      </c>
      <c r="Z17" s="315">
        <v>0</v>
      </c>
      <c r="AA17" s="315" t="s">
        <v>1150</v>
      </c>
      <c r="AB17" s="315"/>
      <c r="AC17" s="315"/>
      <c r="AD17" s="315"/>
      <c r="AE17" s="315"/>
      <c r="AF17" s="315"/>
      <c r="AG17" s="315"/>
      <c r="AH17" s="315"/>
    </row>
    <row r="18" spans="1:34">
      <c r="A18" s="315" t="s">
        <v>1145</v>
      </c>
      <c r="B18" s="315" t="s">
        <v>1762</v>
      </c>
      <c r="C18" s="316" t="s">
        <v>1765</v>
      </c>
      <c r="D18" s="316" t="s">
        <v>1766</v>
      </c>
      <c r="E18" s="317">
        <v>4.05</v>
      </c>
      <c r="F18" s="317">
        <v>0.30492082940954102</v>
      </c>
      <c r="G18" s="317">
        <v>0.30492082940954102</v>
      </c>
      <c r="H18" s="317">
        <v>0.30492082940954102</v>
      </c>
      <c r="I18" s="318">
        <v>7.5289093681368158</v>
      </c>
      <c r="J18" s="318">
        <v>46.180116756133202</v>
      </c>
      <c r="K18" s="319">
        <v>39.261761470280298</v>
      </c>
      <c r="L18" s="319">
        <v>31.732852102143482</v>
      </c>
      <c r="M18" s="319">
        <f t="shared" si="0"/>
        <v>31.732852102143482</v>
      </c>
      <c r="N18" s="317">
        <v>1.285180510136811</v>
      </c>
      <c r="O18" s="315" t="s">
        <v>1148</v>
      </c>
      <c r="P18" s="318">
        <v>134</v>
      </c>
      <c r="R18" s="320">
        <v>56.666666666666664</v>
      </c>
      <c r="S18" s="318">
        <v>25</v>
      </c>
      <c r="T18" s="318">
        <v>85.301839999999999</v>
      </c>
      <c r="U18" s="318">
        <v>85.301839999999999</v>
      </c>
      <c r="V18" s="315">
        <v>0.18</v>
      </c>
      <c r="W18" s="318">
        <v>5</v>
      </c>
      <c r="X18" s="315">
        <v>1</v>
      </c>
      <c r="Y18" s="315" t="s">
        <v>1149</v>
      </c>
      <c r="Z18" s="315">
        <v>0</v>
      </c>
      <c r="AA18" s="315" t="s">
        <v>1150</v>
      </c>
      <c r="AB18" s="315"/>
      <c r="AC18" s="315"/>
      <c r="AD18" s="315"/>
      <c r="AE18" s="315"/>
      <c r="AF18" s="315"/>
      <c r="AG18" s="315"/>
      <c r="AH18" s="315"/>
    </row>
    <row r="19" spans="1:34">
      <c r="A19" s="315" t="s">
        <v>1161</v>
      </c>
      <c r="B19" s="315" t="s">
        <v>1066</v>
      </c>
      <c r="C19" s="316" t="s">
        <v>1188</v>
      </c>
      <c r="D19" s="316" t="s">
        <v>1189</v>
      </c>
      <c r="E19" s="317">
        <v>29.9</v>
      </c>
      <c r="F19" s="317">
        <v>1.7916493</v>
      </c>
      <c r="G19" s="317">
        <v>1.9532953</v>
      </c>
      <c r="H19" s="317">
        <v>3.2936563999999997</v>
      </c>
      <c r="I19" s="318">
        <v>11.015573244147157</v>
      </c>
      <c r="J19" s="318">
        <v>68.042130992923305</v>
      </c>
      <c r="K19" s="319">
        <v>33.474819444724901</v>
      </c>
      <c r="L19" s="319">
        <v>22.459246200577745</v>
      </c>
      <c r="M19" s="319">
        <f t="shared" si="0"/>
        <v>22.459246200577745</v>
      </c>
      <c r="N19" s="317">
        <v>6.7153146139727458</v>
      </c>
      <c r="O19" s="315" t="s">
        <v>1148</v>
      </c>
      <c r="P19" s="318">
        <v>135</v>
      </c>
      <c r="R19" s="320">
        <v>57.222222222222221</v>
      </c>
      <c r="S19" s="318">
        <v>19</v>
      </c>
      <c r="T19" s="318">
        <v>342.7</v>
      </c>
      <c r="U19" s="318">
        <v>658</v>
      </c>
      <c r="V19" s="315">
        <v>0.28399999999999997</v>
      </c>
      <c r="W19" s="318">
        <v>869.3</v>
      </c>
      <c r="X19" s="315">
        <v>1</v>
      </c>
      <c r="Y19" s="315" t="s">
        <v>1149</v>
      </c>
      <c r="Z19" s="315">
        <v>0</v>
      </c>
      <c r="AA19" s="315" t="s">
        <v>1190</v>
      </c>
      <c r="AB19" s="316">
        <v>0</v>
      </c>
      <c r="AC19" s="316">
        <v>1344</v>
      </c>
      <c r="AD19" s="316">
        <v>1292</v>
      </c>
      <c r="AE19" s="316">
        <v>0.45</v>
      </c>
      <c r="AF19" s="316">
        <v>1.0740000000000001</v>
      </c>
      <c r="AG19" s="316">
        <v>3.3959999999999999</v>
      </c>
      <c r="AH19" s="316">
        <v>146</v>
      </c>
    </row>
    <row r="20" spans="1:34">
      <c r="A20" s="315" t="s">
        <v>1145</v>
      </c>
      <c r="B20" s="315" t="s">
        <v>1762</v>
      </c>
      <c r="C20" s="316" t="s">
        <v>1767</v>
      </c>
      <c r="D20" s="316" t="s">
        <v>1768</v>
      </c>
      <c r="E20" s="317">
        <v>18.010000000000002</v>
      </c>
      <c r="F20" s="317">
        <v>8.0613497383405193</v>
      </c>
      <c r="G20" s="317">
        <v>8.3049922929009465</v>
      </c>
      <c r="H20" s="317">
        <v>8.5644888679823694</v>
      </c>
      <c r="I20" s="318">
        <v>47.554074780579505</v>
      </c>
      <c r="J20" s="318">
        <v>44.6266882576111</v>
      </c>
      <c r="K20" s="319">
        <v>46.221629385012506</v>
      </c>
      <c r="L20" s="319">
        <v>-1.3324453955669995</v>
      </c>
      <c r="M20" s="319">
        <f t="shared" si="0"/>
        <v>0</v>
      </c>
      <c r="N20" s="317">
        <v>0</v>
      </c>
      <c r="O20" s="315" t="s">
        <v>1148</v>
      </c>
      <c r="P20" s="318">
        <v>135</v>
      </c>
      <c r="R20" s="320">
        <v>57.222222222222221</v>
      </c>
      <c r="S20" s="318">
        <v>24.5</v>
      </c>
      <c r="T20" s="318">
        <v>209.97376</v>
      </c>
      <c r="U20" s="318">
        <v>209.97376</v>
      </c>
      <c r="V20" s="315">
        <v>0.24</v>
      </c>
      <c r="W20" s="318">
        <v>400</v>
      </c>
      <c r="X20" s="315">
        <v>11</v>
      </c>
      <c r="Y20" s="315" t="s">
        <v>1149</v>
      </c>
      <c r="Z20" s="315">
        <v>5</v>
      </c>
      <c r="AA20" s="315" t="s">
        <v>1150</v>
      </c>
      <c r="AB20" s="315"/>
      <c r="AC20" s="315"/>
      <c r="AD20" s="315"/>
      <c r="AE20" s="315"/>
      <c r="AF20" s="315"/>
      <c r="AG20" s="315"/>
      <c r="AH20" s="315"/>
    </row>
    <row r="21" spans="1:34">
      <c r="A21" s="315" t="s">
        <v>1145</v>
      </c>
      <c r="B21" s="315" t="s">
        <v>663</v>
      </c>
      <c r="C21" s="316" t="s">
        <v>1786</v>
      </c>
      <c r="D21" s="316" t="s">
        <v>1786</v>
      </c>
      <c r="E21" s="317">
        <v>7.2764400927013879</v>
      </c>
      <c r="F21" s="317">
        <v>2.0327117000000001</v>
      </c>
      <c r="G21" s="317">
        <v>2.1832482</v>
      </c>
      <c r="H21" s="317">
        <v>2.1832482</v>
      </c>
      <c r="I21" s="318">
        <v>30.004345149352645</v>
      </c>
      <c r="J21" s="318">
        <v>74.319217193670099</v>
      </c>
      <c r="K21" s="319">
        <v>31.448525771078799</v>
      </c>
      <c r="L21" s="319">
        <v>1.4441806217261544</v>
      </c>
      <c r="M21" s="319">
        <f t="shared" si="0"/>
        <v>1.4441806217261544</v>
      </c>
      <c r="N21" s="317">
        <v>0.10508493777030607</v>
      </c>
      <c r="O21" s="315" t="s">
        <v>1148</v>
      </c>
      <c r="P21" s="318">
        <v>135</v>
      </c>
      <c r="R21" s="320">
        <v>57.222222222222221</v>
      </c>
      <c r="S21" s="318">
        <v>20</v>
      </c>
      <c r="T21" s="318">
        <v>29.81</v>
      </c>
      <c r="U21" s="318">
        <v>301.85200000000003</v>
      </c>
      <c r="V21" s="315">
        <v>0.27</v>
      </c>
      <c r="W21" s="318">
        <v>697</v>
      </c>
      <c r="X21" s="315">
        <v>1</v>
      </c>
      <c r="Y21" s="315" t="s">
        <v>1149</v>
      </c>
      <c r="Z21" s="315">
        <v>0</v>
      </c>
      <c r="AA21" s="315" t="s">
        <v>1190</v>
      </c>
      <c r="AB21" s="315"/>
      <c r="AC21" s="315"/>
      <c r="AD21" s="315"/>
      <c r="AE21" s="315"/>
      <c r="AF21" s="315"/>
      <c r="AG21" s="315"/>
      <c r="AH21" s="315"/>
    </row>
    <row r="22" spans="1:34">
      <c r="A22" s="315" t="s">
        <v>1145</v>
      </c>
      <c r="B22" s="315" t="s">
        <v>1671</v>
      </c>
      <c r="C22" s="316" t="s">
        <v>1672</v>
      </c>
      <c r="D22" s="316" t="s">
        <v>1673</v>
      </c>
      <c r="E22" s="317">
        <v>322</v>
      </c>
      <c r="F22" s="317">
        <v>0</v>
      </c>
      <c r="G22" s="317">
        <v>0</v>
      </c>
      <c r="H22" s="317">
        <v>33.232925600000002</v>
      </c>
      <c r="I22" s="318">
        <v>10.320784347826088</v>
      </c>
      <c r="J22" s="318">
        <v>50.207646081031001</v>
      </c>
      <c r="K22" s="319">
        <v>40.445519267993603</v>
      </c>
      <c r="L22" s="319">
        <v>30.124734920167516</v>
      </c>
      <c r="M22" s="319">
        <f t="shared" si="0"/>
        <v>30.124734920167516</v>
      </c>
      <c r="N22" s="317">
        <v>97.001646442939403</v>
      </c>
      <c r="O22" s="315" t="s">
        <v>1168</v>
      </c>
      <c r="P22" s="318">
        <v>136</v>
      </c>
      <c r="R22" s="320">
        <v>57.777777777777779</v>
      </c>
      <c r="S22" s="318">
        <v>32</v>
      </c>
      <c r="T22" s="318">
        <v>164.05</v>
      </c>
      <c r="U22" s="318">
        <v>0</v>
      </c>
      <c r="V22" s="315">
        <v>0.28999999999999998</v>
      </c>
      <c r="W22" s="318">
        <v>110</v>
      </c>
      <c r="X22" s="315">
        <v>4</v>
      </c>
      <c r="Y22" s="315" t="s">
        <v>1154</v>
      </c>
      <c r="Z22" s="315">
        <v>3</v>
      </c>
      <c r="AA22" s="315" t="s">
        <v>1157</v>
      </c>
      <c r="AB22" s="315"/>
      <c r="AC22" s="315"/>
      <c r="AD22" s="315"/>
      <c r="AE22" s="315"/>
      <c r="AF22" s="315"/>
      <c r="AG22" s="315"/>
      <c r="AH22" s="315"/>
    </row>
    <row r="23" spans="1:34">
      <c r="A23" s="315" t="s">
        <v>1145</v>
      </c>
      <c r="B23" s="315" t="s">
        <v>1066</v>
      </c>
      <c r="C23" s="316" t="s">
        <v>1191</v>
      </c>
      <c r="D23" s="316" t="s">
        <v>1192</v>
      </c>
      <c r="E23" s="317">
        <v>107.3</v>
      </c>
      <c r="F23" s="317">
        <v>21.8512615</v>
      </c>
      <c r="G23" s="317">
        <v>24.0135516</v>
      </c>
      <c r="H23" s="317">
        <v>38.194471500000006</v>
      </c>
      <c r="I23" s="318">
        <v>35.595965983224609</v>
      </c>
      <c r="J23" s="318">
        <v>58.995420749961703</v>
      </c>
      <c r="K23" s="319">
        <v>38.729073298654001</v>
      </c>
      <c r="L23" s="319">
        <v>3.1331073154293918</v>
      </c>
      <c r="M23" s="319">
        <f t="shared" si="0"/>
        <v>3.1331073154293918</v>
      </c>
      <c r="N23" s="317">
        <v>3.3618241494557375</v>
      </c>
      <c r="O23" s="315" t="s">
        <v>1148</v>
      </c>
      <c r="P23" s="318">
        <v>137</v>
      </c>
      <c r="R23" s="320">
        <v>58.333333333333336</v>
      </c>
      <c r="S23" s="318">
        <v>20</v>
      </c>
      <c r="T23" s="318">
        <v>300</v>
      </c>
      <c r="U23" s="318">
        <v>638.70000000000005</v>
      </c>
      <c r="V23" s="315">
        <v>0.31</v>
      </c>
      <c r="W23" s="318">
        <v>3705</v>
      </c>
      <c r="X23" s="315">
        <v>7</v>
      </c>
      <c r="Y23" s="315" t="s">
        <v>1149</v>
      </c>
      <c r="Z23" s="315">
        <v>0</v>
      </c>
      <c r="AA23" s="315" t="s">
        <v>1190</v>
      </c>
      <c r="AB23" s="316">
        <v>0</v>
      </c>
      <c r="AC23" s="316">
        <v>1350</v>
      </c>
      <c r="AD23" s="316">
        <v>1382</v>
      </c>
      <c r="AE23" s="316">
        <v>0.6</v>
      </c>
      <c r="AF23" s="316">
        <v>1.0820000000000001</v>
      </c>
      <c r="AG23" s="316">
        <v>2.8370000000000002</v>
      </c>
      <c r="AH23" s="316">
        <v>163</v>
      </c>
    </row>
    <row r="24" spans="1:34">
      <c r="A24" s="315" t="s">
        <v>1145</v>
      </c>
      <c r="B24" s="315" t="s">
        <v>1073</v>
      </c>
      <c r="C24" s="316" t="s">
        <v>1475</v>
      </c>
      <c r="D24" s="316" t="s">
        <v>1475</v>
      </c>
      <c r="E24" s="317">
        <v>3.6338979999999999</v>
      </c>
      <c r="F24" s="317">
        <v>2.8799717999999999</v>
      </c>
      <c r="G24" s="317">
        <v>3.5700761007575563</v>
      </c>
      <c r="H24" s="317">
        <v>3.5700761007575563</v>
      </c>
      <c r="I24" s="318">
        <v>98.243706916307403</v>
      </c>
      <c r="J24" s="318">
        <v>60.422271240047799</v>
      </c>
      <c r="K24" s="319">
        <v>40.810519708903499</v>
      </c>
      <c r="L24" s="319">
        <v>-57.433187207403904</v>
      </c>
      <c r="M24" s="319">
        <f t="shared" si="0"/>
        <v>0</v>
      </c>
      <c r="N24" s="317">
        <v>0</v>
      </c>
      <c r="O24" s="315" t="s">
        <v>1148</v>
      </c>
      <c r="P24" s="318">
        <v>137</v>
      </c>
      <c r="R24" s="320">
        <v>58.333333333333336</v>
      </c>
      <c r="S24" s="318">
        <v>21</v>
      </c>
      <c r="T24" s="318">
        <v>34</v>
      </c>
      <c r="U24" s="318">
        <v>11</v>
      </c>
      <c r="V24" s="315">
        <v>0.27</v>
      </c>
      <c r="W24" s="318">
        <v>1150</v>
      </c>
      <c r="X24" s="315">
        <v>5</v>
      </c>
      <c r="Y24" s="315" t="s">
        <v>1149</v>
      </c>
      <c r="Z24" s="315">
        <v>0</v>
      </c>
      <c r="AA24" s="315" t="s">
        <v>1190</v>
      </c>
      <c r="AB24" s="315"/>
      <c r="AC24" s="315"/>
      <c r="AD24" s="315"/>
      <c r="AE24" s="315"/>
      <c r="AF24" s="315"/>
      <c r="AG24" s="315"/>
      <c r="AH24" s="315"/>
    </row>
    <row r="25" spans="1:34">
      <c r="A25" s="315" t="s">
        <v>1145</v>
      </c>
      <c r="B25" s="315" t="s">
        <v>1066</v>
      </c>
      <c r="C25" s="316" t="s">
        <v>1193</v>
      </c>
      <c r="D25" s="316" t="s">
        <v>1194</v>
      </c>
      <c r="E25" s="317">
        <v>1.2</v>
      </c>
      <c r="F25" s="317">
        <v>0.65198370000000005</v>
      </c>
      <c r="G25" s="317">
        <v>0.71080690000000002</v>
      </c>
      <c r="H25" s="317">
        <v>0.73804110000000001</v>
      </c>
      <c r="I25" s="318">
        <v>61.503425</v>
      </c>
      <c r="J25" s="318">
        <v>0</v>
      </c>
      <c r="K25" s="319">
        <v>0</v>
      </c>
      <c r="L25" s="319">
        <v>-61.503425</v>
      </c>
      <c r="M25" s="319">
        <f t="shared" si="0"/>
        <v>0</v>
      </c>
      <c r="N25" s="317">
        <v>0</v>
      </c>
      <c r="O25" s="315" t="s">
        <v>1148</v>
      </c>
      <c r="P25" s="318">
        <v>138</v>
      </c>
      <c r="R25" s="320">
        <v>58.888888888888886</v>
      </c>
      <c r="S25" s="318">
        <v>19</v>
      </c>
      <c r="T25" s="318">
        <v>126.8</v>
      </c>
      <c r="U25" s="318">
        <v>126.8</v>
      </c>
      <c r="V25" s="315">
        <v>0.29199999999999998</v>
      </c>
      <c r="W25" s="318">
        <v>690.9</v>
      </c>
      <c r="X25" s="315">
        <v>1</v>
      </c>
      <c r="Y25" s="315" t="s">
        <v>1149</v>
      </c>
      <c r="Z25" s="315">
        <v>0</v>
      </c>
      <c r="AA25" s="315" t="s">
        <v>1157</v>
      </c>
      <c r="AB25" s="315"/>
      <c r="AC25" s="315"/>
      <c r="AD25" s="315"/>
      <c r="AE25" s="315"/>
      <c r="AF25" s="315"/>
      <c r="AG25" s="315"/>
      <c r="AH25" s="315"/>
    </row>
    <row r="26" spans="1:34">
      <c r="A26" s="315" t="s">
        <v>1145</v>
      </c>
      <c r="B26" s="315" t="s">
        <v>1066</v>
      </c>
      <c r="C26" s="316" t="s">
        <v>1195</v>
      </c>
      <c r="D26" s="316" t="s">
        <v>1196</v>
      </c>
      <c r="E26" s="317">
        <v>34.2339226</v>
      </c>
      <c r="F26" s="317">
        <v>23.048614799999999</v>
      </c>
      <c r="G26" s="317">
        <v>25.4194304</v>
      </c>
      <c r="H26" s="317">
        <v>33.186415500000003</v>
      </c>
      <c r="I26" s="318">
        <v>96.940148775121685</v>
      </c>
      <c r="J26" s="318">
        <v>65.461075301598996</v>
      </c>
      <c r="K26" s="319">
        <v>35.894609860773905</v>
      </c>
      <c r="L26" s="319">
        <v>-61.04553891434778</v>
      </c>
      <c r="M26" s="319">
        <f t="shared" si="0"/>
        <v>0</v>
      </c>
      <c r="N26" s="317">
        <v>0</v>
      </c>
      <c r="O26" s="315" t="s">
        <v>1148</v>
      </c>
      <c r="P26" s="318">
        <v>139</v>
      </c>
      <c r="R26" s="320">
        <v>59.444444444444443</v>
      </c>
      <c r="S26" s="318">
        <v>19.489999999999998</v>
      </c>
      <c r="T26" s="318">
        <v>243.2</v>
      </c>
      <c r="U26" s="318">
        <v>203</v>
      </c>
      <c r="V26" s="315">
        <v>0.28999999999999998</v>
      </c>
      <c r="W26" s="318">
        <v>1001.3</v>
      </c>
      <c r="X26" s="315">
        <v>6</v>
      </c>
      <c r="Y26" s="315" t="s">
        <v>1149</v>
      </c>
      <c r="Z26" s="315">
        <v>0</v>
      </c>
      <c r="AA26" s="315" t="s">
        <v>1190</v>
      </c>
      <c r="AB26" s="315"/>
      <c r="AC26" s="315"/>
      <c r="AD26" s="315"/>
      <c r="AE26" s="315"/>
      <c r="AF26" s="315"/>
      <c r="AG26" s="315"/>
      <c r="AH26" s="315"/>
    </row>
    <row r="27" spans="1:34">
      <c r="A27" s="315" t="s">
        <v>1145</v>
      </c>
      <c r="B27" s="315" t="s">
        <v>1066</v>
      </c>
      <c r="C27" s="316" t="s">
        <v>1197</v>
      </c>
      <c r="D27" s="316" t="s">
        <v>1198</v>
      </c>
      <c r="E27" s="317">
        <v>48.096531499999998</v>
      </c>
      <c r="F27" s="317">
        <v>36.067542299999999</v>
      </c>
      <c r="G27" s="317">
        <v>39.321625400000002</v>
      </c>
      <c r="H27" s="317">
        <v>45.005622299999999</v>
      </c>
      <c r="I27" s="318">
        <v>93.573529933234383</v>
      </c>
      <c r="J27" s="318">
        <v>60.842343771121897</v>
      </c>
      <c r="K27" s="319">
        <v>36.7132881629473</v>
      </c>
      <c r="L27" s="319">
        <v>-56.860241770287082</v>
      </c>
      <c r="M27" s="319">
        <f t="shared" si="0"/>
        <v>0</v>
      </c>
      <c r="N27" s="317">
        <v>0</v>
      </c>
      <c r="O27" s="315" t="s">
        <v>1148</v>
      </c>
      <c r="P27" s="318">
        <v>139</v>
      </c>
      <c r="R27" s="320">
        <v>59.444444444444443</v>
      </c>
      <c r="S27" s="318">
        <v>19.5</v>
      </c>
      <c r="T27" s="318">
        <v>121.4</v>
      </c>
      <c r="U27" s="318">
        <v>88</v>
      </c>
      <c r="V27" s="315">
        <v>0.31</v>
      </c>
      <c r="W27" s="318">
        <v>1008</v>
      </c>
      <c r="X27" s="315">
        <v>8</v>
      </c>
      <c r="Y27" s="315" t="s">
        <v>1149</v>
      </c>
      <c r="Z27" s="315">
        <v>0</v>
      </c>
      <c r="AA27" s="315" t="s">
        <v>1190</v>
      </c>
      <c r="AB27" s="315"/>
      <c r="AC27" s="315"/>
      <c r="AD27" s="315"/>
      <c r="AE27" s="315"/>
      <c r="AF27" s="315"/>
      <c r="AG27" s="315"/>
      <c r="AH27" s="315"/>
    </row>
    <row r="28" spans="1:34">
      <c r="A28" s="315" t="s">
        <v>1145</v>
      </c>
      <c r="B28" s="315" t="s">
        <v>1066</v>
      </c>
      <c r="C28" s="316" t="s">
        <v>1199</v>
      </c>
      <c r="D28" s="316" t="s">
        <v>1200</v>
      </c>
      <c r="E28" s="317">
        <v>11.2</v>
      </c>
      <c r="F28" s="317">
        <v>0</v>
      </c>
      <c r="G28" s="317">
        <v>0</v>
      </c>
      <c r="H28" s="317">
        <v>0.88419329999999996</v>
      </c>
      <c r="I28" s="318">
        <v>7.8945830357142865</v>
      </c>
      <c r="J28" s="318">
        <v>0</v>
      </c>
      <c r="K28" s="319">
        <v>0</v>
      </c>
      <c r="L28" s="319">
        <v>-7.8945830357142865</v>
      </c>
      <c r="M28" s="319">
        <f t="shared" si="0"/>
        <v>0</v>
      </c>
      <c r="N28" s="317">
        <v>0</v>
      </c>
      <c r="O28" s="315" t="s">
        <v>1168</v>
      </c>
      <c r="P28" s="318">
        <v>140</v>
      </c>
      <c r="R28" s="320">
        <v>60</v>
      </c>
      <c r="S28" s="318">
        <v>19</v>
      </c>
      <c r="T28" s="318">
        <v>90.3</v>
      </c>
      <c r="U28" s="318">
        <v>49.1</v>
      </c>
      <c r="V28" s="315">
        <v>0.309</v>
      </c>
      <c r="W28" s="318">
        <v>1928.7</v>
      </c>
      <c r="X28" s="315">
        <v>0</v>
      </c>
      <c r="Y28" s="315" t="s">
        <v>1149</v>
      </c>
      <c r="Z28" s="315">
        <v>0</v>
      </c>
      <c r="AA28" s="315" t="s">
        <v>1157</v>
      </c>
      <c r="AB28" s="315"/>
      <c r="AC28" s="315"/>
      <c r="AD28" s="315"/>
      <c r="AE28" s="315"/>
      <c r="AF28" s="315"/>
      <c r="AG28" s="315"/>
      <c r="AH28" s="315"/>
    </row>
    <row r="29" spans="1:34">
      <c r="A29" s="315" t="s">
        <v>1209</v>
      </c>
      <c r="B29" s="315" t="s">
        <v>1066</v>
      </c>
      <c r="C29" s="316" t="s">
        <v>1201</v>
      </c>
      <c r="D29" s="316" t="s">
        <v>1202</v>
      </c>
      <c r="E29" s="317">
        <v>16</v>
      </c>
      <c r="F29" s="317">
        <v>5.9701968000000001</v>
      </c>
      <c r="G29" s="317">
        <v>6.5088395000000006</v>
      </c>
      <c r="H29" s="317">
        <v>6.7582223000000008</v>
      </c>
      <c r="I29" s="318">
        <v>42.238889375000007</v>
      </c>
      <c r="J29" s="318">
        <v>0</v>
      </c>
      <c r="K29" s="319">
        <v>0</v>
      </c>
      <c r="L29" s="319">
        <v>-42.238889375000007</v>
      </c>
      <c r="M29" s="319">
        <f t="shared" si="0"/>
        <v>0</v>
      </c>
      <c r="N29" s="317">
        <v>0</v>
      </c>
      <c r="O29" s="315" t="s">
        <v>1148</v>
      </c>
      <c r="P29" s="318">
        <v>140</v>
      </c>
      <c r="R29" s="320">
        <v>60</v>
      </c>
      <c r="S29" s="318">
        <v>19</v>
      </c>
      <c r="T29" s="318">
        <v>384.3</v>
      </c>
      <c r="U29" s="318">
        <v>459</v>
      </c>
      <c r="V29" s="315">
        <v>0.3</v>
      </c>
      <c r="W29" s="318">
        <v>532.5</v>
      </c>
      <c r="X29" s="315">
        <v>1</v>
      </c>
      <c r="Y29" s="315" t="s">
        <v>1149</v>
      </c>
      <c r="Z29" s="315">
        <v>0</v>
      </c>
      <c r="AA29" s="315" t="s">
        <v>1157</v>
      </c>
      <c r="AB29" s="315"/>
      <c r="AC29" s="315"/>
      <c r="AD29" s="315"/>
      <c r="AE29" s="315"/>
      <c r="AF29" s="315"/>
      <c r="AG29" s="315"/>
      <c r="AH29" s="315"/>
    </row>
    <row r="30" spans="1:34">
      <c r="A30" s="315" t="s">
        <v>1145</v>
      </c>
      <c r="B30" s="315" t="s">
        <v>1073</v>
      </c>
      <c r="C30" s="316" t="s">
        <v>1476</v>
      </c>
      <c r="D30" s="316" t="s">
        <v>1476</v>
      </c>
      <c r="E30" s="317">
        <v>124.9</v>
      </c>
      <c r="F30" s="317">
        <v>49.403286899999998</v>
      </c>
      <c r="G30" s="317">
        <v>56.614357245072881</v>
      </c>
      <c r="H30" s="317">
        <v>70.395194958554001</v>
      </c>
      <c r="I30" s="318">
        <v>56.361244962813451</v>
      </c>
      <c r="J30" s="318">
        <v>42.920263080771598</v>
      </c>
      <c r="K30" s="319">
        <v>44.811094421291301</v>
      </c>
      <c r="L30" s="319">
        <v>-11.55015054152215</v>
      </c>
      <c r="M30" s="319">
        <f t="shared" si="0"/>
        <v>0</v>
      </c>
      <c r="N30" s="317">
        <v>0</v>
      </c>
      <c r="O30" s="315" t="s">
        <v>1148</v>
      </c>
      <c r="P30" s="318">
        <v>140</v>
      </c>
      <c r="R30" s="320">
        <v>60</v>
      </c>
      <c r="S30" s="318">
        <v>20</v>
      </c>
      <c r="T30" s="318">
        <v>37</v>
      </c>
      <c r="U30" s="318">
        <v>19</v>
      </c>
      <c r="V30" s="315">
        <v>0.26</v>
      </c>
      <c r="W30" s="318">
        <v>2400</v>
      </c>
      <c r="X30" s="315">
        <v>24</v>
      </c>
      <c r="Y30" s="315" t="s">
        <v>1149</v>
      </c>
      <c r="Z30" s="315">
        <v>0</v>
      </c>
      <c r="AA30" s="315" t="s">
        <v>1190</v>
      </c>
      <c r="AB30" s="315"/>
      <c r="AC30" s="315"/>
      <c r="AD30" s="315"/>
      <c r="AE30" s="315"/>
      <c r="AF30" s="315"/>
      <c r="AG30" s="315"/>
      <c r="AH30" s="315"/>
    </row>
    <row r="31" spans="1:34">
      <c r="A31" s="315" t="s">
        <v>1145</v>
      </c>
      <c r="B31" s="315" t="s">
        <v>663</v>
      </c>
      <c r="C31" s="316" t="s">
        <v>1787</v>
      </c>
      <c r="D31" s="316" t="s">
        <v>1788</v>
      </c>
      <c r="E31" s="317">
        <v>3.9258061737282723</v>
      </c>
      <c r="F31" s="317">
        <v>0.20504059999999999</v>
      </c>
      <c r="G31" s="317">
        <v>0.20504059999999999</v>
      </c>
      <c r="H31" s="317">
        <v>0.20504059999999999</v>
      </c>
      <c r="I31" s="318">
        <v>5.2228915775858686</v>
      </c>
      <c r="J31" s="318">
        <v>78.529936104335803</v>
      </c>
      <c r="K31" s="319">
        <v>28.5763329412483</v>
      </c>
      <c r="L31" s="319">
        <v>23.35344136366243</v>
      </c>
      <c r="M31" s="319">
        <f t="shared" si="0"/>
        <v>23.35344136366243</v>
      </c>
      <c r="N31" s="317">
        <v>0.91681084283267178</v>
      </c>
      <c r="O31" s="315" t="s">
        <v>1148</v>
      </c>
      <c r="P31" s="318">
        <v>140.1414</v>
      </c>
      <c r="R31" s="320">
        <v>60.078555555555553</v>
      </c>
      <c r="S31" s="318">
        <v>19</v>
      </c>
      <c r="T31" s="318">
        <v>19</v>
      </c>
      <c r="U31" s="318">
        <v>301.85200000000003</v>
      </c>
      <c r="V31" s="315">
        <v>0.27500000000000002</v>
      </c>
      <c r="W31" s="318">
        <v>1174</v>
      </c>
      <c r="X31" s="315">
        <v>0</v>
      </c>
      <c r="Y31" s="315" t="s">
        <v>1149</v>
      </c>
      <c r="Z31" s="315">
        <v>0</v>
      </c>
      <c r="AA31" s="315" t="s">
        <v>1190</v>
      </c>
      <c r="AB31" s="315"/>
      <c r="AC31" s="315"/>
      <c r="AD31" s="315"/>
      <c r="AE31" s="315"/>
      <c r="AF31" s="315"/>
      <c r="AG31" s="315"/>
      <c r="AH31" s="315"/>
    </row>
    <row r="32" spans="1:34">
      <c r="A32" s="315" t="s">
        <v>1161</v>
      </c>
      <c r="B32" s="315" t="s">
        <v>1066</v>
      </c>
      <c r="C32" s="316" t="s">
        <v>1203</v>
      </c>
      <c r="D32" s="316" t="s">
        <v>1204</v>
      </c>
      <c r="E32" s="317">
        <v>1.03</v>
      </c>
      <c r="F32" s="317">
        <v>0</v>
      </c>
      <c r="G32" s="317">
        <v>0</v>
      </c>
      <c r="H32" s="317">
        <v>0.2047755</v>
      </c>
      <c r="I32" s="318">
        <v>19.881116504854369</v>
      </c>
      <c r="J32" s="318">
        <v>0</v>
      </c>
      <c r="K32" s="319">
        <v>0</v>
      </c>
      <c r="L32" s="319">
        <v>-19.881116504854369</v>
      </c>
      <c r="M32" s="319">
        <f t="shared" si="0"/>
        <v>0</v>
      </c>
      <c r="N32" s="317">
        <v>0</v>
      </c>
      <c r="O32" s="315" t="s">
        <v>1168</v>
      </c>
      <c r="P32" s="318">
        <v>141</v>
      </c>
      <c r="R32" s="320">
        <v>60.555555555555557</v>
      </c>
      <c r="S32" s="318">
        <v>25</v>
      </c>
      <c r="T32" s="318">
        <v>24.95</v>
      </c>
      <c r="U32" s="318">
        <v>24.95</v>
      </c>
      <c r="V32" s="315">
        <v>0.3</v>
      </c>
      <c r="W32" s="318">
        <v>521.02</v>
      </c>
      <c r="X32" s="315">
        <v>0</v>
      </c>
      <c r="Y32" s="315" t="s">
        <v>1149</v>
      </c>
      <c r="Z32" s="315">
        <v>0</v>
      </c>
      <c r="AA32" s="315" t="s">
        <v>1190</v>
      </c>
      <c r="AB32" s="316">
        <v>0</v>
      </c>
      <c r="AC32" s="316">
        <v>1598</v>
      </c>
      <c r="AD32" s="316">
        <v>1546</v>
      </c>
      <c r="AE32" s="316">
        <v>0.21</v>
      </c>
      <c r="AF32" s="316">
        <v>1.1100000000000001</v>
      </c>
      <c r="AG32" s="316">
        <v>1.5549999999999999</v>
      </c>
      <c r="AH32" s="316">
        <v>219</v>
      </c>
    </row>
    <row r="33" spans="1:34">
      <c r="A33" s="315" t="s">
        <v>1145</v>
      </c>
      <c r="B33" s="315" t="s">
        <v>1066</v>
      </c>
      <c r="C33" s="316" t="s">
        <v>1205</v>
      </c>
      <c r="D33" s="316" t="s">
        <v>1206</v>
      </c>
      <c r="E33" s="317">
        <v>3.76</v>
      </c>
      <c r="F33" s="317">
        <v>0</v>
      </c>
      <c r="G33" s="317">
        <v>0</v>
      </c>
      <c r="H33" s="317">
        <v>1.2643185000000001</v>
      </c>
      <c r="I33" s="318">
        <v>33.6254920212766</v>
      </c>
      <c r="J33" s="318">
        <v>77.674671249849794</v>
      </c>
      <c r="K33" s="319">
        <v>30.663324485994099</v>
      </c>
      <c r="L33" s="319">
        <v>-2.9621675352825001</v>
      </c>
      <c r="M33" s="319">
        <f t="shared" si="0"/>
        <v>0</v>
      </c>
      <c r="N33" s="317">
        <v>0</v>
      </c>
      <c r="O33" s="315" t="s">
        <v>1168</v>
      </c>
      <c r="P33" s="318">
        <v>141</v>
      </c>
      <c r="R33" s="320">
        <v>60.555555555555557</v>
      </c>
      <c r="S33" s="318">
        <v>25</v>
      </c>
      <c r="T33" s="318">
        <v>259.60000000000002</v>
      </c>
      <c r="U33" s="318">
        <v>259.60000000000002</v>
      </c>
      <c r="V33" s="315">
        <v>0.28999999999999998</v>
      </c>
      <c r="W33" s="318">
        <v>1028</v>
      </c>
      <c r="X33" s="315">
        <v>1</v>
      </c>
      <c r="Y33" s="315" t="s">
        <v>1149</v>
      </c>
      <c r="Z33" s="315">
        <v>0</v>
      </c>
      <c r="AA33" s="315" t="s">
        <v>1190</v>
      </c>
      <c r="AB33" s="316">
        <v>0</v>
      </c>
      <c r="AC33" s="316">
        <v>1598</v>
      </c>
      <c r="AD33" s="316">
        <v>1546</v>
      </c>
      <c r="AE33" s="316">
        <v>0.3</v>
      </c>
      <c r="AF33" s="316">
        <v>1.3029999999999999</v>
      </c>
      <c r="AG33" s="316">
        <v>0.79300000000000004</v>
      </c>
      <c r="AH33" s="316">
        <v>219</v>
      </c>
    </row>
    <row r="34" spans="1:34">
      <c r="A34" s="315" t="s">
        <v>1145</v>
      </c>
      <c r="B34" s="315" t="s">
        <v>1066</v>
      </c>
      <c r="C34" s="316" t="s">
        <v>1207</v>
      </c>
      <c r="D34" s="316" t="s">
        <v>1208</v>
      </c>
      <c r="E34" s="317">
        <v>6.78</v>
      </c>
      <c r="F34" s="317">
        <v>2.2105253</v>
      </c>
      <c r="G34" s="317">
        <v>2.4099632</v>
      </c>
      <c r="H34" s="317">
        <v>2.7936580000000002</v>
      </c>
      <c r="I34" s="318">
        <v>41.204395280235993</v>
      </c>
      <c r="J34" s="318">
        <v>0</v>
      </c>
      <c r="K34" s="319">
        <v>0</v>
      </c>
      <c r="L34" s="319">
        <v>-41.204395280235993</v>
      </c>
      <c r="M34" s="319">
        <f t="shared" si="0"/>
        <v>0</v>
      </c>
      <c r="N34" s="317">
        <v>0</v>
      </c>
      <c r="O34" s="315" t="s">
        <v>1148</v>
      </c>
      <c r="P34" s="318">
        <v>141</v>
      </c>
      <c r="R34" s="320">
        <v>60.555555555555557</v>
      </c>
      <c r="S34" s="318">
        <v>19</v>
      </c>
      <c r="T34" s="318">
        <v>82.3</v>
      </c>
      <c r="U34" s="318">
        <v>112.8</v>
      </c>
      <c r="V34" s="315">
        <v>0.317</v>
      </c>
      <c r="W34" s="318">
        <v>2023.2</v>
      </c>
      <c r="X34" s="315">
        <v>1</v>
      </c>
      <c r="Y34" s="315" t="s">
        <v>1149</v>
      </c>
      <c r="Z34" s="315">
        <v>0</v>
      </c>
      <c r="AA34" s="315" t="s">
        <v>1157</v>
      </c>
      <c r="AB34" s="315"/>
      <c r="AC34" s="315"/>
      <c r="AD34" s="315"/>
      <c r="AE34" s="315"/>
      <c r="AF34" s="315"/>
      <c r="AG34" s="315"/>
      <c r="AH34" s="315"/>
    </row>
    <row r="35" spans="1:34">
      <c r="A35" s="315" t="s">
        <v>1222</v>
      </c>
      <c r="B35" s="315" t="s">
        <v>1647</v>
      </c>
      <c r="C35" s="316" t="s">
        <v>1648</v>
      </c>
      <c r="D35" s="316" t="s">
        <v>1648</v>
      </c>
      <c r="E35" s="317">
        <v>79.5</v>
      </c>
      <c r="F35" s="317">
        <v>0</v>
      </c>
      <c r="G35" s="317">
        <v>0</v>
      </c>
      <c r="H35" s="317">
        <v>0</v>
      </c>
      <c r="I35" s="318">
        <v>0</v>
      </c>
      <c r="J35" s="318">
        <v>49.945682484710098</v>
      </c>
      <c r="K35" s="319">
        <v>40.964125959821203</v>
      </c>
      <c r="L35" s="319">
        <v>40.964125959821203</v>
      </c>
      <c r="M35" s="319">
        <f t="shared" si="0"/>
        <v>40.964125959821203</v>
      </c>
      <c r="N35" s="317">
        <v>32.566480138057855</v>
      </c>
      <c r="O35" s="315" t="s">
        <v>1168</v>
      </c>
      <c r="P35" s="318">
        <v>141</v>
      </c>
      <c r="R35" s="320">
        <v>60.555555555555557</v>
      </c>
      <c r="S35" s="318">
        <v>30.6</v>
      </c>
      <c r="T35" s="318">
        <v>185.69554400000001</v>
      </c>
      <c r="U35" s="318">
        <v>45.603676</v>
      </c>
      <c r="V35" s="315">
        <v>0.28000000000000003</v>
      </c>
      <c r="W35" s="318">
        <v>2250</v>
      </c>
      <c r="X35" s="315">
        <v>10</v>
      </c>
      <c r="Y35" s="315" t="s">
        <v>1440</v>
      </c>
      <c r="Z35" s="315">
        <v>3</v>
      </c>
      <c r="AA35" s="315" t="s">
        <v>1157</v>
      </c>
      <c r="AB35" s="315"/>
      <c r="AC35" s="315"/>
      <c r="AD35" s="315"/>
      <c r="AE35" s="315"/>
      <c r="AF35" s="315"/>
      <c r="AG35" s="315"/>
      <c r="AH35" s="315"/>
    </row>
    <row r="36" spans="1:34">
      <c r="A36" s="315" t="s">
        <v>1145</v>
      </c>
      <c r="B36" s="315" t="s">
        <v>663</v>
      </c>
      <c r="C36" s="316" t="s">
        <v>1789</v>
      </c>
      <c r="D36" s="316" t="s">
        <v>1789</v>
      </c>
      <c r="E36" s="317">
        <v>20.489573650563177</v>
      </c>
      <c r="F36" s="317">
        <v>8.4318492999999997</v>
      </c>
      <c r="G36" s="317">
        <v>8.5689171999999996</v>
      </c>
      <c r="H36" s="317">
        <v>8.5689171999999996</v>
      </c>
      <c r="I36" s="318">
        <v>41.820866291009793</v>
      </c>
      <c r="J36" s="318">
        <v>67.078165653222001</v>
      </c>
      <c r="K36" s="319">
        <v>37.995691109856601</v>
      </c>
      <c r="L36" s="319">
        <v>-3.8251751811531918</v>
      </c>
      <c r="M36" s="319">
        <f t="shared" si="0"/>
        <v>0</v>
      </c>
      <c r="N36" s="317">
        <v>0</v>
      </c>
      <c r="O36" s="315" t="s">
        <v>1148</v>
      </c>
      <c r="P36" s="318">
        <v>141.1294</v>
      </c>
      <c r="R36" s="320">
        <v>60.62744444444445</v>
      </c>
      <c r="S36" s="318">
        <v>18.899999999999999</v>
      </c>
      <c r="T36" s="318">
        <v>11</v>
      </c>
      <c r="U36" s="318">
        <v>73</v>
      </c>
      <c r="V36" s="315">
        <v>0.21199399999999999</v>
      </c>
      <c r="W36" s="318">
        <v>527.63279999999997</v>
      </c>
      <c r="X36" s="315">
        <v>2</v>
      </c>
      <c r="Y36" s="315" t="s">
        <v>1149</v>
      </c>
      <c r="Z36" s="315">
        <v>0</v>
      </c>
      <c r="AA36" s="315" t="s">
        <v>1150</v>
      </c>
      <c r="AB36" s="315"/>
      <c r="AC36" s="315"/>
      <c r="AD36" s="315"/>
      <c r="AE36" s="315"/>
      <c r="AF36" s="315"/>
      <c r="AG36" s="315"/>
      <c r="AH36" s="315"/>
    </row>
    <row r="37" spans="1:34">
      <c r="A37" s="315" t="s">
        <v>1145</v>
      </c>
      <c r="B37" s="315" t="s">
        <v>1066</v>
      </c>
      <c r="C37" s="316" t="s">
        <v>1210</v>
      </c>
      <c r="D37" s="316" t="s">
        <v>1211</v>
      </c>
      <c r="E37" s="317">
        <v>17.600000000000001</v>
      </c>
      <c r="F37" s="317">
        <v>8.0651311000000003</v>
      </c>
      <c r="G37" s="317">
        <v>8.7927828000000012</v>
      </c>
      <c r="H37" s="317">
        <v>9.1296737000000014</v>
      </c>
      <c r="I37" s="318">
        <v>51.873146022727276</v>
      </c>
      <c r="J37" s="318">
        <v>0</v>
      </c>
      <c r="K37" s="319">
        <v>0</v>
      </c>
      <c r="L37" s="319">
        <v>-51.873146022727276</v>
      </c>
      <c r="M37" s="319">
        <f t="shared" si="0"/>
        <v>0</v>
      </c>
      <c r="N37" s="317">
        <v>0</v>
      </c>
      <c r="O37" s="315" t="s">
        <v>1148</v>
      </c>
      <c r="P37" s="318">
        <v>141.60499999999999</v>
      </c>
      <c r="R37" s="320">
        <v>60.891666666666666</v>
      </c>
      <c r="S37" s="318">
        <v>19</v>
      </c>
      <c r="T37" s="318">
        <v>273.3</v>
      </c>
      <c r="U37" s="318">
        <v>554</v>
      </c>
      <c r="V37" s="315">
        <v>0.28599999999999998</v>
      </c>
      <c r="W37" s="318">
        <v>586.29999999999995</v>
      </c>
      <c r="X37" s="315">
        <v>3</v>
      </c>
      <c r="Y37" s="315" t="s">
        <v>1149</v>
      </c>
      <c r="Z37" s="315">
        <v>0</v>
      </c>
      <c r="AA37" s="315" t="s">
        <v>1150</v>
      </c>
      <c r="AB37" s="315"/>
      <c r="AC37" s="315"/>
      <c r="AD37" s="315"/>
      <c r="AE37" s="315"/>
      <c r="AF37" s="315"/>
      <c r="AG37" s="315"/>
      <c r="AH37" s="315"/>
    </row>
    <row r="38" spans="1:34">
      <c r="A38" s="315" t="s">
        <v>1229</v>
      </c>
      <c r="B38" s="315" t="s">
        <v>1970</v>
      </c>
      <c r="C38" s="316" t="s">
        <v>1971</v>
      </c>
      <c r="D38" s="316" t="s">
        <v>1971</v>
      </c>
      <c r="E38" s="317">
        <v>27.797999999999998</v>
      </c>
      <c r="F38" s="317">
        <v>21.964543599999999</v>
      </c>
      <c r="G38" s="317">
        <v>22.3122471</v>
      </c>
      <c r="H38" s="317">
        <v>22.773005999999999</v>
      </c>
      <c r="I38" s="318">
        <v>81.923181523850644</v>
      </c>
      <c r="J38" s="318">
        <v>68.747467762790905</v>
      </c>
      <c r="K38" s="319">
        <v>35.955359664324298</v>
      </c>
      <c r="L38" s="319">
        <v>-45.967821859526346</v>
      </c>
      <c r="M38" s="319">
        <f t="shared" si="0"/>
        <v>0</v>
      </c>
      <c r="N38" s="317">
        <v>0</v>
      </c>
      <c r="O38" s="315" t="s">
        <v>1148</v>
      </c>
      <c r="P38" s="318">
        <v>142</v>
      </c>
      <c r="R38" s="320">
        <v>61.111111111111114</v>
      </c>
      <c r="S38" s="318">
        <v>27.2</v>
      </c>
      <c r="T38" s="318">
        <v>36</v>
      </c>
      <c r="U38" s="318">
        <v>40</v>
      </c>
      <c r="V38" s="315">
        <v>0.24</v>
      </c>
      <c r="W38" s="318">
        <v>1201</v>
      </c>
      <c r="X38" s="315">
        <v>8</v>
      </c>
      <c r="Y38" s="315" t="s">
        <v>1149</v>
      </c>
      <c r="Z38" s="315">
        <v>0</v>
      </c>
      <c r="AA38" s="315" t="s">
        <v>1150</v>
      </c>
      <c r="AB38" s="315"/>
      <c r="AC38" s="315"/>
      <c r="AD38" s="315"/>
      <c r="AE38" s="315"/>
      <c r="AF38" s="315"/>
      <c r="AG38" s="315"/>
      <c r="AH38" s="315"/>
    </row>
    <row r="39" spans="1:34">
      <c r="A39" s="315" t="s">
        <v>1145</v>
      </c>
      <c r="B39" s="315" t="s">
        <v>1073</v>
      </c>
      <c r="C39" s="316" t="s">
        <v>1477</v>
      </c>
      <c r="D39" s="316" t="s">
        <v>1478</v>
      </c>
      <c r="E39" s="317">
        <v>64.598555000000005</v>
      </c>
      <c r="F39" s="317">
        <v>18.9184777</v>
      </c>
      <c r="G39" s="317">
        <v>22.692378777031486</v>
      </c>
      <c r="H39" s="317">
        <v>25.104245531843993</v>
      </c>
      <c r="I39" s="318">
        <v>38.861930474828718</v>
      </c>
      <c r="J39" s="318">
        <v>54.840810735951599</v>
      </c>
      <c r="K39" s="319">
        <v>42.762525682174399</v>
      </c>
      <c r="L39" s="319">
        <v>3.9005952073456811</v>
      </c>
      <c r="M39" s="319">
        <f t="shared" si="0"/>
        <v>3.9005952073456811</v>
      </c>
      <c r="N39" s="317">
        <v>2.5197281403445642</v>
      </c>
      <c r="O39" s="315" t="s">
        <v>1148</v>
      </c>
      <c r="P39" s="318">
        <v>142</v>
      </c>
      <c r="R39" s="320">
        <v>61.111111111111114</v>
      </c>
      <c r="S39" s="318">
        <v>22</v>
      </c>
      <c r="T39" s="318">
        <v>67</v>
      </c>
      <c r="U39" s="318">
        <v>34</v>
      </c>
      <c r="V39" s="315">
        <v>0.24</v>
      </c>
      <c r="W39" s="318">
        <v>1150</v>
      </c>
      <c r="X39" s="315">
        <v>24</v>
      </c>
      <c r="Y39" s="315" t="s">
        <v>1149</v>
      </c>
      <c r="Z39" s="315">
        <v>0</v>
      </c>
      <c r="AA39" s="315" t="s">
        <v>1190</v>
      </c>
      <c r="AB39" s="315"/>
      <c r="AC39" s="315"/>
      <c r="AD39" s="315"/>
      <c r="AE39" s="315"/>
      <c r="AF39" s="315"/>
      <c r="AG39" s="315"/>
      <c r="AH39" s="315"/>
    </row>
    <row r="40" spans="1:34">
      <c r="A40" s="315" t="s">
        <v>1145</v>
      </c>
      <c r="B40" s="315" t="s">
        <v>663</v>
      </c>
      <c r="C40" s="316" t="s">
        <v>1790</v>
      </c>
      <c r="D40" s="316" t="s">
        <v>1790</v>
      </c>
      <c r="E40" s="317">
        <v>6.0292426739708862</v>
      </c>
      <c r="F40" s="317">
        <v>1.8137821999999999</v>
      </c>
      <c r="G40" s="317">
        <v>1.8757378999999998</v>
      </c>
      <c r="H40" s="317">
        <v>1.8757378999999998</v>
      </c>
      <c r="I40" s="318">
        <v>31.110671794615797</v>
      </c>
      <c r="J40" s="318">
        <v>79.526049834129097</v>
      </c>
      <c r="K40" s="319">
        <v>27.645696035945399</v>
      </c>
      <c r="L40" s="319">
        <v>-3.4649757586703984</v>
      </c>
      <c r="M40" s="319">
        <f t="shared" si="0"/>
        <v>0</v>
      </c>
      <c r="N40" s="317">
        <v>0</v>
      </c>
      <c r="O40" s="315" t="s">
        <v>1148</v>
      </c>
      <c r="P40" s="318">
        <v>142</v>
      </c>
      <c r="R40" s="320">
        <v>61.111111111111114</v>
      </c>
      <c r="S40" s="318">
        <v>19</v>
      </c>
      <c r="T40" s="318">
        <v>56</v>
      </c>
      <c r="U40" s="318">
        <v>206.703</v>
      </c>
      <c r="V40" s="315">
        <v>0.27500000000000002</v>
      </c>
      <c r="W40" s="318">
        <v>1767</v>
      </c>
      <c r="X40" s="315">
        <v>1</v>
      </c>
      <c r="Y40" s="315" t="s">
        <v>1149</v>
      </c>
      <c r="Z40" s="315">
        <v>0</v>
      </c>
      <c r="AA40" s="315" t="s">
        <v>1190</v>
      </c>
      <c r="AB40" s="315"/>
      <c r="AC40" s="315"/>
      <c r="AD40" s="315"/>
      <c r="AE40" s="315"/>
      <c r="AF40" s="315"/>
      <c r="AG40" s="315"/>
      <c r="AH40" s="315"/>
    </row>
    <row r="41" spans="1:34">
      <c r="A41" s="315" t="s">
        <v>1236</v>
      </c>
      <c r="B41" s="315" t="s">
        <v>1066</v>
      </c>
      <c r="C41" s="316" t="s">
        <v>1212</v>
      </c>
      <c r="D41" s="316" t="s">
        <v>1213</v>
      </c>
      <c r="E41" s="317">
        <v>50.720059499999998</v>
      </c>
      <c r="F41" s="317">
        <v>43.922187300000004</v>
      </c>
      <c r="G41" s="317">
        <v>47.989732799999999</v>
      </c>
      <c r="H41" s="317">
        <v>56.113968199999995</v>
      </c>
      <c r="I41" s="318">
        <v>110.63466556067428</v>
      </c>
      <c r="J41" s="318">
        <v>62.296575278888099</v>
      </c>
      <c r="K41" s="319">
        <v>36.3473039984544</v>
      </c>
      <c r="L41" s="319">
        <v>-74.287361562219871</v>
      </c>
      <c r="M41" s="319">
        <f t="shared" si="0"/>
        <v>0</v>
      </c>
      <c r="N41" s="317">
        <v>0</v>
      </c>
      <c r="O41" s="315" t="s">
        <v>1148</v>
      </c>
      <c r="P41" s="318">
        <v>142.19999999999999</v>
      </c>
      <c r="R41" s="320">
        <v>61.222222222222221</v>
      </c>
      <c r="S41" s="318">
        <v>19</v>
      </c>
      <c r="T41" s="318">
        <v>16.268129999999999</v>
      </c>
      <c r="U41" s="318">
        <v>6.9560000000000004</v>
      </c>
      <c r="V41" s="315">
        <v>0.294319</v>
      </c>
      <c r="W41" s="318">
        <v>381.06349999999998</v>
      </c>
      <c r="X41" s="315">
        <v>20</v>
      </c>
      <c r="Y41" s="315" t="s">
        <v>1149</v>
      </c>
      <c r="Z41" s="315">
        <v>0</v>
      </c>
      <c r="AA41" s="315" t="s">
        <v>1190</v>
      </c>
      <c r="AB41" s="315"/>
      <c r="AC41" s="315"/>
      <c r="AD41" s="315"/>
      <c r="AE41" s="315"/>
      <c r="AF41" s="315"/>
      <c r="AG41" s="315"/>
      <c r="AH41" s="315"/>
    </row>
    <row r="42" spans="1:34">
      <c r="A42" s="315" t="s">
        <v>1239</v>
      </c>
      <c r="B42" s="315" t="s">
        <v>1066</v>
      </c>
      <c r="C42" s="316" t="s">
        <v>1214</v>
      </c>
      <c r="D42" s="316" t="s">
        <v>1215</v>
      </c>
      <c r="E42" s="317">
        <v>7.44</v>
      </c>
      <c r="F42" s="317">
        <v>1.5159887000000001</v>
      </c>
      <c r="G42" s="317">
        <v>1.6527641000000002</v>
      </c>
      <c r="H42" s="317">
        <v>2.5173242000000005</v>
      </c>
      <c r="I42" s="318">
        <v>33.835002688172047</v>
      </c>
      <c r="J42" s="318">
        <v>0</v>
      </c>
      <c r="K42" s="319">
        <v>0</v>
      </c>
      <c r="L42" s="319">
        <v>-33.835002688172047</v>
      </c>
      <c r="M42" s="319">
        <f t="shared" si="0"/>
        <v>0</v>
      </c>
      <c r="N42" s="317">
        <v>0</v>
      </c>
      <c r="O42" s="315" t="s">
        <v>1148</v>
      </c>
      <c r="P42" s="318">
        <v>143</v>
      </c>
      <c r="R42" s="320">
        <v>61.666666666666664</v>
      </c>
      <c r="S42" s="318">
        <v>19</v>
      </c>
      <c r="T42" s="318">
        <v>84.6</v>
      </c>
      <c r="U42" s="318">
        <v>113</v>
      </c>
      <c r="V42" s="315">
        <v>0.308</v>
      </c>
      <c r="W42" s="318">
        <v>1921</v>
      </c>
      <c r="X42" s="315">
        <v>1</v>
      </c>
      <c r="Y42" s="315" t="s">
        <v>1149</v>
      </c>
      <c r="Z42" s="315">
        <v>0</v>
      </c>
      <c r="AA42" s="315" t="s">
        <v>1157</v>
      </c>
      <c r="AB42" s="315"/>
      <c r="AC42" s="315"/>
      <c r="AD42" s="315"/>
      <c r="AE42" s="315"/>
      <c r="AF42" s="315"/>
      <c r="AG42" s="315"/>
      <c r="AH42" s="315"/>
    </row>
    <row r="43" spans="1:34">
      <c r="A43" s="315" t="s">
        <v>1222</v>
      </c>
      <c r="B43" s="315" t="s">
        <v>1647</v>
      </c>
      <c r="C43" s="316" t="s">
        <v>1650</v>
      </c>
      <c r="D43" s="316" t="s">
        <v>1650</v>
      </c>
      <c r="E43" s="317">
        <v>62.85</v>
      </c>
      <c r="F43" s="317">
        <v>0</v>
      </c>
      <c r="G43" s="317">
        <v>0</v>
      </c>
      <c r="H43" s="317">
        <v>0</v>
      </c>
      <c r="I43" s="318">
        <v>0</v>
      </c>
      <c r="J43" s="318">
        <v>47.9449597859684</v>
      </c>
      <c r="K43" s="319">
        <v>40.436755648615502</v>
      </c>
      <c r="L43" s="319">
        <v>40.436755648615502</v>
      </c>
      <c r="M43" s="319">
        <f t="shared" si="0"/>
        <v>40.436755648615502</v>
      </c>
      <c r="N43" s="317">
        <v>25.414500925154844</v>
      </c>
      <c r="O43" s="315" t="s">
        <v>1168</v>
      </c>
      <c r="P43" s="318">
        <v>143</v>
      </c>
      <c r="R43" s="320">
        <v>61.666666666666664</v>
      </c>
      <c r="S43" s="318">
        <v>30.6</v>
      </c>
      <c r="T43" s="318">
        <v>134.51444000000001</v>
      </c>
      <c r="U43" s="318">
        <v>52.821524000000004</v>
      </c>
      <c r="V43" s="315">
        <v>0.28000000000000003</v>
      </c>
      <c r="W43" s="318">
        <v>1660</v>
      </c>
      <c r="X43" s="315">
        <v>10</v>
      </c>
      <c r="Y43" s="315" t="s">
        <v>1440</v>
      </c>
      <c r="Z43" s="315">
        <v>3</v>
      </c>
      <c r="AA43" s="315" t="s">
        <v>1157</v>
      </c>
      <c r="AB43" s="315"/>
      <c r="AC43" s="315"/>
      <c r="AD43" s="315"/>
      <c r="AE43" s="315"/>
      <c r="AF43" s="315"/>
      <c r="AG43" s="315"/>
      <c r="AH43" s="315"/>
    </row>
    <row r="44" spans="1:34">
      <c r="A44" s="315" t="s">
        <v>1145</v>
      </c>
      <c r="B44" s="315" t="s">
        <v>1066</v>
      </c>
      <c r="C44" s="316" t="s">
        <v>1216</v>
      </c>
      <c r="D44" s="316" t="s">
        <v>1217</v>
      </c>
      <c r="E44" s="317">
        <v>8.3107120000000005</v>
      </c>
      <c r="F44" s="317">
        <v>0.11569699999999999</v>
      </c>
      <c r="G44" s="317">
        <v>0.1261311</v>
      </c>
      <c r="H44" s="317">
        <v>1.7810557999999999</v>
      </c>
      <c r="I44" s="318">
        <v>21.430844914370752</v>
      </c>
      <c r="J44" s="318">
        <v>65.706218740148799</v>
      </c>
      <c r="K44" s="319">
        <v>35.782455684834801</v>
      </c>
      <c r="L44" s="319">
        <v>14.351610770464049</v>
      </c>
      <c r="M44" s="319">
        <f t="shared" si="0"/>
        <v>14.351610770464049</v>
      </c>
      <c r="N44" s="317">
        <v>1.1927210384942482</v>
      </c>
      <c r="O44" s="315" t="s">
        <v>1148</v>
      </c>
      <c r="P44" s="318">
        <v>144</v>
      </c>
      <c r="R44" s="320">
        <v>62.222222222222221</v>
      </c>
      <c r="S44" s="318">
        <v>26.7</v>
      </c>
      <c r="T44" s="318">
        <v>304.10000000000002</v>
      </c>
      <c r="U44" s="318">
        <v>304.10000000000002</v>
      </c>
      <c r="V44" s="315">
        <v>0.27</v>
      </c>
      <c r="W44" s="318">
        <v>223.7</v>
      </c>
      <c r="X44" s="315">
        <v>2</v>
      </c>
      <c r="Y44" s="315" t="s">
        <v>1149</v>
      </c>
      <c r="Z44" s="315">
        <v>0</v>
      </c>
      <c r="AA44" s="315" t="s">
        <v>1190</v>
      </c>
      <c r="AB44" s="315"/>
      <c r="AC44" s="315"/>
      <c r="AD44" s="315"/>
      <c r="AE44" s="315"/>
      <c r="AF44" s="315"/>
      <c r="AG44" s="315"/>
      <c r="AH44" s="315"/>
    </row>
    <row r="45" spans="1:34">
      <c r="A45" s="315" t="s">
        <v>1145</v>
      </c>
      <c r="B45" s="315" t="s">
        <v>1073</v>
      </c>
      <c r="C45" s="316" t="s">
        <v>1479</v>
      </c>
      <c r="D45" s="316" t="s">
        <v>1480</v>
      </c>
      <c r="E45" s="317">
        <v>28.004038999999999</v>
      </c>
      <c r="F45" s="317">
        <v>6.3171346000000002</v>
      </c>
      <c r="G45" s="317">
        <v>6.7319500635143967</v>
      </c>
      <c r="H45" s="317">
        <v>9.5115974635143967</v>
      </c>
      <c r="I45" s="318">
        <v>33.965091476677337</v>
      </c>
      <c r="J45" s="318">
        <v>53.472206201983099</v>
      </c>
      <c r="K45" s="319">
        <v>40.921313509438697</v>
      </c>
      <c r="L45" s="319">
        <v>6.9562220327613602</v>
      </c>
      <c r="M45" s="319">
        <f t="shared" si="0"/>
        <v>6.9562220327613602</v>
      </c>
      <c r="N45" s="317">
        <v>1.9480231309810838</v>
      </c>
      <c r="O45" s="315" t="s">
        <v>1148</v>
      </c>
      <c r="P45" s="318">
        <v>144</v>
      </c>
      <c r="R45" s="320">
        <v>62.222222222222221</v>
      </c>
      <c r="S45" s="318">
        <v>24</v>
      </c>
      <c r="T45" s="318">
        <v>77</v>
      </c>
      <c r="U45" s="318">
        <v>14</v>
      </c>
      <c r="V45" s="315">
        <v>0.22</v>
      </c>
      <c r="W45" s="318">
        <v>50</v>
      </c>
      <c r="X45" s="315">
        <v>13</v>
      </c>
      <c r="Y45" s="315" t="s">
        <v>1149</v>
      </c>
      <c r="Z45" s="315">
        <v>0</v>
      </c>
      <c r="AA45" s="315" t="s">
        <v>1150</v>
      </c>
      <c r="AB45" s="315"/>
      <c r="AC45" s="315"/>
      <c r="AD45" s="315"/>
      <c r="AE45" s="315"/>
      <c r="AF45" s="315"/>
      <c r="AG45" s="315"/>
      <c r="AH45" s="315"/>
    </row>
    <row r="46" spans="1:34">
      <c r="A46" s="315" t="s">
        <v>1222</v>
      </c>
      <c r="B46" s="315" t="s">
        <v>1647</v>
      </c>
      <c r="C46" s="316" t="s">
        <v>1651</v>
      </c>
      <c r="D46" s="316" t="s">
        <v>1651</v>
      </c>
      <c r="E46" s="317">
        <v>14.51</v>
      </c>
      <c r="F46" s="317">
        <v>0</v>
      </c>
      <c r="G46" s="317">
        <v>0</v>
      </c>
      <c r="H46" s="317">
        <v>0</v>
      </c>
      <c r="I46" s="318">
        <v>0</v>
      </c>
      <c r="J46" s="318">
        <v>50.035215389736003</v>
      </c>
      <c r="K46" s="319">
        <v>39.2832484736429</v>
      </c>
      <c r="L46" s="319">
        <v>39.2832484736429</v>
      </c>
      <c r="M46" s="319">
        <f t="shared" si="0"/>
        <v>39.2832484736429</v>
      </c>
      <c r="N46" s="317">
        <v>5.6999993535255848</v>
      </c>
      <c r="O46" s="315" t="s">
        <v>1168</v>
      </c>
      <c r="P46" s="318">
        <v>144</v>
      </c>
      <c r="R46" s="320">
        <v>62.222222222222221</v>
      </c>
      <c r="S46" s="318">
        <v>30.6</v>
      </c>
      <c r="T46" s="318">
        <v>52.165356000000003</v>
      </c>
      <c r="U46" s="318">
        <v>11.811024</v>
      </c>
      <c r="V46" s="315">
        <v>0.27</v>
      </c>
      <c r="W46" s="318">
        <v>1120</v>
      </c>
      <c r="X46" s="315">
        <v>10</v>
      </c>
      <c r="Y46" s="315" t="s">
        <v>1440</v>
      </c>
      <c r="Z46" s="315">
        <v>3</v>
      </c>
      <c r="AA46" s="315" t="s">
        <v>1157</v>
      </c>
      <c r="AB46" s="315"/>
      <c r="AC46" s="315"/>
      <c r="AD46" s="315"/>
      <c r="AE46" s="315"/>
      <c r="AF46" s="315"/>
      <c r="AG46" s="315"/>
      <c r="AH46" s="315"/>
    </row>
    <row r="47" spans="1:34">
      <c r="A47" s="315" t="s">
        <v>1145</v>
      </c>
      <c r="B47" s="315" t="s">
        <v>1066</v>
      </c>
      <c r="C47" s="316" t="s">
        <v>1218</v>
      </c>
      <c r="D47" s="316" t="s">
        <v>1219</v>
      </c>
      <c r="E47" s="317">
        <v>13.4</v>
      </c>
      <c r="F47" s="317">
        <v>7.1585253999999994</v>
      </c>
      <c r="G47" s="317">
        <v>8.1311949000000006</v>
      </c>
      <c r="H47" s="317">
        <v>8.4301957999999999</v>
      </c>
      <c r="I47" s="318">
        <v>62.911908955223886</v>
      </c>
      <c r="J47" s="318">
        <v>80.367869559520102</v>
      </c>
      <c r="K47" s="319">
        <v>27.829954724642398</v>
      </c>
      <c r="L47" s="319">
        <v>-35.081954230581488</v>
      </c>
      <c r="M47" s="319">
        <f t="shared" si="0"/>
        <v>0</v>
      </c>
      <c r="N47" s="317">
        <v>0</v>
      </c>
      <c r="O47" s="315" t="s">
        <v>1148</v>
      </c>
      <c r="P47" s="318">
        <v>144.5</v>
      </c>
      <c r="R47" s="320">
        <v>62.5</v>
      </c>
      <c r="S47" s="318">
        <v>19</v>
      </c>
      <c r="T47" s="318">
        <v>132.80000000000001</v>
      </c>
      <c r="U47" s="318">
        <v>266</v>
      </c>
      <c r="V47" s="315">
        <v>0.27</v>
      </c>
      <c r="W47" s="318">
        <v>929.7</v>
      </c>
      <c r="X47" s="315">
        <v>2</v>
      </c>
      <c r="Y47" s="315" t="s">
        <v>1149</v>
      </c>
      <c r="Z47" s="315">
        <v>0</v>
      </c>
      <c r="AA47" s="315" t="s">
        <v>1150</v>
      </c>
      <c r="AB47" s="315"/>
      <c r="AC47" s="315"/>
      <c r="AD47" s="315"/>
      <c r="AE47" s="315"/>
      <c r="AF47" s="315"/>
      <c r="AG47" s="315"/>
      <c r="AH47" s="315"/>
    </row>
    <row r="48" spans="1:34">
      <c r="A48" s="315" t="s">
        <v>1145</v>
      </c>
      <c r="B48" s="315" t="s">
        <v>663</v>
      </c>
      <c r="C48" s="316" t="s">
        <v>1791</v>
      </c>
      <c r="D48" s="316" t="s">
        <v>1792</v>
      </c>
      <c r="E48" s="317">
        <v>4.6699206445663641</v>
      </c>
      <c r="F48" s="317">
        <v>0.1750159</v>
      </c>
      <c r="G48" s="317">
        <v>0.1750159</v>
      </c>
      <c r="H48" s="317">
        <v>0.1750159</v>
      </c>
      <c r="I48" s="318">
        <v>3.7477274951906918</v>
      </c>
      <c r="J48" s="318">
        <v>88.6449840969576</v>
      </c>
      <c r="K48" s="319">
        <v>19.962930407739201</v>
      </c>
      <c r="L48" s="319">
        <v>16.215202912548509</v>
      </c>
      <c r="M48" s="319">
        <f t="shared" si="0"/>
        <v>16.215202912548509</v>
      </c>
      <c r="N48" s="317">
        <v>0.75723710837142921</v>
      </c>
      <c r="O48" s="315" t="s">
        <v>1148</v>
      </c>
      <c r="P48" s="318">
        <v>144.53800000000001</v>
      </c>
      <c r="R48" s="320">
        <v>62.521111111111118</v>
      </c>
      <c r="S48" s="318">
        <v>19</v>
      </c>
      <c r="T48" s="318">
        <v>12</v>
      </c>
      <c r="U48" s="318">
        <v>301.85200000000003</v>
      </c>
      <c r="V48" s="315">
        <v>0.255</v>
      </c>
      <c r="W48" s="318">
        <v>41</v>
      </c>
      <c r="X48" s="315">
        <v>0</v>
      </c>
      <c r="Y48" s="315" t="s">
        <v>1149</v>
      </c>
      <c r="Z48" s="315">
        <v>0</v>
      </c>
      <c r="AA48" s="315" t="s">
        <v>1190</v>
      </c>
      <c r="AB48" s="315"/>
      <c r="AC48" s="315"/>
      <c r="AD48" s="315"/>
      <c r="AE48" s="315"/>
      <c r="AF48" s="315"/>
      <c r="AG48" s="315"/>
      <c r="AH48" s="315"/>
    </row>
    <row r="49" spans="1:34">
      <c r="A49" s="315" t="s">
        <v>1145</v>
      </c>
      <c r="B49" s="315" t="s">
        <v>663</v>
      </c>
      <c r="C49" s="316" t="s">
        <v>1793</v>
      </c>
      <c r="D49" s="316" t="s">
        <v>1793</v>
      </c>
      <c r="E49" s="317">
        <v>31.292929379019316</v>
      </c>
      <c r="F49" s="317">
        <v>18.335083000000001</v>
      </c>
      <c r="G49" s="317">
        <v>18.651429200000003</v>
      </c>
      <c r="H49" s="317">
        <v>18.651429200000003</v>
      </c>
      <c r="I49" s="318">
        <v>59.602694826343281</v>
      </c>
      <c r="J49" s="318">
        <v>60.496879459529097</v>
      </c>
      <c r="K49" s="319">
        <v>40.868153801667802</v>
      </c>
      <c r="L49" s="319">
        <v>-18.73454102467548</v>
      </c>
      <c r="M49" s="319">
        <f t="shared" si="0"/>
        <v>0</v>
      </c>
      <c r="N49" s="317">
        <v>0</v>
      </c>
      <c r="O49" s="315" t="s">
        <v>1148</v>
      </c>
      <c r="P49" s="318">
        <v>144.785</v>
      </c>
      <c r="R49" s="320">
        <v>62.658333333333331</v>
      </c>
      <c r="S49" s="318">
        <v>18.5</v>
      </c>
      <c r="T49" s="318">
        <v>19</v>
      </c>
      <c r="U49" s="318">
        <v>92</v>
      </c>
      <c r="V49" s="315">
        <v>0.213009</v>
      </c>
      <c r="W49" s="318">
        <v>530.21569999999997</v>
      </c>
      <c r="X49" s="315">
        <v>0</v>
      </c>
      <c r="Y49" s="315" t="s">
        <v>1149</v>
      </c>
      <c r="Z49" s="315">
        <v>0</v>
      </c>
      <c r="AA49" s="315" t="s">
        <v>1150</v>
      </c>
      <c r="AB49" s="315"/>
      <c r="AC49" s="315"/>
      <c r="AD49" s="315"/>
      <c r="AE49" s="315"/>
      <c r="AF49" s="315"/>
      <c r="AG49" s="315"/>
      <c r="AH49" s="315"/>
    </row>
    <row r="50" spans="1:34">
      <c r="A50" s="315" t="s">
        <v>1229</v>
      </c>
      <c r="B50" s="315" t="s">
        <v>1970</v>
      </c>
      <c r="C50" s="316" t="s">
        <v>1973</v>
      </c>
      <c r="D50" s="316" t="s">
        <v>1973</v>
      </c>
      <c r="E50" s="317">
        <v>72.59</v>
      </c>
      <c r="F50" s="317">
        <v>31.364364699999999</v>
      </c>
      <c r="G50" s="317">
        <v>32.660478599999998</v>
      </c>
      <c r="H50" s="317">
        <v>34.546001499999996</v>
      </c>
      <c r="I50" s="318">
        <v>47.590579280892676</v>
      </c>
      <c r="J50" s="318">
        <v>67.7090105170915</v>
      </c>
      <c r="K50" s="319">
        <v>35.653888360975898</v>
      </c>
      <c r="L50" s="319">
        <v>-11.936690919916778</v>
      </c>
      <c r="M50" s="319">
        <f t="shared" si="0"/>
        <v>0</v>
      </c>
      <c r="N50" s="317">
        <v>0</v>
      </c>
      <c r="O50" s="315" t="s">
        <v>1148</v>
      </c>
      <c r="P50" s="318">
        <v>145</v>
      </c>
      <c r="R50" s="320">
        <v>62.777777777777779</v>
      </c>
      <c r="S50" s="318">
        <v>22.9</v>
      </c>
      <c r="T50" s="318">
        <v>45</v>
      </c>
      <c r="U50" s="318">
        <v>75</v>
      </c>
      <c r="V50" s="315">
        <v>0.28000000000000003</v>
      </c>
      <c r="W50" s="318">
        <v>997</v>
      </c>
      <c r="X50" s="315">
        <v>27</v>
      </c>
      <c r="Y50" s="315" t="s">
        <v>1149</v>
      </c>
      <c r="Z50" s="315">
        <v>0</v>
      </c>
      <c r="AA50" s="315" t="s">
        <v>1150</v>
      </c>
      <c r="AB50" s="315"/>
      <c r="AC50" s="315"/>
      <c r="AD50" s="315"/>
      <c r="AE50" s="315"/>
      <c r="AF50" s="315"/>
      <c r="AG50" s="315"/>
      <c r="AH50" s="315"/>
    </row>
    <row r="51" spans="1:34">
      <c r="A51" s="315" t="s">
        <v>1229</v>
      </c>
      <c r="B51" s="315" t="s">
        <v>1970</v>
      </c>
      <c r="C51" s="316" t="s">
        <v>1974</v>
      </c>
      <c r="D51" s="316" t="s">
        <v>1974</v>
      </c>
      <c r="E51" s="317">
        <v>32.296031300000003</v>
      </c>
      <c r="F51" s="317">
        <v>17.207180099999999</v>
      </c>
      <c r="G51" s="317">
        <v>18.010559399999998</v>
      </c>
      <c r="H51" s="317">
        <v>19.0994125</v>
      </c>
      <c r="I51" s="318">
        <v>59.138574404341746</v>
      </c>
      <c r="J51" s="318">
        <v>65.405488972704703</v>
      </c>
      <c r="K51" s="319">
        <v>36.733334127048501</v>
      </c>
      <c r="L51" s="319">
        <v>-22.405240277293245</v>
      </c>
      <c r="M51" s="319">
        <f t="shared" si="0"/>
        <v>0</v>
      </c>
      <c r="N51" s="317">
        <v>0</v>
      </c>
      <c r="O51" s="315" t="s">
        <v>1148</v>
      </c>
      <c r="P51" s="318">
        <v>145</v>
      </c>
      <c r="R51" s="320">
        <v>62.777777777777779</v>
      </c>
      <c r="S51" s="318">
        <v>27.5</v>
      </c>
      <c r="T51" s="318">
        <v>43</v>
      </c>
      <c r="U51" s="318">
        <v>230</v>
      </c>
      <c r="V51" s="315">
        <v>0.26</v>
      </c>
      <c r="W51" s="318">
        <v>946</v>
      </c>
      <c r="X51" s="315">
        <v>5</v>
      </c>
      <c r="Y51" s="315" t="s">
        <v>1149</v>
      </c>
      <c r="Z51" s="315">
        <v>0</v>
      </c>
      <c r="AA51" s="315" t="s">
        <v>1150</v>
      </c>
      <c r="AB51" s="315"/>
      <c r="AC51" s="315"/>
      <c r="AD51" s="315"/>
      <c r="AE51" s="315"/>
      <c r="AF51" s="315"/>
      <c r="AG51" s="315"/>
      <c r="AH51" s="315"/>
    </row>
    <row r="52" spans="1:34">
      <c r="A52" s="315" t="s">
        <v>1222</v>
      </c>
      <c r="B52" s="315" t="s">
        <v>1647</v>
      </c>
      <c r="C52" s="316" t="s">
        <v>1652</v>
      </c>
      <c r="D52" s="316" t="s">
        <v>1652</v>
      </c>
      <c r="E52" s="317">
        <v>86.2</v>
      </c>
      <c r="F52" s="317">
        <v>0</v>
      </c>
      <c r="G52" s="317">
        <v>0</v>
      </c>
      <c r="H52" s="317">
        <v>0</v>
      </c>
      <c r="I52" s="318">
        <v>0</v>
      </c>
      <c r="J52" s="318">
        <v>54.674557853337497</v>
      </c>
      <c r="K52" s="319">
        <v>39.446112209329002</v>
      </c>
      <c r="L52" s="319">
        <v>39.446112209329002</v>
      </c>
      <c r="M52" s="319">
        <f t="shared" si="0"/>
        <v>39.446112209329002</v>
      </c>
      <c r="N52" s="317">
        <v>34.002548724441603</v>
      </c>
      <c r="O52" s="315" t="s">
        <v>1168</v>
      </c>
      <c r="P52" s="318">
        <v>145</v>
      </c>
      <c r="R52" s="320">
        <v>62.777777777777779</v>
      </c>
      <c r="S52" s="318">
        <v>30</v>
      </c>
      <c r="T52" s="318">
        <v>323.16273999999999</v>
      </c>
      <c r="U52" s="318">
        <v>23.950132</v>
      </c>
      <c r="V52" s="315">
        <v>0.26</v>
      </c>
      <c r="W52" s="318">
        <v>760</v>
      </c>
      <c r="X52" s="315">
        <v>10</v>
      </c>
      <c r="Y52" s="315" t="s">
        <v>1440</v>
      </c>
      <c r="Z52" s="315">
        <v>3</v>
      </c>
      <c r="AA52" s="315" t="s">
        <v>1157</v>
      </c>
      <c r="AB52" s="315"/>
      <c r="AC52" s="315"/>
      <c r="AD52" s="315"/>
      <c r="AE52" s="315"/>
      <c r="AF52" s="315"/>
      <c r="AG52" s="315"/>
      <c r="AH52" s="315"/>
    </row>
    <row r="53" spans="1:34">
      <c r="A53" s="315" t="s">
        <v>1262</v>
      </c>
      <c r="B53" s="315" t="s">
        <v>1777</v>
      </c>
      <c r="C53" s="316" t="s">
        <v>1778</v>
      </c>
      <c r="D53" s="316" t="s">
        <v>1779</v>
      </c>
      <c r="E53" s="317">
        <v>14.6</v>
      </c>
      <c r="F53" s="317">
        <v>4.8960992706456841</v>
      </c>
      <c r="G53" s="317">
        <v>5.8778853532790629</v>
      </c>
      <c r="H53" s="317">
        <v>6.7477943562369047</v>
      </c>
      <c r="I53" s="318">
        <v>46.217769563266472</v>
      </c>
      <c r="J53" s="318">
        <v>47.672861895692002</v>
      </c>
      <c r="K53" s="319">
        <v>46.831064002691804</v>
      </c>
      <c r="L53" s="319">
        <v>0.61329443942533146</v>
      </c>
      <c r="M53" s="319">
        <f t="shared" si="0"/>
        <v>0.61329443942533146</v>
      </c>
      <c r="N53" s="317">
        <v>8.9540988156098386E-2</v>
      </c>
      <c r="O53" s="315" t="s">
        <v>1148</v>
      </c>
      <c r="P53" s="318">
        <v>145</v>
      </c>
      <c r="Q53" s="315">
        <v>3</v>
      </c>
      <c r="R53" s="320">
        <v>62.777777777777779</v>
      </c>
      <c r="S53" s="318">
        <v>20.7</v>
      </c>
      <c r="T53" s="318">
        <v>300</v>
      </c>
      <c r="U53" s="318">
        <v>164</v>
      </c>
      <c r="V53" s="315">
        <v>0.25</v>
      </c>
      <c r="W53" s="318">
        <v>500</v>
      </c>
      <c r="X53" s="315">
        <v>4</v>
      </c>
      <c r="Y53" s="315" t="s">
        <v>1154</v>
      </c>
      <c r="Z53" s="315">
        <v>1</v>
      </c>
      <c r="AA53" s="315" t="s">
        <v>1150</v>
      </c>
      <c r="AB53" s="315"/>
      <c r="AC53" s="315"/>
      <c r="AD53" s="315"/>
      <c r="AE53" s="315"/>
      <c r="AF53" s="315"/>
      <c r="AG53" s="315"/>
      <c r="AH53" s="315"/>
    </row>
    <row r="54" spans="1:34">
      <c r="A54" s="315" t="s">
        <v>1145</v>
      </c>
      <c r="B54" s="315" t="s">
        <v>663</v>
      </c>
      <c r="C54" s="316" t="s">
        <v>1794</v>
      </c>
      <c r="D54" s="316" t="s">
        <v>1794</v>
      </c>
      <c r="E54" s="317">
        <v>8.6278583213534858</v>
      </c>
      <c r="F54" s="317">
        <v>3.6737712999999999</v>
      </c>
      <c r="G54" s="317">
        <v>3.6996881999999998</v>
      </c>
      <c r="H54" s="317">
        <v>3.6996881999999998</v>
      </c>
      <c r="I54" s="318">
        <v>42.880724998038858</v>
      </c>
      <c r="J54" s="318">
        <v>74.354226235731304</v>
      </c>
      <c r="K54" s="319">
        <v>30.966209550748303</v>
      </c>
      <c r="L54" s="319">
        <v>-11.914515447290555</v>
      </c>
      <c r="M54" s="319">
        <f t="shared" si="0"/>
        <v>0</v>
      </c>
      <c r="N54" s="317">
        <v>0</v>
      </c>
      <c r="O54" s="315" t="s">
        <v>1148</v>
      </c>
      <c r="P54" s="318">
        <v>145</v>
      </c>
      <c r="R54" s="320">
        <v>62.777777777777779</v>
      </c>
      <c r="S54" s="318">
        <v>20</v>
      </c>
      <c r="T54" s="318">
        <v>27.53</v>
      </c>
      <c r="U54" s="318">
        <v>302</v>
      </c>
      <c r="V54" s="315">
        <v>0.28499999999999998</v>
      </c>
      <c r="W54" s="318">
        <v>2433</v>
      </c>
      <c r="X54" s="315">
        <v>1</v>
      </c>
      <c r="Y54" s="315" t="s">
        <v>1149</v>
      </c>
      <c r="Z54" s="315">
        <v>0</v>
      </c>
      <c r="AA54" s="315" t="s">
        <v>1190</v>
      </c>
      <c r="AB54" s="315"/>
      <c r="AC54" s="315"/>
      <c r="AD54" s="315"/>
      <c r="AE54" s="315"/>
      <c r="AF54" s="315"/>
      <c r="AG54" s="315"/>
      <c r="AH54" s="315"/>
    </row>
    <row r="55" spans="1:34">
      <c r="A55" s="315" t="s">
        <v>1145</v>
      </c>
      <c r="B55" s="315" t="s">
        <v>1066</v>
      </c>
      <c r="C55" s="316" t="s">
        <v>1220</v>
      </c>
      <c r="D55" s="316" t="s">
        <v>1221</v>
      </c>
      <c r="E55" s="317">
        <v>4.7</v>
      </c>
      <c r="F55" s="317">
        <v>0</v>
      </c>
      <c r="G55" s="317">
        <v>0</v>
      </c>
      <c r="H55" s="317">
        <v>1.5473383000000001</v>
      </c>
      <c r="I55" s="318">
        <v>32.922091489361705</v>
      </c>
      <c r="J55" s="318">
        <v>61.6918824172513</v>
      </c>
      <c r="K55" s="319">
        <v>36.1027205776386</v>
      </c>
      <c r="L55" s="319">
        <v>3.1806290882768948</v>
      </c>
      <c r="M55" s="319">
        <f t="shared" si="0"/>
        <v>3.1806290882768948</v>
      </c>
      <c r="N55" s="317">
        <v>0.14948956714901407</v>
      </c>
      <c r="O55" s="315" t="s">
        <v>1168</v>
      </c>
      <c r="P55" s="318">
        <v>145.5</v>
      </c>
      <c r="R55" s="320">
        <v>63.055555555555557</v>
      </c>
      <c r="S55" s="318">
        <v>19</v>
      </c>
      <c r="T55" s="318">
        <v>205.8</v>
      </c>
      <c r="U55" s="318">
        <v>139.86000000000001</v>
      </c>
      <c r="V55" s="315">
        <v>0.26</v>
      </c>
      <c r="W55" s="318">
        <v>586.4</v>
      </c>
      <c r="X55" s="315">
        <v>0</v>
      </c>
      <c r="Y55" s="315" t="s">
        <v>1149</v>
      </c>
      <c r="Z55" s="315">
        <v>0</v>
      </c>
      <c r="AA55" s="315" t="s">
        <v>1190</v>
      </c>
      <c r="AB55" s="315"/>
      <c r="AC55" s="315"/>
      <c r="AD55" s="315"/>
      <c r="AE55" s="315"/>
      <c r="AF55" s="315"/>
      <c r="AG55" s="315"/>
      <c r="AH55" s="315"/>
    </row>
    <row r="56" spans="1:34">
      <c r="A56" s="315" t="s">
        <v>1145</v>
      </c>
      <c r="B56" s="315" t="s">
        <v>1066</v>
      </c>
      <c r="C56" s="316" t="s">
        <v>1223</v>
      </c>
      <c r="D56" s="316" t="s">
        <v>1224</v>
      </c>
      <c r="E56" s="317">
        <v>21.3</v>
      </c>
      <c r="F56" s="317">
        <v>4.6478080999999998</v>
      </c>
      <c r="G56" s="317">
        <v>5.0671422999999995</v>
      </c>
      <c r="H56" s="317">
        <v>7.0065683999999999</v>
      </c>
      <c r="I56" s="318">
        <v>32.894687323943664</v>
      </c>
      <c r="J56" s="318">
        <v>76.671921927218506</v>
      </c>
      <c r="K56" s="319">
        <v>30.304364419720297</v>
      </c>
      <c r="L56" s="319">
        <v>-2.5903229042233669</v>
      </c>
      <c r="M56" s="319">
        <f t="shared" si="0"/>
        <v>0</v>
      </c>
      <c r="N56" s="317">
        <v>0</v>
      </c>
      <c r="O56" s="315" t="s">
        <v>1148</v>
      </c>
      <c r="P56" s="318">
        <v>146.4</v>
      </c>
      <c r="R56" s="320">
        <v>63.555555555555557</v>
      </c>
      <c r="S56" s="318">
        <v>19</v>
      </c>
      <c r="T56" s="318">
        <v>276</v>
      </c>
      <c r="U56" s="318">
        <v>432.32</v>
      </c>
      <c r="V56" s="315">
        <v>0.28000000000000003</v>
      </c>
      <c r="W56" s="318">
        <v>883.2</v>
      </c>
      <c r="X56" s="315">
        <v>5</v>
      </c>
      <c r="Y56" s="315" t="s">
        <v>1149</v>
      </c>
      <c r="Z56" s="315">
        <v>0</v>
      </c>
      <c r="AA56" s="315" t="s">
        <v>1190</v>
      </c>
      <c r="AB56" s="315">
        <v>0</v>
      </c>
      <c r="AC56" s="315">
        <v>1558</v>
      </c>
      <c r="AD56" s="315">
        <v>1551</v>
      </c>
      <c r="AE56" s="315">
        <v>0.34</v>
      </c>
      <c r="AF56" s="315">
        <v>1.1100000000000001</v>
      </c>
      <c r="AG56" s="315">
        <v>4.97</v>
      </c>
      <c r="AH56" s="315">
        <v>194</v>
      </c>
    </row>
    <row r="57" spans="1:34">
      <c r="A57" s="315" t="s">
        <v>1229</v>
      </c>
      <c r="B57" s="315" t="s">
        <v>1970</v>
      </c>
      <c r="C57" s="316" t="s">
        <v>1975</v>
      </c>
      <c r="D57" s="316" t="s">
        <v>1975</v>
      </c>
      <c r="E57" s="317">
        <v>10.028</v>
      </c>
      <c r="F57" s="317">
        <v>5.8591116999999997</v>
      </c>
      <c r="G57" s="317">
        <v>5.9783733999999997</v>
      </c>
      <c r="H57" s="317">
        <v>6.1364128999999998</v>
      </c>
      <c r="I57" s="318">
        <v>61.192789190267249</v>
      </c>
      <c r="J57" s="318">
        <v>72.926942629130295</v>
      </c>
      <c r="K57" s="319">
        <v>33.5741408685425</v>
      </c>
      <c r="L57" s="319">
        <v>-27.618648321724748</v>
      </c>
      <c r="M57" s="319">
        <f t="shared" si="0"/>
        <v>0</v>
      </c>
      <c r="N57" s="317">
        <v>0</v>
      </c>
      <c r="O57" s="315" t="s">
        <v>1148</v>
      </c>
      <c r="P57" s="318">
        <v>147</v>
      </c>
      <c r="R57" s="320">
        <v>63.888888888888886</v>
      </c>
      <c r="S57" s="318">
        <v>25.5</v>
      </c>
      <c r="T57" s="318">
        <v>20</v>
      </c>
      <c r="U57" s="318">
        <v>55</v>
      </c>
      <c r="V57" s="315">
        <v>0.27</v>
      </c>
      <c r="W57" s="318">
        <v>865</v>
      </c>
      <c r="X57" s="315">
        <v>7</v>
      </c>
      <c r="Y57" s="315" t="s">
        <v>1149</v>
      </c>
      <c r="Z57" s="315">
        <v>0</v>
      </c>
      <c r="AA57" s="315" t="s">
        <v>1150</v>
      </c>
      <c r="AB57" s="315"/>
      <c r="AC57" s="315"/>
      <c r="AD57" s="315"/>
      <c r="AE57" s="315"/>
      <c r="AF57" s="315"/>
      <c r="AG57" s="315"/>
      <c r="AH57" s="315"/>
    </row>
    <row r="58" spans="1:34">
      <c r="A58" s="315" t="s">
        <v>1229</v>
      </c>
      <c r="B58" s="315" t="s">
        <v>1970</v>
      </c>
      <c r="C58" s="316" t="s">
        <v>1976</v>
      </c>
      <c r="D58" s="316" t="s">
        <v>1976</v>
      </c>
      <c r="E58" s="317">
        <v>29.943999999999999</v>
      </c>
      <c r="F58" s="317">
        <v>12.879572699999999</v>
      </c>
      <c r="G58" s="317">
        <v>13.173562599999999</v>
      </c>
      <c r="H58" s="317">
        <v>14.636844099999999</v>
      </c>
      <c r="I58" s="318">
        <v>48.88072435212397</v>
      </c>
      <c r="J58" s="318">
        <v>0</v>
      </c>
      <c r="K58" s="319">
        <v>0</v>
      </c>
      <c r="L58" s="319">
        <v>-48.88072435212397</v>
      </c>
      <c r="M58" s="319">
        <f t="shared" si="0"/>
        <v>0</v>
      </c>
      <c r="N58" s="317">
        <v>0</v>
      </c>
      <c r="O58" s="315" t="s">
        <v>1148</v>
      </c>
      <c r="P58" s="318">
        <v>147</v>
      </c>
      <c r="R58" s="320">
        <v>63.888888888888886</v>
      </c>
      <c r="S58" s="318">
        <v>21.5</v>
      </c>
      <c r="T58" s="318">
        <v>85</v>
      </c>
      <c r="U58" s="318">
        <v>75</v>
      </c>
      <c r="V58" s="315">
        <v>0.23</v>
      </c>
      <c r="W58" s="318">
        <v>300</v>
      </c>
      <c r="X58" s="315">
        <v>16</v>
      </c>
      <c r="Y58" s="315" t="s">
        <v>1149</v>
      </c>
      <c r="Z58" s="315">
        <v>0</v>
      </c>
      <c r="AA58" s="315" t="s">
        <v>1150</v>
      </c>
      <c r="AB58" s="315"/>
      <c r="AC58" s="315"/>
      <c r="AD58" s="315"/>
      <c r="AE58" s="315"/>
      <c r="AF58" s="315"/>
      <c r="AG58" s="315"/>
      <c r="AH58" s="315"/>
    </row>
    <row r="59" spans="1:34">
      <c r="A59" s="315" t="s">
        <v>1229</v>
      </c>
      <c r="B59" s="315" t="s">
        <v>1970</v>
      </c>
      <c r="C59" s="316" t="s">
        <v>1977</v>
      </c>
      <c r="D59" s="316" t="s">
        <v>1977</v>
      </c>
      <c r="E59" s="317">
        <v>24.608000000000001</v>
      </c>
      <c r="F59" s="317">
        <v>10.1281658</v>
      </c>
      <c r="G59" s="317">
        <v>10.282927899999999</v>
      </c>
      <c r="H59" s="317">
        <v>10.488010699999998</v>
      </c>
      <c r="I59" s="318">
        <v>42.620329567620281</v>
      </c>
      <c r="J59" s="318">
        <v>79.845411197743005</v>
      </c>
      <c r="K59" s="319">
        <v>29.250666892146398</v>
      </c>
      <c r="L59" s="319">
        <v>-13.369662675473883</v>
      </c>
      <c r="M59" s="319">
        <f t="shared" si="0"/>
        <v>0</v>
      </c>
      <c r="N59" s="317">
        <v>0</v>
      </c>
      <c r="O59" s="315" t="s">
        <v>1148</v>
      </c>
      <c r="P59" s="318">
        <v>147</v>
      </c>
      <c r="R59" s="320">
        <v>63.888888888888886</v>
      </c>
      <c r="S59" s="318">
        <v>27.5</v>
      </c>
      <c r="T59" s="318">
        <v>59</v>
      </c>
      <c r="U59" s="318">
        <v>210</v>
      </c>
      <c r="V59" s="315">
        <v>0.25</v>
      </c>
      <c r="W59" s="318">
        <v>1300</v>
      </c>
      <c r="X59" s="315">
        <v>5</v>
      </c>
      <c r="Y59" s="315" t="s">
        <v>1149</v>
      </c>
      <c r="Z59" s="315">
        <v>0</v>
      </c>
      <c r="AA59" s="315" t="s">
        <v>1150</v>
      </c>
      <c r="AB59" s="315"/>
      <c r="AC59" s="315"/>
      <c r="AD59" s="315"/>
      <c r="AE59" s="315"/>
      <c r="AF59" s="315"/>
      <c r="AG59" s="315"/>
      <c r="AH59" s="315"/>
    </row>
    <row r="60" spans="1:34">
      <c r="A60" s="315" t="s">
        <v>1277</v>
      </c>
      <c r="B60" s="315" t="s">
        <v>663</v>
      </c>
      <c r="C60" s="316" t="s">
        <v>1795</v>
      </c>
      <c r="D60" s="316" t="s">
        <v>1795</v>
      </c>
      <c r="E60" s="317">
        <v>8.6224594208395224</v>
      </c>
      <c r="F60" s="317">
        <v>0</v>
      </c>
      <c r="G60" s="317">
        <v>0</v>
      </c>
      <c r="H60" s="317">
        <v>0</v>
      </c>
      <c r="I60" s="318">
        <v>0</v>
      </c>
      <c r="J60" s="318">
        <v>85.376408009409801</v>
      </c>
      <c r="K60" s="319">
        <v>21.3583913635279</v>
      </c>
      <c r="L60" s="319">
        <v>21.3583913635279</v>
      </c>
      <c r="M60" s="319">
        <f t="shared" si="0"/>
        <v>21.3583913635279</v>
      </c>
      <c r="N60" s="317">
        <v>1.8416186282642864</v>
      </c>
      <c r="O60" s="315" t="s">
        <v>1168</v>
      </c>
      <c r="P60" s="318">
        <v>147</v>
      </c>
      <c r="R60" s="320">
        <v>63.888888888888886</v>
      </c>
      <c r="S60" s="318">
        <v>20</v>
      </c>
      <c r="T60" s="318">
        <v>19.190000000000001</v>
      </c>
      <c r="U60" s="318">
        <v>243</v>
      </c>
      <c r="V60" s="315">
        <v>0.24</v>
      </c>
      <c r="W60" s="318">
        <v>389</v>
      </c>
      <c r="X60" s="315">
        <v>0</v>
      </c>
      <c r="Y60" s="315" t="s">
        <v>1149</v>
      </c>
      <c r="Z60" s="315">
        <v>0</v>
      </c>
      <c r="AA60" s="315" t="s">
        <v>1150</v>
      </c>
      <c r="AB60" s="315"/>
      <c r="AC60" s="315"/>
      <c r="AD60" s="315"/>
      <c r="AE60" s="315"/>
      <c r="AF60" s="315"/>
      <c r="AG60" s="315"/>
      <c r="AH60" s="315"/>
    </row>
    <row r="61" spans="1:34">
      <c r="A61" s="315" t="s">
        <v>1145</v>
      </c>
      <c r="B61" s="315" t="s">
        <v>663</v>
      </c>
      <c r="C61" s="316" t="s">
        <v>1796</v>
      </c>
      <c r="D61" s="316" t="s">
        <v>1796</v>
      </c>
      <c r="E61" s="317">
        <v>7.6170743251290318</v>
      </c>
      <c r="F61" s="317">
        <v>0</v>
      </c>
      <c r="G61" s="317">
        <v>0</v>
      </c>
      <c r="H61" s="317">
        <v>0</v>
      </c>
      <c r="I61" s="318">
        <v>0</v>
      </c>
      <c r="J61" s="318">
        <v>66.258325918628898</v>
      </c>
      <c r="K61" s="319">
        <v>32.461816922746202</v>
      </c>
      <c r="L61" s="319">
        <v>32.461816922746202</v>
      </c>
      <c r="M61" s="319">
        <f t="shared" si="0"/>
        <v>32.461816922746202</v>
      </c>
      <c r="N61" s="317">
        <v>2.4726407222928919</v>
      </c>
      <c r="O61" s="315" t="s">
        <v>1168</v>
      </c>
      <c r="P61" s="318">
        <v>147</v>
      </c>
      <c r="R61" s="320">
        <v>63.888888888888886</v>
      </c>
      <c r="S61" s="318">
        <v>20</v>
      </c>
      <c r="T61" s="318">
        <v>17.100000000000001</v>
      </c>
      <c r="U61" s="318">
        <v>134</v>
      </c>
      <c r="V61" s="315">
        <v>0.27</v>
      </c>
      <c r="W61" s="318">
        <v>1289</v>
      </c>
      <c r="X61" s="315">
        <v>0</v>
      </c>
      <c r="Y61" s="315" t="s">
        <v>1149</v>
      </c>
      <c r="Z61" s="315">
        <v>0</v>
      </c>
      <c r="AA61" s="315" t="s">
        <v>1150</v>
      </c>
      <c r="AB61" s="315"/>
      <c r="AC61" s="315"/>
      <c r="AD61" s="315"/>
      <c r="AE61" s="315"/>
      <c r="AF61" s="315"/>
      <c r="AG61" s="315"/>
      <c r="AH61" s="315"/>
    </row>
    <row r="62" spans="1:34">
      <c r="A62" s="315" t="s">
        <v>1145</v>
      </c>
      <c r="B62" s="315" t="s">
        <v>1066</v>
      </c>
      <c r="C62" s="316" t="s">
        <v>1225</v>
      </c>
      <c r="D62" s="316" t="s">
        <v>1226</v>
      </c>
      <c r="E62" s="317">
        <v>0.56999999999999995</v>
      </c>
      <c r="F62" s="317">
        <v>0</v>
      </c>
      <c r="G62" s="317">
        <v>0</v>
      </c>
      <c r="H62" s="317">
        <v>0</v>
      </c>
      <c r="I62" s="318">
        <v>0</v>
      </c>
      <c r="J62" s="318">
        <v>0</v>
      </c>
      <c r="K62" s="319">
        <v>0</v>
      </c>
      <c r="L62" s="319">
        <v>0</v>
      </c>
      <c r="M62" s="319">
        <f t="shared" si="0"/>
        <v>0</v>
      </c>
      <c r="N62" s="317">
        <v>0</v>
      </c>
      <c r="O62" s="315" t="s">
        <v>1168</v>
      </c>
      <c r="P62" s="318">
        <v>148</v>
      </c>
      <c r="R62" s="320">
        <v>64.444444444444443</v>
      </c>
      <c r="S62" s="318">
        <v>19</v>
      </c>
      <c r="T62" s="318">
        <v>56.4</v>
      </c>
      <c r="U62" s="318">
        <v>56.4</v>
      </c>
      <c r="V62" s="315">
        <v>0.31</v>
      </c>
      <c r="W62" s="318">
        <v>1008</v>
      </c>
      <c r="X62" s="315">
        <v>0</v>
      </c>
      <c r="Y62" s="315" t="s">
        <v>1149</v>
      </c>
      <c r="Z62" s="315">
        <v>0</v>
      </c>
      <c r="AA62" s="315" t="s">
        <v>1157</v>
      </c>
      <c r="AB62" s="315"/>
      <c r="AC62" s="315"/>
      <c r="AD62" s="315"/>
      <c r="AE62" s="315"/>
      <c r="AF62" s="315"/>
      <c r="AG62" s="315"/>
      <c r="AH62" s="315"/>
    </row>
    <row r="63" spans="1:34">
      <c r="A63" s="315" t="s">
        <v>1229</v>
      </c>
      <c r="B63" s="315" t="s">
        <v>1970</v>
      </c>
      <c r="C63" s="316" t="s">
        <v>1979</v>
      </c>
      <c r="D63" s="316" t="s">
        <v>1979</v>
      </c>
      <c r="E63" s="317">
        <v>23.346</v>
      </c>
      <c r="F63" s="317">
        <v>15.892560700000001</v>
      </c>
      <c r="G63" s="317">
        <v>16.4980166</v>
      </c>
      <c r="H63" s="317">
        <v>17.330373599999998</v>
      </c>
      <c r="I63" s="318">
        <v>74.232731945515283</v>
      </c>
      <c r="J63" s="318">
        <v>72.457472620853594</v>
      </c>
      <c r="K63" s="319">
        <v>33.4179060550995</v>
      </c>
      <c r="L63" s="319">
        <v>-40.814825890415783</v>
      </c>
      <c r="M63" s="319">
        <f t="shared" si="0"/>
        <v>0</v>
      </c>
      <c r="N63" s="317">
        <v>0</v>
      </c>
      <c r="O63" s="315" t="s">
        <v>1148</v>
      </c>
      <c r="P63" s="318">
        <v>148</v>
      </c>
      <c r="R63" s="320">
        <v>64.444444444444443</v>
      </c>
      <c r="S63" s="318">
        <v>26</v>
      </c>
      <c r="T63" s="318">
        <v>39</v>
      </c>
      <c r="U63" s="318">
        <v>106</v>
      </c>
      <c r="V63" s="315">
        <v>0.26</v>
      </c>
      <c r="W63" s="318">
        <v>617</v>
      </c>
      <c r="X63" s="315">
        <v>9</v>
      </c>
      <c r="Y63" s="315" t="s">
        <v>1149</v>
      </c>
      <c r="Z63" s="315">
        <v>0</v>
      </c>
      <c r="AA63" s="315" t="s">
        <v>1150</v>
      </c>
      <c r="AB63" s="315"/>
      <c r="AC63" s="315"/>
      <c r="AD63" s="315"/>
      <c r="AE63" s="315"/>
      <c r="AF63" s="315"/>
      <c r="AG63" s="315"/>
      <c r="AH63" s="315"/>
    </row>
    <row r="64" spans="1:34">
      <c r="A64" s="315" t="s">
        <v>1229</v>
      </c>
      <c r="B64" s="315" t="s">
        <v>1970</v>
      </c>
      <c r="C64" s="316" t="s">
        <v>1980</v>
      </c>
      <c r="D64" s="316" t="s">
        <v>1980</v>
      </c>
      <c r="E64" s="317">
        <v>8.9209999999999994</v>
      </c>
      <c r="F64" s="317">
        <v>4.4923728000000001</v>
      </c>
      <c r="G64" s="317">
        <v>4.5602564000000001</v>
      </c>
      <c r="H64" s="317">
        <v>4.6502122000000004</v>
      </c>
      <c r="I64" s="318">
        <v>52.126579979822893</v>
      </c>
      <c r="J64" s="318">
        <v>71.811704016721293</v>
      </c>
      <c r="K64" s="319">
        <v>34.402857812047401</v>
      </c>
      <c r="L64" s="319">
        <v>-17.723722167775492</v>
      </c>
      <c r="M64" s="319">
        <f t="shared" si="0"/>
        <v>0</v>
      </c>
      <c r="N64" s="317">
        <v>0</v>
      </c>
      <c r="O64" s="315" t="s">
        <v>1148</v>
      </c>
      <c r="P64" s="318">
        <v>148</v>
      </c>
      <c r="R64" s="320">
        <v>64.444444444444443</v>
      </c>
      <c r="S64" s="318">
        <v>29.2</v>
      </c>
      <c r="T64" s="318">
        <v>36</v>
      </c>
      <c r="U64" s="318">
        <v>139</v>
      </c>
      <c r="V64" s="315">
        <v>0.21</v>
      </c>
      <c r="W64" s="318">
        <v>130</v>
      </c>
      <c r="X64" s="315">
        <v>4</v>
      </c>
      <c r="Y64" s="315" t="s">
        <v>1149</v>
      </c>
      <c r="Z64" s="315">
        <v>0</v>
      </c>
      <c r="AA64" s="315" t="s">
        <v>1150</v>
      </c>
      <c r="AB64" s="315"/>
      <c r="AC64" s="315"/>
      <c r="AD64" s="315"/>
      <c r="AE64" s="315"/>
      <c r="AF64" s="315"/>
      <c r="AG64" s="315"/>
      <c r="AH64" s="315"/>
    </row>
    <row r="65" spans="1:27" s="315" customFormat="1">
      <c r="A65" s="315" t="s">
        <v>1222</v>
      </c>
      <c r="B65" s="315" t="s">
        <v>1647</v>
      </c>
      <c r="C65" s="316" t="s">
        <v>1653</v>
      </c>
      <c r="D65" s="316" t="s">
        <v>1653</v>
      </c>
      <c r="E65" s="317">
        <v>60.47</v>
      </c>
      <c r="F65" s="317">
        <v>0</v>
      </c>
      <c r="G65" s="317">
        <v>0</v>
      </c>
      <c r="H65" s="317">
        <v>0</v>
      </c>
      <c r="I65" s="318">
        <v>0</v>
      </c>
      <c r="J65" s="318">
        <v>46.224129375787903</v>
      </c>
      <c r="K65" s="319">
        <v>42.636375178047096</v>
      </c>
      <c r="L65" s="319">
        <v>42.636375178047096</v>
      </c>
      <c r="M65" s="319">
        <f t="shared" si="0"/>
        <v>42.636375178047096</v>
      </c>
      <c r="N65" s="317">
        <v>25.782216070165081</v>
      </c>
      <c r="O65" s="315" t="s">
        <v>1168</v>
      </c>
      <c r="P65" s="318">
        <v>148</v>
      </c>
      <c r="R65" s="320">
        <v>64.444444444444443</v>
      </c>
      <c r="S65" s="318">
        <v>30</v>
      </c>
      <c r="T65" s="318">
        <v>241.79790800000001</v>
      </c>
      <c r="U65" s="318">
        <v>33.792652000000004</v>
      </c>
      <c r="V65" s="315">
        <v>0.26</v>
      </c>
      <c r="W65" s="318">
        <v>730</v>
      </c>
      <c r="X65" s="315">
        <v>10</v>
      </c>
      <c r="Y65" s="315" t="s">
        <v>1440</v>
      </c>
      <c r="Z65" s="315">
        <v>3</v>
      </c>
      <c r="AA65" s="315" t="s">
        <v>1157</v>
      </c>
    </row>
    <row r="66" spans="1:27" s="315" customFormat="1">
      <c r="A66" s="315" t="s">
        <v>1145</v>
      </c>
      <c r="B66" s="315" t="s">
        <v>663</v>
      </c>
      <c r="C66" s="316" t="s">
        <v>1798</v>
      </c>
      <c r="D66" s="316" t="s">
        <v>1799</v>
      </c>
      <c r="E66" s="317">
        <v>3.1610257009228229</v>
      </c>
      <c r="F66" s="317">
        <v>2.1570000000000001E-4</v>
      </c>
      <c r="G66" s="317">
        <v>2.1570000000000001E-4</v>
      </c>
      <c r="H66" s="317">
        <v>2.1570000000000001E-4</v>
      </c>
      <c r="I66" s="318">
        <v>6.8237344586293313E-3</v>
      </c>
      <c r="J66" s="318">
        <v>78.815259499074898</v>
      </c>
      <c r="K66" s="319">
        <v>28.584940269248499</v>
      </c>
      <c r="L66" s="319">
        <v>28.578116534789871</v>
      </c>
      <c r="M66" s="319">
        <f t="shared" si="0"/>
        <v>28.578116534789871</v>
      </c>
      <c r="N66" s="317">
        <v>0.90336160850438263</v>
      </c>
      <c r="O66" s="315" t="s">
        <v>1148</v>
      </c>
      <c r="P66" s="318">
        <v>148</v>
      </c>
      <c r="R66" s="320">
        <v>64.444444444444443</v>
      </c>
      <c r="S66" s="318">
        <v>19.3</v>
      </c>
      <c r="T66" s="318">
        <v>29</v>
      </c>
      <c r="U66" s="318">
        <v>242.79400000000001</v>
      </c>
      <c r="V66" s="315">
        <v>0.3</v>
      </c>
      <c r="W66" s="318">
        <v>1182</v>
      </c>
      <c r="X66" s="315">
        <v>0</v>
      </c>
      <c r="Y66" s="315" t="s">
        <v>1149</v>
      </c>
      <c r="Z66" s="315">
        <v>0</v>
      </c>
      <c r="AA66" s="315" t="s">
        <v>1190</v>
      </c>
    </row>
    <row r="67" spans="1:27" s="315" customFormat="1">
      <c r="A67" s="315" t="s">
        <v>1145</v>
      </c>
      <c r="B67" s="315" t="s">
        <v>663</v>
      </c>
      <c r="C67" s="316" t="s">
        <v>1800</v>
      </c>
      <c r="D67" s="316" t="s">
        <v>1800</v>
      </c>
      <c r="E67" s="317">
        <v>4.1116870914237342</v>
      </c>
      <c r="F67" s="317">
        <v>0</v>
      </c>
      <c r="G67" s="317">
        <v>0</v>
      </c>
      <c r="H67" s="317">
        <v>0</v>
      </c>
      <c r="I67" s="318">
        <v>0</v>
      </c>
      <c r="J67" s="318">
        <v>85.821314385994995</v>
      </c>
      <c r="K67" s="319">
        <v>19.800305786204401</v>
      </c>
      <c r="L67" s="319">
        <v>19.800305786204401</v>
      </c>
      <c r="M67" s="319">
        <f t="shared" ref="M67:M130" si="1">IF(L67&lt;0,0,L67)</f>
        <v>19.800305786204401</v>
      </c>
      <c r="N67" s="317">
        <v>0.81412661707379308</v>
      </c>
      <c r="O67" s="315" t="s">
        <v>1168</v>
      </c>
      <c r="P67" s="318">
        <v>148</v>
      </c>
      <c r="R67" s="320">
        <v>64.444444444444443</v>
      </c>
      <c r="S67" s="318">
        <v>20</v>
      </c>
      <c r="T67" s="318">
        <v>30.9</v>
      </c>
      <c r="U67" s="318">
        <v>92</v>
      </c>
      <c r="V67" s="315">
        <v>0.27500000000000002</v>
      </c>
      <c r="W67" s="318">
        <v>1058</v>
      </c>
      <c r="X67" s="315">
        <v>0</v>
      </c>
      <c r="Y67" s="315" t="s">
        <v>1149</v>
      </c>
      <c r="Z67" s="315">
        <v>0</v>
      </c>
      <c r="AA67" s="315" t="s">
        <v>1150</v>
      </c>
    </row>
    <row r="68" spans="1:27" s="315" customFormat="1">
      <c r="A68" s="315" t="s">
        <v>1145</v>
      </c>
      <c r="B68" s="315" t="s">
        <v>1066</v>
      </c>
      <c r="C68" s="316" t="s">
        <v>1227</v>
      </c>
      <c r="D68" s="316" t="s">
        <v>1228</v>
      </c>
      <c r="E68" s="317">
        <v>7.31</v>
      </c>
      <c r="F68" s="317">
        <v>0</v>
      </c>
      <c r="G68" s="317">
        <v>0</v>
      </c>
      <c r="H68" s="317">
        <v>0.4095511</v>
      </c>
      <c r="I68" s="318">
        <v>5.6026142270861836</v>
      </c>
      <c r="J68" s="318">
        <v>72.503365560358105</v>
      </c>
      <c r="K68" s="319">
        <v>32.986022945715895</v>
      </c>
      <c r="L68" s="319">
        <v>27.38340871862971</v>
      </c>
      <c r="M68" s="319">
        <f t="shared" si="1"/>
        <v>27.38340871862971</v>
      </c>
      <c r="N68" s="317">
        <v>2.0017271773318317</v>
      </c>
      <c r="O68" s="315" t="s">
        <v>1168</v>
      </c>
      <c r="P68" s="318">
        <v>148.1</v>
      </c>
      <c r="R68" s="320">
        <v>64.5</v>
      </c>
      <c r="S68" s="318">
        <v>28.2</v>
      </c>
      <c r="T68" s="318">
        <v>250</v>
      </c>
      <c r="U68" s="318">
        <v>147.5</v>
      </c>
      <c r="V68" s="315">
        <v>0.34</v>
      </c>
      <c r="W68" s="318">
        <v>1232</v>
      </c>
      <c r="X68" s="315">
        <v>1</v>
      </c>
      <c r="Y68" s="315" t="s">
        <v>1149</v>
      </c>
      <c r="Z68" s="315">
        <v>0</v>
      </c>
      <c r="AA68" s="315" t="s">
        <v>1190</v>
      </c>
    </row>
    <row r="69" spans="1:27" s="315" customFormat="1">
      <c r="A69" s="315" t="s">
        <v>1145</v>
      </c>
      <c r="B69" s="315" t="s">
        <v>1066</v>
      </c>
      <c r="C69" s="316" t="s">
        <v>1230</v>
      </c>
      <c r="D69" s="316" t="s">
        <v>1231</v>
      </c>
      <c r="E69" s="317">
        <v>1.07</v>
      </c>
      <c r="F69" s="317">
        <v>2.4640000000000003E-4</v>
      </c>
      <c r="G69" s="317">
        <v>0.16907730000000001</v>
      </c>
      <c r="H69" s="317">
        <v>0.16907730000000001</v>
      </c>
      <c r="I69" s="318">
        <v>15.801616822429907</v>
      </c>
      <c r="J69" s="318">
        <v>77.329974135713996</v>
      </c>
      <c r="K69" s="319">
        <v>30.358189723373304</v>
      </c>
      <c r="L69" s="319">
        <v>14.556572900943397</v>
      </c>
      <c r="M69" s="319">
        <f t="shared" si="1"/>
        <v>14.556572900943397</v>
      </c>
      <c r="N69" s="317">
        <v>0.15575533004009437</v>
      </c>
      <c r="O69" s="315" t="s">
        <v>1148</v>
      </c>
      <c r="P69" s="318">
        <v>148.1</v>
      </c>
      <c r="R69" s="320">
        <v>64.5</v>
      </c>
      <c r="S69" s="318">
        <v>19</v>
      </c>
      <c r="T69" s="318">
        <v>506</v>
      </c>
      <c r="U69" s="318">
        <v>206</v>
      </c>
      <c r="V69" s="315">
        <v>0.31</v>
      </c>
      <c r="W69" s="318">
        <v>615.20000000000005</v>
      </c>
      <c r="X69" s="315">
        <v>0</v>
      </c>
      <c r="Y69" s="315" t="s">
        <v>1149</v>
      </c>
      <c r="Z69" s="315">
        <v>0</v>
      </c>
      <c r="AA69" s="315" t="s">
        <v>1157</v>
      </c>
    </row>
    <row r="70" spans="1:27" s="315" customFormat="1">
      <c r="A70" s="315" t="s">
        <v>1298</v>
      </c>
      <c r="B70" s="315" t="s">
        <v>1777</v>
      </c>
      <c r="C70" s="316" t="s">
        <v>1780</v>
      </c>
      <c r="D70" s="316" t="s">
        <v>1781</v>
      </c>
      <c r="E70" s="317">
        <v>9.1300000000000008</v>
      </c>
      <c r="F70" s="317">
        <v>2.0248894122583048</v>
      </c>
      <c r="G70" s="317">
        <v>2.5892088715770067</v>
      </c>
      <c r="H70" s="317">
        <v>2.9483419463655678</v>
      </c>
      <c r="I70" s="318">
        <v>32.292901931714866</v>
      </c>
      <c r="J70" s="318">
        <v>47.425488129567199</v>
      </c>
      <c r="K70" s="319">
        <v>46.958632326899505</v>
      </c>
      <c r="L70" s="319">
        <v>14.665730395184639</v>
      </c>
      <c r="M70" s="319">
        <f t="shared" si="1"/>
        <v>14.665730395184639</v>
      </c>
      <c r="N70" s="317">
        <v>1.3389811850803577</v>
      </c>
      <c r="O70" s="315" t="s">
        <v>1148</v>
      </c>
      <c r="P70" s="318">
        <v>149</v>
      </c>
      <c r="Q70" s="315">
        <v>3</v>
      </c>
      <c r="R70" s="320">
        <v>65</v>
      </c>
      <c r="S70" s="318">
        <v>20.7</v>
      </c>
      <c r="T70" s="318">
        <v>150</v>
      </c>
      <c r="U70" s="318">
        <v>92</v>
      </c>
      <c r="V70" s="315">
        <v>0.25</v>
      </c>
      <c r="W70" s="318">
        <v>200</v>
      </c>
      <c r="X70" s="315">
        <v>3</v>
      </c>
      <c r="Y70" s="315" t="s">
        <v>1154</v>
      </c>
      <c r="Z70" s="315">
        <v>2</v>
      </c>
      <c r="AA70" s="315" t="s">
        <v>1150</v>
      </c>
    </row>
    <row r="71" spans="1:27" s="315" customFormat="1">
      <c r="A71" s="315" t="s">
        <v>1145</v>
      </c>
      <c r="B71" s="315" t="s">
        <v>663</v>
      </c>
      <c r="C71" s="316" t="s">
        <v>1801</v>
      </c>
      <c r="D71" s="316" t="s">
        <v>1801</v>
      </c>
      <c r="E71" s="317">
        <v>5.7078813433779816</v>
      </c>
      <c r="F71" s="317">
        <v>0</v>
      </c>
      <c r="G71" s="317">
        <v>0</v>
      </c>
      <c r="H71" s="317">
        <v>2.3620000000000001</v>
      </c>
      <c r="I71" s="318">
        <v>41.381378797235904</v>
      </c>
      <c r="J71" s="318">
        <v>77.565989818347205</v>
      </c>
      <c r="K71" s="319">
        <v>27.439064391196201</v>
      </c>
      <c r="L71" s="319">
        <v>-13.942314406039703</v>
      </c>
      <c r="M71" s="319">
        <f t="shared" si="1"/>
        <v>0</v>
      </c>
      <c r="N71" s="317">
        <v>0</v>
      </c>
      <c r="O71" s="315" t="s">
        <v>1168</v>
      </c>
      <c r="P71" s="318">
        <v>149</v>
      </c>
      <c r="R71" s="320">
        <v>65</v>
      </c>
      <c r="S71" s="318">
        <v>19</v>
      </c>
      <c r="T71" s="318">
        <v>47.38</v>
      </c>
      <c r="U71" s="318">
        <v>92</v>
      </c>
      <c r="V71" s="315">
        <v>0.33</v>
      </c>
      <c r="W71" s="318">
        <v>899.23</v>
      </c>
      <c r="X71" s="315">
        <v>0</v>
      </c>
      <c r="Y71" s="315" t="s">
        <v>1149</v>
      </c>
      <c r="Z71" s="315">
        <v>0</v>
      </c>
      <c r="AA71" s="315" t="s">
        <v>1150</v>
      </c>
    </row>
    <row r="72" spans="1:27" s="315" customFormat="1">
      <c r="A72" s="315" t="s">
        <v>1236</v>
      </c>
      <c r="B72" s="315" t="s">
        <v>1066</v>
      </c>
      <c r="C72" s="316" t="s">
        <v>1232</v>
      </c>
      <c r="D72" s="316" t="s">
        <v>1233</v>
      </c>
      <c r="E72" s="317">
        <v>31.34704</v>
      </c>
      <c r="F72" s="317">
        <v>57.0716106</v>
      </c>
      <c r="G72" s="317">
        <v>62.295515100000003</v>
      </c>
      <c r="H72" s="317">
        <v>66.969741600000006</v>
      </c>
      <c r="I72" s="318">
        <v>213.63976184035241</v>
      </c>
      <c r="J72" s="318">
        <v>67.796385642891295</v>
      </c>
      <c r="K72" s="319">
        <v>35.235937370318801</v>
      </c>
      <c r="L72" s="319">
        <v>-178.40382447003361</v>
      </c>
      <c r="M72" s="319">
        <f t="shared" si="1"/>
        <v>0</v>
      </c>
      <c r="N72" s="317">
        <v>0</v>
      </c>
      <c r="O72" s="315" t="s">
        <v>1148</v>
      </c>
      <c r="P72" s="318">
        <v>150</v>
      </c>
      <c r="R72" s="320">
        <v>65.555555555555557</v>
      </c>
      <c r="S72" s="318">
        <v>26.7</v>
      </c>
      <c r="T72" s="318">
        <v>260.3</v>
      </c>
      <c r="U72" s="318">
        <v>361</v>
      </c>
      <c r="V72" s="315">
        <v>0.27</v>
      </c>
      <c r="W72" s="318">
        <v>260.5</v>
      </c>
      <c r="X72" s="315">
        <v>11</v>
      </c>
      <c r="Y72" s="315" t="s">
        <v>1149</v>
      </c>
      <c r="Z72" s="315">
        <v>0</v>
      </c>
      <c r="AA72" s="315" t="s">
        <v>1190</v>
      </c>
    </row>
    <row r="73" spans="1:27" s="315" customFormat="1">
      <c r="A73" s="315" t="s">
        <v>1305</v>
      </c>
      <c r="B73" s="315" t="s">
        <v>1970</v>
      </c>
      <c r="C73" s="316" t="s">
        <v>1981</v>
      </c>
      <c r="D73" s="316" t="s">
        <v>1981</v>
      </c>
      <c r="E73" s="317">
        <v>10.301</v>
      </c>
      <c r="F73" s="317">
        <v>6.7228862999999999</v>
      </c>
      <c r="G73" s="317">
        <v>7.2471604999999997</v>
      </c>
      <c r="H73" s="317">
        <v>7.9577497999999993</v>
      </c>
      <c r="I73" s="318">
        <v>77.252206581885247</v>
      </c>
      <c r="J73" s="318">
        <v>68.202745003902095</v>
      </c>
      <c r="K73" s="319">
        <v>35.505065428590697</v>
      </c>
      <c r="L73" s="319">
        <v>-41.74714115329455</v>
      </c>
      <c r="M73" s="319">
        <f t="shared" si="1"/>
        <v>0</v>
      </c>
      <c r="N73" s="317">
        <v>0</v>
      </c>
      <c r="O73" s="315" t="s">
        <v>1148</v>
      </c>
      <c r="P73" s="318">
        <v>150</v>
      </c>
      <c r="R73" s="320">
        <v>65.555555555555557</v>
      </c>
      <c r="S73" s="318">
        <v>27.5</v>
      </c>
      <c r="T73" s="318">
        <v>48</v>
      </c>
      <c r="U73" s="318">
        <v>75</v>
      </c>
      <c r="V73" s="315">
        <v>0.22</v>
      </c>
      <c r="W73" s="318">
        <v>393</v>
      </c>
      <c r="X73" s="315">
        <v>7</v>
      </c>
      <c r="Y73" s="315" t="s">
        <v>1149</v>
      </c>
      <c r="Z73" s="315">
        <v>0</v>
      </c>
      <c r="AA73" s="315" t="s">
        <v>1150</v>
      </c>
    </row>
    <row r="74" spans="1:27" s="315" customFormat="1">
      <c r="A74" s="315" t="s">
        <v>1145</v>
      </c>
      <c r="B74" s="315" t="s">
        <v>1066</v>
      </c>
      <c r="C74" s="316" t="s">
        <v>1234</v>
      </c>
      <c r="D74" s="316" t="s">
        <v>1235</v>
      </c>
      <c r="E74" s="317">
        <v>28.989698600000001</v>
      </c>
      <c r="F74" s="317">
        <v>10.2012885</v>
      </c>
      <c r="G74" s="317">
        <v>11.121668400000001</v>
      </c>
      <c r="H74" s="317">
        <v>18.351053499999999</v>
      </c>
      <c r="I74" s="318">
        <v>63.301981000933893</v>
      </c>
      <c r="J74" s="318">
        <v>67.871543185678306</v>
      </c>
      <c r="K74" s="319">
        <v>35.113218888426502</v>
      </c>
      <c r="L74" s="319">
        <v>-28.188762112507391</v>
      </c>
      <c r="M74" s="319">
        <f t="shared" si="1"/>
        <v>0</v>
      </c>
      <c r="N74" s="317">
        <v>0</v>
      </c>
      <c r="O74" s="315" t="s">
        <v>1148</v>
      </c>
      <c r="P74" s="318">
        <v>150</v>
      </c>
      <c r="R74" s="320">
        <v>65.555555555555557</v>
      </c>
      <c r="S74" s="318">
        <v>26.7</v>
      </c>
      <c r="T74" s="318">
        <v>127.4</v>
      </c>
      <c r="U74" s="318">
        <v>277</v>
      </c>
      <c r="V74" s="315">
        <v>0.27</v>
      </c>
      <c r="W74" s="318">
        <v>203.7</v>
      </c>
      <c r="X74" s="315">
        <v>8</v>
      </c>
      <c r="Y74" s="315" t="s">
        <v>1149</v>
      </c>
      <c r="Z74" s="315">
        <v>0</v>
      </c>
      <c r="AA74" s="315" t="s">
        <v>1190</v>
      </c>
    </row>
    <row r="75" spans="1:27" s="315" customFormat="1">
      <c r="A75" s="315" t="s">
        <v>1310</v>
      </c>
      <c r="B75" s="315" t="s">
        <v>1080</v>
      </c>
      <c r="C75" s="316" t="s">
        <v>1991</v>
      </c>
      <c r="D75" s="316" t="s">
        <v>1992</v>
      </c>
      <c r="E75" s="317">
        <v>34.380026193866463</v>
      </c>
      <c r="F75" s="317">
        <v>3.6010390000000001</v>
      </c>
      <c r="G75" s="317">
        <v>4.644914</v>
      </c>
      <c r="H75" s="317">
        <v>8.9418398434418016</v>
      </c>
      <c r="I75" s="318">
        <v>26.008822078899584</v>
      </c>
      <c r="J75" s="318">
        <v>46.973037180218498</v>
      </c>
      <c r="K75" s="319">
        <v>43.228942295388002</v>
      </c>
      <c r="L75" s="319">
        <v>17.220120216488418</v>
      </c>
      <c r="M75" s="319">
        <f t="shared" si="1"/>
        <v>17.220120216488418</v>
      </c>
      <c r="N75" s="317">
        <v>5.9202818410440123</v>
      </c>
      <c r="O75" s="315" t="s">
        <v>1148</v>
      </c>
      <c r="P75" s="318">
        <v>150</v>
      </c>
      <c r="R75" s="320">
        <v>65.555555555555557</v>
      </c>
      <c r="S75" s="318">
        <v>23</v>
      </c>
      <c r="T75" s="318">
        <v>70</v>
      </c>
      <c r="U75" s="318">
        <v>150</v>
      </c>
      <c r="V75" s="315">
        <v>0.2</v>
      </c>
      <c r="W75" s="318">
        <v>100</v>
      </c>
      <c r="X75" s="315">
        <v>14</v>
      </c>
      <c r="Y75" s="315" t="s">
        <v>1149</v>
      </c>
      <c r="Z75" s="315">
        <v>0</v>
      </c>
      <c r="AA75" s="315" t="s">
        <v>1150</v>
      </c>
    </row>
    <row r="76" spans="1:27" s="315" customFormat="1">
      <c r="A76" s="315" t="s">
        <v>1145</v>
      </c>
      <c r="B76" s="315" t="s">
        <v>663</v>
      </c>
      <c r="C76" s="316" t="s">
        <v>1802</v>
      </c>
      <c r="D76" s="316" t="s">
        <v>1802</v>
      </c>
      <c r="E76" s="317">
        <v>17.461560762302888</v>
      </c>
      <c r="F76" s="317">
        <v>7.3872251999999996</v>
      </c>
      <c r="G76" s="317">
        <v>7.4090276999999993</v>
      </c>
      <c r="H76" s="317">
        <v>7.4090276999999993</v>
      </c>
      <c r="I76" s="318">
        <v>42.430500920599677</v>
      </c>
      <c r="J76" s="318">
        <v>60.714314965283101</v>
      </c>
      <c r="K76" s="319">
        <v>40.787028914298702</v>
      </c>
      <c r="L76" s="319">
        <v>-1.6434720063009749</v>
      </c>
      <c r="M76" s="319">
        <f t="shared" si="1"/>
        <v>0</v>
      </c>
      <c r="N76" s="317">
        <v>0</v>
      </c>
      <c r="O76" s="315" t="s">
        <v>1148</v>
      </c>
      <c r="P76" s="318">
        <v>150.0461</v>
      </c>
      <c r="R76" s="320">
        <v>65.581166666666661</v>
      </c>
      <c r="S76" s="318">
        <v>20</v>
      </c>
      <c r="T76" s="318">
        <v>12</v>
      </c>
      <c r="U76" s="318">
        <v>92</v>
      </c>
      <c r="V76" s="315">
        <v>0.213002</v>
      </c>
      <c r="W76" s="318">
        <v>533.98450000000003</v>
      </c>
      <c r="X76" s="315">
        <v>2</v>
      </c>
      <c r="Y76" s="315" t="s">
        <v>1149</v>
      </c>
      <c r="Z76" s="315">
        <v>0</v>
      </c>
      <c r="AA76" s="315" t="s">
        <v>1150</v>
      </c>
    </row>
    <row r="77" spans="1:27" s="315" customFormat="1">
      <c r="A77" s="315" t="s">
        <v>1229</v>
      </c>
      <c r="B77" s="315" t="s">
        <v>1970</v>
      </c>
      <c r="C77" s="316" t="s">
        <v>1982</v>
      </c>
      <c r="D77" s="316" t="s">
        <v>1982</v>
      </c>
      <c r="E77" s="317">
        <v>9.0760000000000005</v>
      </c>
      <c r="F77" s="317">
        <v>3.0902422000000001</v>
      </c>
      <c r="G77" s="317">
        <v>3.0902422000000001</v>
      </c>
      <c r="H77" s="317">
        <v>3.0902422000000001</v>
      </c>
      <c r="I77" s="318">
        <v>34.04850374614368</v>
      </c>
      <c r="J77" s="318">
        <v>67.9307450214162</v>
      </c>
      <c r="K77" s="319">
        <v>32.344713343393501</v>
      </c>
      <c r="L77" s="319">
        <v>-1.7037904027501796</v>
      </c>
      <c r="M77" s="319">
        <f t="shared" si="1"/>
        <v>0</v>
      </c>
      <c r="N77" s="317">
        <v>0</v>
      </c>
      <c r="O77" s="315" t="s">
        <v>1148</v>
      </c>
      <c r="P77" s="318">
        <v>151</v>
      </c>
      <c r="R77" s="320">
        <v>66.111111111111114</v>
      </c>
      <c r="S77" s="318">
        <v>30.1</v>
      </c>
      <c r="T77" s="318">
        <v>42</v>
      </c>
      <c r="U77" s="318">
        <v>142</v>
      </c>
      <c r="V77" s="315">
        <v>0.18</v>
      </c>
      <c r="W77" s="318">
        <v>67</v>
      </c>
      <c r="X77" s="315">
        <v>4</v>
      </c>
      <c r="Y77" s="315" t="s">
        <v>1149</v>
      </c>
      <c r="Z77" s="315">
        <v>0</v>
      </c>
      <c r="AA77" s="315" t="s">
        <v>1150</v>
      </c>
    </row>
    <row r="78" spans="1:27" s="315" customFormat="1">
      <c r="A78" s="315" t="s">
        <v>1145</v>
      </c>
      <c r="B78" s="315" t="s">
        <v>1073</v>
      </c>
      <c r="C78" s="316" t="s">
        <v>1481</v>
      </c>
      <c r="D78" s="316" t="s">
        <v>1482</v>
      </c>
      <c r="E78" s="317">
        <v>40.676366999999999</v>
      </c>
      <c r="F78" s="317">
        <v>10.5997422</v>
      </c>
      <c r="G78" s="317">
        <v>11.283827262393036</v>
      </c>
      <c r="H78" s="317">
        <v>13.653730460662361</v>
      </c>
      <c r="I78" s="318">
        <v>33.566740266313268</v>
      </c>
      <c r="J78" s="318">
        <v>50.067376752755798</v>
      </c>
      <c r="K78" s="319">
        <v>39.807706969686301</v>
      </c>
      <c r="L78" s="319">
        <v>6.2409667033730329</v>
      </c>
      <c r="M78" s="319">
        <f t="shared" si="1"/>
        <v>6.2409667033730329</v>
      </c>
      <c r="N78" s="317">
        <v>2.5385985206118162</v>
      </c>
      <c r="O78" s="315" t="s">
        <v>1148</v>
      </c>
      <c r="P78" s="318">
        <v>151</v>
      </c>
      <c r="R78" s="320">
        <v>66.111111111111114</v>
      </c>
      <c r="S78" s="318">
        <v>28</v>
      </c>
      <c r="T78" s="318">
        <v>84</v>
      </c>
      <c r="U78" s="318">
        <v>19</v>
      </c>
      <c r="V78" s="315">
        <v>0.24</v>
      </c>
      <c r="W78" s="318">
        <v>35</v>
      </c>
      <c r="X78" s="315">
        <v>14</v>
      </c>
      <c r="Y78" s="315" t="s">
        <v>1149</v>
      </c>
      <c r="Z78" s="315">
        <v>0</v>
      </c>
      <c r="AA78" s="315" t="s">
        <v>1150</v>
      </c>
    </row>
    <row r="79" spans="1:27" s="315" customFormat="1">
      <c r="A79" s="315" t="s">
        <v>1222</v>
      </c>
      <c r="B79" s="315" t="s">
        <v>1647</v>
      </c>
      <c r="C79" s="316" t="s">
        <v>1654</v>
      </c>
      <c r="D79" s="316" t="s">
        <v>1654</v>
      </c>
      <c r="E79" s="317">
        <v>10.06</v>
      </c>
      <c r="F79" s="317">
        <v>0</v>
      </c>
      <c r="G79" s="317">
        <v>0</v>
      </c>
      <c r="H79" s="317">
        <v>0</v>
      </c>
      <c r="I79" s="318">
        <v>0</v>
      </c>
      <c r="J79" s="318">
        <v>50.9639827667147</v>
      </c>
      <c r="K79" s="319">
        <v>38.622132560089398</v>
      </c>
      <c r="L79" s="319">
        <v>38.622132560089398</v>
      </c>
      <c r="M79" s="319">
        <f t="shared" si="1"/>
        <v>38.622132560089398</v>
      </c>
      <c r="N79" s="317">
        <v>3.8853865355449932</v>
      </c>
      <c r="O79" s="315" t="s">
        <v>1168</v>
      </c>
      <c r="P79" s="318">
        <v>151</v>
      </c>
      <c r="R79" s="320">
        <v>66.111111111111114</v>
      </c>
      <c r="S79" s="318">
        <v>30</v>
      </c>
      <c r="T79" s="318">
        <v>58.727035999999998</v>
      </c>
      <c r="U79" s="318">
        <v>6.8897640000000004</v>
      </c>
      <c r="V79" s="315">
        <v>0.23</v>
      </c>
      <c r="W79" s="318">
        <v>150</v>
      </c>
      <c r="X79" s="315">
        <v>10</v>
      </c>
      <c r="Y79" s="315" t="s">
        <v>1440</v>
      </c>
      <c r="Z79" s="315">
        <v>3</v>
      </c>
      <c r="AA79" s="315" t="s">
        <v>1157</v>
      </c>
    </row>
    <row r="80" spans="1:27" s="315" customFormat="1">
      <c r="A80" s="315" t="s">
        <v>1222</v>
      </c>
      <c r="B80" s="315" t="s">
        <v>1647</v>
      </c>
      <c r="C80" s="316" t="s">
        <v>1655</v>
      </c>
      <c r="D80" s="316" t="s">
        <v>1655</v>
      </c>
      <c r="E80" s="317">
        <v>23.8</v>
      </c>
      <c r="F80" s="317">
        <v>0</v>
      </c>
      <c r="G80" s="317">
        <v>0</v>
      </c>
      <c r="H80" s="317">
        <v>0</v>
      </c>
      <c r="I80" s="318">
        <v>0</v>
      </c>
      <c r="J80" s="318">
        <v>49.703104517957797</v>
      </c>
      <c r="K80" s="319">
        <v>39.852426837633296</v>
      </c>
      <c r="L80" s="319">
        <v>39.852426837633296</v>
      </c>
      <c r="M80" s="319">
        <f t="shared" si="1"/>
        <v>39.852426837633296</v>
      </c>
      <c r="N80" s="317">
        <v>9.4848775873567259</v>
      </c>
      <c r="O80" s="315" t="s">
        <v>1168</v>
      </c>
      <c r="P80" s="318">
        <v>151</v>
      </c>
      <c r="R80" s="320">
        <v>66.111111111111114</v>
      </c>
      <c r="S80" s="318">
        <v>30</v>
      </c>
      <c r="T80" s="318">
        <v>187.66404800000001</v>
      </c>
      <c r="U80" s="318">
        <v>12.467191999999999</v>
      </c>
      <c r="V80" s="315">
        <v>0.22</v>
      </c>
      <c r="W80" s="318">
        <v>100</v>
      </c>
      <c r="X80" s="315">
        <v>10</v>
      </c>
      <c r="Y80" s="315" t="s">
        <v>1440</v>
      </c>
      <c r="Z80" s="315">
        <v>3</v>
      </c>
      <c r="AA80" s="315" t="s">
        <v>1157</v>
      </c>
    </row>
    <row r="81" spans="1:34">
      <c r="A81" s="315" t="s">
        <v>1145</v>
      </c>
      <c r="B81" s="315" t="s">
        <v>663</v>
      </c>
      <c r="C81" s="316" t="s">
        <v>1803</v>
      </c>
      <c r="D81" s="316" t="s">
        <v>1804</v>
      </c>
      <c r="E81" s="317">
        <v>21.941702688802728</v>
      </c>
      <c r="F81" s="317">
        <v>2.1570000000000001E-4</v>
      </c>
      <c r="G81" s="317">
        <v>2.1570000000000001E-4</v>
      </c>
      <c r="H81" s="317">
        <v>3.8092157000000002</v>
      </c>
      <c r="I81" s="318">
        <v>17.360620340298002</v>
      </c>
      <c r="J81" s="318">
        <v>71.608492125445494</v>
      </c>
      <c r="K81" s="319">
        <v>30.531545443573801</v>
      </c>
      <c r="L81" s="319">
        <v>13.170925103275801</v>
      </c>
      <c r="M81" s="319">
        <f t="shared" si="1"/>
        <v>13.170925103275801</v>
      </c>
      <c r="N81" s="317">
        <v>2.8899252275256591</v>
      </c>
      <c r="O81" s="315" t="s">
        <v>1148</v>
      </c>
      <c r="P81" s="318">
        <v>151</v>
      </c>
      <c r="R81" s="320">
        <v>66.111111111111114</v>
      </c>
      <c r="S81" s="318">
        <v>18</v>
      </c>
      <c r="T81" s="318">
        <v>73.97</v>
      </c>
      <c r="U81" s="318">
        <v>167</v>
      </c>
      <c r="V81" s="315">
        <v>0.3</v>
      </c>
      <c r="W81" s="318">
        <v>5300</v>
      </c>
      <c r="X81" s="315">
        <v>0</v>
      </c>
      <c r="Y81" s="315" t="s">
        <v>1149</v>
      </c>
      <c r="Z81" s="315">
        <v>0</v>
      </c>
      <c r="AA81" s="315" t="s">
        <v>1150</v>
      </c>
      <c r="AB81" s="315"/>
      <c r="AC81" s="315"/>
      <c r="AD81" s="315"/>
      <c r="AE81" s="315"/>
      <c r="AF81" s="315"/>
      <c r="AG81" s="315"/>
      <c r="AH81" s="315"/>
    </row>
    <row r="82" spans="1:34">
      <c r="A82" s="315" t="s">
        <v>1145</v>
      </c>
      <c r="B82" s="315" t="s">
        <v>663</v>
      </c>
      <c r="C82" s="316" t="s">
        <v>1805</v>
      </c>
      <c r="D82" s="316" t="s">
        <v>1805</v>
      </c>
      <c r="E82" s="317">
        <v>3.0318249886231934</v>
      </c>
      <c r="F82" s="317">
        <v>0</v>
      </c>
      <c r="G82" s="317">
        <v>0</v>
      </c>
      <c r="H82" s="317">
        <v>1.4630000000000001</v>
      </c>
      <c r="I82" s="318">
        <v>48.254764225832666</v>
      </c>
      <c r="J82" s="318">
        <v>65.605756178816307</v>
      </c>
      <c r="K82" s="319">
        <v>32.8364220154862</v>
      </c>
      <c r="L82" s="319">
        <v>-15.418342210346466</v>
      </c>
      <c r="M82" s="319">
        <f t="shared" si="1"/>
        <v>0</v>
      </c>
      <c r="N82" s="317">
        <v>0</v>
      </c>
      <c r="O82" s="315" t="s">
        <v>1168</v>
      </c>
      <c r="P82" s="318">
        <v>151</v>
      </c>
      <c r="R82" s="320">
        <v>66.111111111111114</v>
      </c>
      <c r="S82" s="318">
        <v>21</v>
      </c>
      <c r="T82" s="318">
        <v>41.33</v>
      </c>
      <c r="U82" s="318">
        <v>236</v>
      </c>
      <c r="V82" s="315">
        <v>0.36</v>
      </c>
      <c r="W82" s="318">
        <v>3000</v>
      </c>
      <c r="X82" s="315">
        <v>0</v>
      </c>
      <c r="Y82" s="315" t="s">
        <v>1149</v>
      </c>
      <c r="Z82" s="315">
        <v>0</v>
      </c>
      <c r="AA82" s="315" t="s">
        <v>1150</v>
      </c>
      <c r="AB82" s="315"/>
      <c r="AC82" s="315"/>
      <c r="AD82" s="315"/>
      <c r="AE82" s="315"/>
      <c r="AF82" s="315"/>
      <c r="AG82" s="315"/>
      <c r="AH82" s="315"/>
    </row>
    <row r="83" spans="1:34">
      <c r="A83" s="315" t="s">
        <v>1327</v>
      </c>
      <c r="B83" s="315" t="s">
        <v>1753</v>
      </c>
      <c r="C83" s="316" t="s">
        <v>1755</v>
      </c>
      <c r="D83" s="316" t="s">
        <v>1756</v>
      </c>
      <c r="E83" s="317">
        <v>9.8757630521732782</v>
      </c>
      <c r="F83" s="317">
        <v>2.2040000000000002</v>
      </c>
      <c r="G83" s="317">
        <v>2.2040000000000002</v>
      </c>
      <c r="H83" s="317">
        <v>2.2040000000000002</v>
      </c>
      <c r="I83" s="318">
        <v>22.317262862184446</v>
      </c>
      <c r="J83" s="318">
        <v>60.889415385687698</v>
      </c>
      <c r="K83" s="319">
        <v>36.948460034009699</v>
      </c>
      <c r="L83" s="319">
        <v>14.631197171825253</v>
      </c>
      <c r="M83" s="319">
        <f t="shared" si="1"/>
        <v>14.631197171825253</v>
      </c>
      <c r="N83" s="317">
        <v>1.44494236438574</v>
      </c>
      <c r="O83" s="315" t="s">
        <v>1148</v>
      </c>
      <c r="P83" s="318">
        <v>151.71250000000001</v>
      </c>
      <c r="R83" s="320">
        <v>66.506944444444443</v>
      </c>
      <c r="S83" s="318">
        <v>20</v>
      </c>
      <c r="T83" s="318">
        <v>48</v>
      </c>
      <c r="U83" s="318">
        <v>91</v>
      </c>
      <c r="V83" s="315">
        <v>0.27</v>
      </c>
      <c r="W83" s="318">
        <v>300</v>
      </c>
      <c r="X83" s="315">
        <v>2</v>
      </c>
      <c r="Y83" s="315" t="s">
        <v>1149</v>
      </c>
      <c r="Z83" s="315">
        <v>0</v>
      </c>
      <c r="AA83" s="315" t="s">
        <v>1190</v>
      </c>
      <c r="AB83" s="315"/>
      <c r="AC83" s="315"/>
      <c r="AD83" s="315"/>
      <c r="AE83" s="315"/>
      <c r="AF83" s="315"/>
      <c r="AG83" s="315"/>
      <c r="AH83" s="315"/>
    </row>
    <row r="84" spans="1:34">
      <c r="A84" s="315" t="s">
        <v>1229</v>
      </c>
      <c r="B84" s="315" t="s">
        <v>1970</v>
      </c>
      <c r="C84" s="316" t="s">
        <v>1983</v>
      </c>
      <c r="D84" s="316" t="s">
        <v>1983</v>
      </c>
      <c r="E84" s="317">
        <v>14.427</v>
      </c>
      <c r="F84" s="317">
        <v>5.5548463999999997</v>
      </c>
      <c r="G84" s="317">
        <v>5.9822829999999998</v>
      </c>
      <c r="H84" s="317">
        <v>6.6565250999999996</v>
      </c>
      <c r="I84" s="318">
        <v>46.139357454772302</v>
      </c>
      <c r="J84" s="318">
        <v>65.711472052800303</v>
      </c>
      <c r="K84" s="319">
        <v>33.082647026064301</v>
      </c>
      <c r="L84" s="319">
        <v>-13.056710428708001</v>
      </c>
      <c r="M84" s="319">
        <f t="shared" si="1"/>
        <v>0</v>
      </c>
      <c r="N84" s="317">
        <v>0</v>
      </c>
      <c r="O84" s="315" t="s">
        <v>1148</v>
      </c>
      <c r="P84" s="318">
        <v>152</v>
      </c>
      <c r="R84" s="320">
        <v>66.666666666666671</v>
      </c>
      <c r="S84" s="318">
        <v>25.3</v>
      </c>
      <c r="T84" s="318">
        <v>60</v>
      </c>
      <c r="U84" s="318">
        <v>100</v>
      </c>
      <c r="V84" s="315">
        <v>0.22</v>
      </c>
      <c r="W84" s="318">
        <v>100</v>
      </c>
      <c r="X84" s="315">
        <v>8</v>
      </c>
      <c r="Y84" s="315" t="s">
        <v>1149</v>
      </c>
      <c r="Z84" s="315">
        <v>0</v>
      </c>
      <c r="AA84" s="315" t="s">
        <v>1150</v>
      </c>
      <c r="AB84" s="315"/>
      <c r="AC84" s="315"/>
      <c r="AD84" s="315"/>
      <c r="AE84" s="315"/>
      <c r="AF84" s="315"/>
      <c r="AG84" s="315"/>
      <c r="AH84" s="315"/>
    </row>
    <row r="85" spans="1:34">
      <c r="A85" s="315" t="s">
        <v>1145</v>
      </c>
      <c r="B85" s="315" t="s">
        <v>663</v>
      </c>
      <c r="C85" s="316" t="s">
        <v>1807</v>
      </c>
      <c r="D85" s="316" t="s">
        <v>1807</v>
      </c>
      <c r="E85" s="317">
        <v>5.6528281381370347</v>
      </c>
      <c r="F85" s="317">
        <v>0</v>
      </c>
      <c r="G85" s="317">
        <v>0</v>
      </c>
      <c r="H85" s="317">
        <v>0</v>
      </c>
      <c r="I85" s="318">
        <v>0</v>
      </c>
      <c r="J85" s="318">
        <v>89.124795550823407</v>
      </c>
      <c r="K85" s="319">
        <v>17.680781432421398</v>
      </c>
      <c r="L85" s="319">
        <v>17.680781432421398</v>
      </c>
      <c r="M85" s="319">
        <f t="shared" si="1"/>
        <v>17.680781432421398</v>
      </c>
      <c r="N85" s="317">
        <v>0.99946418785442492</v>
      </c>
      <c r="O85" s="315" t="s">
        <v>1168</v>
      </c>
      <c r="P85" s="318">
        <v>152</v>
      </c>
      <c r="R85" s="320">
        <v>66.666666666666671</v>
      </c>
      <c r="S85" s="318">
        <v>19</v>
      </c>
      <c r="T85" s="318">
        <v>36.69</v>
      </c>
      <c r="U85" s="318">
        <v>220</v>
      </c>
      <c r="V85" s="315">
        <v>0.25</v>
      </c>
      <c r="W85" s="318">
        <v>25.99</v>
      </c>
      <c r="X85" s="315">
        <v>0</v>
      </c>
      <c r="Y85" s="315" t="s">
        <v>1149</v>
      </c>
      <c r="Z85" s="315">
        <v>0</v>
      </c>
      <c r="AA85" s="315" t="s">
        <v>1150</v>
      </c>
      <c r="AB85" s="315"/>
      <c r="AC85" s="315"/>
      <c r="AD85" s="315"/>
      <c r="AE85" s="315"/>
      <c r="AF85" s="315"/>
      <c r="AG85" s="315"/>
      <c r="AH85" s="315"/>
    </row>
    <row r="86" spans="1:34">
      <c r="A86" s="315" t="s">
        <v>1334</v>
      </c>
      <c r="B86" s="315" t="s">
        <v>1916</v>
      </c>
      <c r="C86" s="316" t="s">
        <v>1917</v>
      </c>
      <c r="D86" s="316" t="s">
        <v>1918</v>
      </c>
      <c r="E86" s="317">
        <v>16.899999999999999</v>
      </c>
      <c r="F86" s="317">
        <v>2.6</v>
      </c>
      <c r="G86" s="317">
        <v>2.6</v>
      </c>
      <c r="H86" s="317">
        <v>2.6</v>
      </c>
      <c r="I86" s="318">
        <v>15.384615384615385</v>
      </c>
      <c r="J86" s="318">
        <v>50.510528641765198</v>
      </c>
      <c r="K86" s="319">
        <v>38.413484509775806</v>
      </c>
      <c r="L86" s="319">
        <v>23.028869125160419</v>
      </c>
      <c r="M86" s="319">
        <f t="shared" si="1"/>
        <v>23.028869125160419</v>
      </c>
      <c r="N86" s="317">
        <v>3.8918788821521106</v>
      </c>
      <c r="O86" s="315" t="s">
        <v>1148</v>
      </c>
      <c r="P86" s="318">
        <v>152</v>
      </c>
      <c r="R86" s="320">
        <v>66.666666666666671</v>
      </c>
      <c r="S86" s="318">
        <v>33</v>
      </c>
      <c r="T86" s="318">
        <v>647.81842507882766</v>
      </c>
      <c r="U86" s="318">
        <v>17.364850939490005</v>
      </c>
      <c r="V86" s="315">
        <v>0.17449999999999999</v>
      </c>
      <c r="W86" s="318">
        <v>131.46</v>
      </c>
      <c r="X86" s="315">
        <v>2</v>
      </c>
      <c r="Y86" s="315" t="s">
        <v>1149</v>
      </c>
      <c r="Z86" s="315">
        <v>0</v>
      </c>
      <c r="AA86" s="315" t="s">
        <v>1190</v>
      </c>
      <c r="AB86" s="315"/>
      <c r="AC86" s="315"/>
      <c r="AD86" s="315"/>
      <c r="AE86" s="315"/>
      <c r="AF86" s="315"/>
      <c r="AG86" s="315"/>
      <c r="AH86" s="315"/>
    </row>
    <row r="87" spans="1:34">
      <c r="A87" s="315" t="s">
        <v>1334</v>
      </c>
      <c r="B87" s="315" t="s">
        <v>1916</v>
      </c>
      <c r="C87" s="316" t="s">
        <v>1919</v>
      </c>
      <c r="D87" s="316" t="s">
        <v>1919</v>
      </c>
      <c r="E87" s="317">
        <v>3.77</v>
      </c>
      <c r="F87" s="317">
        <v>2.46</v>
      </c>
      <c r="G87" s="317">
        <v>2.46</v>
      </c>
      <c r="H87" s="317">
        <v>2.46</v>
      </c>
      <c r="I87" s="318">
        <v>65.251989389920425</v>
      </c>
      <c r="J87" s="318">
        <v>51.530986371786398</v>
      </c>
      <c r="K87" s="319">
        <v>38.046081700331499</v>
      </c>
      <c r="L87" s="319">
        <v>-27.205907689588926</v>
      </c>
      <c r="M87" s="319">
        <f t="shared" si="1"/>
        <v>0</v>
      </c>
      <c r="N87" s="317">
        <v>0</v>
      </c>
      <c r="O87" s="315" t="s">
        <v>1148</v>
      </c>
      <c r="P87" s="318">
        <v>152</v>
      </c>
      <c r="R87" s="320">
        <v>66.666666666666671</v>
      </c>
      <c r="S87" s="318">
        <v>33</v>
      </c>
      <c r="T87" s="318">
        <v>131.63028</v>
      </c>
      <c r="U87" s="318">
        <v>5.2925000000000004</v>
      </c>
      <c r="V87" s="315">
        <v>0.17449999999999999</v>
      </c>
      <c r="W87" s="318">
        <v>131.43600000000001</v>
      </c>
      <c r="X87" s="315">
        <v>2</v>
      </c>
      <c r="Y87" s="315" t="s">
        <v>1149</v>
      </c>
      <c r="Z87" s="315">
        <v>0</v>
      </c>
      <c r="AA87" s="315" t="s">
        <v>1190</v>
      </c>
      <c r="AB87" s="315"/>
      <c r="AC87" s="315"/>
      <c r="AD87" s="315"/>
      <c r="AE87" s="315"/>
      <c r="AF87" s="315"/>
      <c r="AG87" s="315"/>
      <c r="AH87" s="315"/>
    </row>
    <row r="88" spans="1:34">
      <c r="A88" s="315" t="s">
        <v>1145</v>
      </c>
      <c r="B88" s="315" t="s">
        <v>1624</v>
      </c>
      <c r="C88" s="316" t="s">
        <v>1625</v>
      </c>
      <c r="D88" s="316" t="s">
        <v>1625</v>
      </c>
      <c r="E88" s="317">
        <v>7.3098295035089658</v>
      </c>
      <c r="F88" s="317">
        <v>2.9711934000000002</v>
      </c>
      <c r="G88" s="317">
        <v>3.0984657000000002</v>
      </c>
      <c r="H88" s="317">
        <v>3.0984657000000002</v>
      </c>
      <c r="I88" s="318">
        <v>42.38766032111463</v>
      </c>
      <c r="J88" s="318">
        <v>51.261623940177401</v>
      </c>
      <c r="K88" s="319">
        <v>44.654791072895001</v>
      </c>
      <c r="L88" s="319">
        <v>2.2671307517803712</v>
      </c>
      <c r="M88" s="319">
        <f t="shared" si="1"/>
        <v>2.2671307517803712</v>
      </c>
      <c r="N88" s="317">
        <v>0.16572339257676619</v>
      </c>
      <c r="O88" s="315" t="s">
        <v>1148</v>
      </c>
      <c r="P88" s="318">
        <v>152.4</v>
      </c>
      <c r="R88" s="320">
        <v>66.888888888888886</v>
      </c>
      <c r="S88" s="318">
        <v>40.1</v>
      </c>
      <c r="T88" s="318">
        <v>56</v>
      </c>
      <c r="U88" s="318">
        <v>157</v>
      </c>
      <c r="V88" s="315">
        <v>0.28999999999999998</v>
      </c>
      <c r="W88" s="318">
        <v>6600</v>
      </c>
      <c r="X88" s="315">
        <v>2</v>
      </c>
      <c r="Y88" s="315" t="s">
        <v>1149</v>
      </c>
      <c r="Z88" s="315">
        <v>0</v>
      </c>
      <c r="AA88" s="315" t="s">
        <v>1157</v>
      </c>
      <c r="AB88" s="315"/>
      <c r="AC88" s="315"/>
      <c r="AD88" s="315"/>
      <c r="AE88" s="315"/>
      <c r="AF88" s="315"/>
      <c r="AG88" s="315"/>
      <c r="AH88" s="315"/>
    </row>
    <row r="89" spans="1:34">
      <c r="A89" s="315" t="s">
        <v>1145</v>
      </c>
      <c r="B89" s="315" t="s">
        <v>1066</v>
      </c>
      <c r="C89" s="316" t="s">
        <v>1237</v>
      </c>
      <c r="D89" s="316" t="s">
        <v>1238</v>
      </c>
      <c r="E89" s="317">
        <v>11.69</v>
      </c>
      <c r="F89" s="317">
        <v>1.0798972</v>
      </c>
      <c r="G89" s="317">
        <v>1.513477</v>
      </c>
      <c r="H89" s="317">
        <v>1.8175732</v>
      </c>
      <c r="I89" s="318">
        <v>15.54810265183918</v>
      </c>
      <c r="J89" s="318">
        <v>63.651868376101902</v>
      </c>
      <c r="K89" s="319">
        <v>37.110676509623602</v>
      </c>
      <c r="L89" s="319">
        <v>21.562573857784422</v>
      </c>
      <c r="M89" s="319">
        <f t="shared" si="1"/>
        <v>21.562573857784422</v>
      </c>
      <c r="N89" s="317">
        <v>2.520664883974999</v>
      </c>
      <c r="O89" s="315" t="s">
        <v>1148</v>
      </c>
      <c r="P89" s="318">
        <v>153</v>
      </c>
      <c r="R89" s="320">
        <v>67.222222222222229</v>
      </c>
      <c r="S89" s="318">
        <v>25</v>
      </c>
      <c r="T89" s="318">
        <v>398</v>
      </c>
      <c r="U89" s="318">
        <v>398</v>
      </c>
      <c r="V89" s="315">
        <v>0.24</v>
      </c>
      <c r="W89" s="318">
        <v>1394</v>
      </c>
      <c r="X89" s="315">
        <v>1</v>
      </c>
      <c r="Y89" s="315" t="s">
        <v>1149</v>
      </c>
      <c r="Z89" s="315">
        <v>0</v>
      </c>
      <c r="AA89" s="315" t="s">
        <v>1190</v>
      </c>
      <c r="AB89" s="316">
        <v>0</v>
      </c>
      <c r="AC89" s="316">
        <v>1598</v>
      </c>
      <c r="AD89" s="316">
        <v>1296</v>
      </c>
      <c r="AE89" s="316">
        <v>0.5</v>
      </c>
      <c r="AF89" s="316">
        <v>1.0940000000000001</v>
      </c>
      <c r="AG89" s="316">
        <v>2.5499999999999998</v>
      </c>
      <c r="AH89" s="316">
        <v>182</v>
      </c>
    </row>
    <row r="90" spans="1:34">
      <c r="A90" s="315" t="s">
        <v>1222</v>
      </c>
      <c r="B90" s="315" t="s">
        <v>1647</v>
      </c>
      <c r="C90" s="316" t="s">
        <v>1656</v>
      </c>
      <c r="D90" s="316" t="s">
        <v>1656</v>
      </c>
      <c r="E90" s="317">
        <v>5.57</v>
      </c>
      <c r="F90" s="317">
        <v>0</v>
      </c>
      <c r="G90" s="317">
        <v>0</v>
      </c>
      <c r="H90" s="317">
        <v>0</v>
      </c>
      <c r="I90" s="318">
        <v>0</v>
      </c>
      <c r="J90" s="318">
        <v>47.429280114298201</v>
      </c>
      <c r="K90" s="319">
        <v>40.093418916398896</v>
      </c>
      <c r="L90" s="319">
        <v>40.093418916398896</v>
      </c>
      <c r="M90" s="319">
        <f t="shared" si="1"/>
        <v>40.093418916398896</v>
      </c>
      <c r="N90" s="317">
        <v>2.2332034336434186</v>
      </c>
      <c r="O90" s="315" t="s">
        <v>1168</v>
      </c>
      <c r="P90" s="318">
        <v>154</v>
      </c>
      <c r="R90" s="320">
        <v>67.777777777777771</v>
      </c>
      <c r="S90" s="318">
        <v>30</v>
      </c>
      <c r="T90" s="318">
        <v>68.241472000000002</v>
      </c>
      <c r="U90" s="318">
        <v>2.9527559999999999</v>
      </c>
      <c r="V90" s="315">
        <v>0.19</v>
      </c>
      <c r="W90" s="318">
        <v>15</v>
      </c>
      <c r="X90" s="315">
        <v>10</v>
      </c>
      <c r="Y90" s="315" t="s">
        <v>1440</v>
      </c>
      <c r="Z90" s="315">
        <v>3</v>
      </c>
      <c r="AA90" s="315" t="s">
        <v>1157</v>
      </c>
      <c r="AB90" s="315"/>
      <c r="AC90" s="315"/>
      <c r="AD90" s="315"/>
      <c r="AE90" s="315"/>
      <c r="AF90" s="315"/>
      <c r="AG90" s="315"/>
      <c r="AH90" s="315"/>
    </row>
    <row r="91" spans="1:34">
      <c r="A91" s="315" t="s">
        <v>1222</v>
      </c>
      <c r="B91" s="315" t="s">
        <v>1647</v>
      </c>
      <c r="C91" s="316" t="s">
        <v>1657</v>
      </c>
      <c r="D91" s="316" t="s">
        <v>1657</v>
      </c>
      <c r="E91" s="317">
        <v>16.399999999999999</v>
      </c>
      <c r="F91" s="317">
        <v>0</v>
      </c>
      <c r="G91" s="317">
        <v>0</v>
      </c>
      <c r="H91" s="317">
        <v>0</v>
      </c>
      <c r="I91" s="318">
        <v>0</v>
      </c>
      <c r="J91" s="318">
        <v>54.3522445171972</v>
      </c>
      <c r="K91" s="319">
        <v>38.1494480392521</v>
      </c>
      <c r="L91" s="319">
        <v>38.1494480392521</v>
      </c>
      <c r="M91" s="319">
        <f t="shared" si="1"/>
        <v>38.1494480392521</v>
      </c>
      <c r="N91" s="317">
        <v>6.2565094784373434</v>
      </c>
      <c r="O91" s="315" t="s">
        <v>1168</v>
      </c>
      <c r="P91" s="318">
        <v>154</v>
      </c>
      <c r="R91" s="320">
        <v>67.777777777777771</v>
      </c>
      <c r="S91" s="318">
        <v>30</v>
      </c>
      <c r="T91" s="318">
        <v>157.15223599999999</v>
      </c>
      <c r="U91" s="318">
        <v>5.9055119999999999</v>
      </c>
      <c r="V91" s="315">
        <v>0.2</v>
      </c>
      <c r="W91" s="318">
        <v>60</v>
      </c>
      <c r="X91" s="315">
        <v>10</v>
      </c>
      <c r="Y91" s="315" t="s">
        <v>1440</v>
      </c>
      <c r="Z91" s="315">
        <v>3</v>
      </c>
      <c r="AA91" s="315" t="s">
        <v>1157</v>
      </c>
      <c r="AB91" s="315"/>
      <c r="AC91" s="315"/>
      <c r="AD91" s="315"/>
      <c r="AE91" s="315"/>
      <c r="AF91" s="315"/>
      <c r="AG91" s="315"/>
      <c r="AH91" s="315"/>
    </row>
    <row r="92" spans="1:34">
      <c r="A92" s="315" t="s">
        <v>1229</v>
      </c>
      <c r="B92" s="315" t="s">
        <v>1970</v>
      </c>
      <c r="C92" s="316" t="s">
        <v>1984</v>
      </c>
      <c r="D92" s="316" t="s">
        <v>1984</v>
      </c>
      <c r="E92" s="317">
        <v>57.911000000000001</v>
      </c>
      <c r="F92" s="317">
        <v>23.192358599999999</v>
      </c>
      <c r="G92" s="317">
        <v>23.827501899999998</v>
      </c>
      <c r="H92" s="317">
        <v>25.005045299999999</v>
      </c>
      <c r="I92" s="318">
        <v>43.178403584811178</v>
      </c>
      <c r="J92" s="318">
        <v>0</v>
      </c>
      <c r="K92" s="319">
        <v>0</v>
      </c>
      <c r="L92" s="319">
        <v>-43.178403584811178</v>
      </c>
      <c r="M92" s="319">
        <f t="shared" si="1"/>
        <v>0</v>
      </c>
      <c r="N92" s="317">
        <v>0</v>
      </c>
      <c r="O92" s="315" t="s">
        <v>1148</v>
      </c>
      <c r="P92" s="318">
        <v>155</v>
      </c>
      <c r="R92" s="320">
        <v>68.333333333333329</v>
      </c>
      <c r="S92" s="318">
        <v>24.6</v>
      </c>
      <c r="T92" s="318">
        <v>60</v>
      </c>
      <c r="U92" s="318">
        <v>130</v>
      </c>
      <c r="V92" s="315">
        <v>0.16</v>
      </c>
      <c r="W92" s="318">
        <v>367</v>
      </c>
      <c r="X92" s="315">
        <v>21</v>
      </c>
      <c r="Y92" s="315" t="s">
        <v>1149</v>
      </c>
      <c r="Z92" s="315">
        <v>0</v>
      </c>
      <c r="AA92" s="315" t="s">
        <v>1150</v>
      </c>
      <c r="AB92" s="315"/>
      <c r="AC92" s="315"/>
      <c r="AD92" s="315"/>
      <c r="AE92" s="315"/>
      <c r="AF92" s="315"/>
      <c r="AG92" s="315"/>
      <c r="AH92" s="315"/>
    </row>
    <row r="93" spans="1:34">
      <c r="A93" s="315" t="s">
        <v>1229</v>
      </c>
      <c r="B93" s="315" t="s">
        <v>1970</v>
      </c>
      <c r="C93" s="316" t="s">
        <v>1985</v>
      </c>
      <c r="D93" s="316" t="s">
        <v>1985</v>
      </c>
      <c r="E93" s="317">
        <v>20.0668009</v>
      </c>
      <c r="F93" s="317">
        <v>8.6819313000000005</v>
      </c>
      <c r="G93" s="317">
        <v>8.7840907000000001</v>
      </c>
      <c r="H93" s="317">
        <v>8.9194671000000003</v>
      </c>
      <c r="I93" s="318">
        <v>44.448874259773021</v>
      </c>
      <c r="J93" s="318">
        <v>63.349956768916101</v>
      </c>
      <c r="K93" s="319">
        <v>37.702008460428402</v>
      </c>
      <c r="L93" s="319">
        <v>-6.7468657993446186</v>
      </c>
      <c r="M93" s="319">
        <f t="shared" si="1"/>
        <v>0</v>
      </c>
      <c r="N93" s="317">
        <v>0</v>
      </c>
      <c r="O93" s="315" t="s">
        <v>1148</v>
      </c>
      <c r="P93" s="318">
        <v>155</v>
      </c>
      <c r="R93" s="320">
        <v>68.333333333333329</v>
      </c>
      <c r="S93" s="318">
        <v>31</v>
      </c>
      <c r="T93" s="318">
        <v>58</v>
      </c>
      <c r="U93" s="318">
        <v>190</v>
      </c>
      <c r="V93" s="315">
        <v>0.15</v>
      </c>
      <c r="W93" s="318">
        <v>133</v>
      </c>
      <c r="X93" s="315">
        <v>6</v>
      </c>
      <c r="Y93" s="315" t="s">
        <v>1149</v>
      </c>
      <c r="Z93" s="315">
        <v>0</v>
      </c>
      <c r="AA93" s="315" t="s">
        <v>1150</v>
      </c>
      <c r="AB93" s="315"/>
      <c r="AC93" s="315"/>
      <c r="AD93" s="315"/>
      <c r="AE93" s="315"/>
      <c r="AF93" s="315"/>
      <c r="AG93" s="315"/>
      <c r="AH93" s="315"/>
    </row>
    <row r="94" spans="1:34">
      <c r="A94" s="315" t="s">
        <v>1145</v>
      </c>
      <c r="B94" s="315" t="s">
        <v>1769</v>
      </c>
      <c r="C94" s="316" t="s">
        <v>1770</v>
      </c>
      <c r="D94" s="316" t="s">
        <v>1771</v>
      </c>
      <c r="E94" s="317">
        <v>17.049700000000001</v>
      </c>
      <c r="F94" s="317">
        <v>3.6403940000000006</v>
      </c>
      <c r="G94" s="317">
        <v>3.8492445096289929</v>
      </c>
      <c r="H94" s="317">
        <v>3.8492445096289929</v>
      </c>
      <c r="I94" s="318">
        <v>22.57661137515025</v>
      </c>
      <c r="J94" s="318">
        <v>57.842940110645401</v>
      </c>
      <c r="K94" s="319">
        <v>41.898698972308502</v>
      </c>
      <c r="L94" s="319">
        <v>19.322087597158252</v>
      </c>
      <c r="M94" s="319">
        <f t="shared" si="1"/>
        <v>19.322087597158252</v>
      </c>
      <c r="N94" s="317">
        <v>3.2943579690526907</v>
      </c>
      <c r="O94" s="315" t="s">
        <v>1148</v>
      </c>
      <c r="P94" s="318">
        <v>155</v>
      </c>
      <c r="Q94" s="315">
        <v>2</v>
      </c>
      <c r="R94" s="320">
        <v>68.333333333333329</v>
      </c>
      <c r="S94" s="318">
        <v>24</v>
      </c>
      <c r="T94" s="318">
        <v>153.71485000000001</v>
      </c>
      <c r="U94" s="318">
        <v>124.67800000000001</v>
      </c>
      <c r="V94" s="315">
        <v>0.28000000000000003</v>
      </c>
      <c r="W94" s="318">
        <v>47</v>
      </c>
      <c r="X94" s="315">
        <v>6</v>
      </c>
      <c r="Y94" s="315" t="s">
        <v>1154</v>
      </c>
      <c r="Z94" s="315">
        <v>1</v>
      </c>
      <c r="AA94" s="315" t="s">
        <v>1150</v>
      </c>
      <c r="AB94" s="315"/>
      <c r="AC94" s="315"/>
      <c r="AD94" s="315"/>
      <c r="AE94" s="315"/>
      <c r="AF94" s="315"/>
      <c r="AG94" s="315"/>
      <c r="AH94" s="315"/>
    </row>
    <row r="95" spans="1:34">
      <c r="A95" s="315" t="s">
        <v>1145</v>
      </c>
      <c r="B95" s="315" t="s">
        <v>1769</v>
      </c>
      <c r="C95" s="316" t="s">
        <v>1773</v>
      </c>
      <c r="D95" s="316" t="s">
        <v>1774</v>
      </c>
      <c r="E95" s="317">
        <v>4.7934000000000001</v>
      </c>
      <c r="F95" s="317">
        <v>3.0875250000000003</v>
      </c>
      <c r="G95" s="317">
        <v>3.0875250000000003</v>
      </c>
      <c r="H95" s="317">
        <v>3.0875250000000003</v>
      </c>
      <c r="I95" s="318">
        <v>64.412004005507569</v>
      </c>
      <c r="J95" s="318">
        <v>58.557921683232699</v>
      </c>
      <c r="K95" s="319">
        <v>41.886791855874499</v>
      </c>
      <c r="L95" s="319">
        <v>-22.52521214963307</v>
      </c>
      <c r="M95" s="319">
        <f t="shared" si="1"/>
        <v>0</v>
      </c>
      <c r="N95" s="317">
        <v>0</v>
      </c>
      <c r="O95" s="315" t="s">
        <v>1148</v>
      </c>
      <c r="P95" s="318">
        <v>155</v>
      </c>
      <c r="Q95" s="315">
        <v>1</v>
      </c>
      <c r="R95" s="320">
        <v>68.333333333333329</v>
      </c>
      <c r="S95" s="318">
        <v>24</v>
      </c>
      <c r="T95" s="318">
        <v>93.246020000000016</v>
      </c>
      <c r="U95" s="318">
        <v>124.67800000000001</v>
      </c>
      <c r="V95" s="315">
        <v>0.28000000000000003</v>
      </c>
      <c r="W95" s="318">
        <v>18</v>
      </c>
      <c r="X95" s="315">
        <v>3</v>
      </c>
      <c r="Y95" s="315" t="s">
        <v>1154</v>
      </c>
      <c r="Z95" s="315">
        <v>2</v>
      </c>
      <c r="AA95" s="315" t="s">
        <v>1150</v>
      </c>
      <c r="AB95" s="315"/>
      <c r="AC95" s="315"/>
      <c r="AD95" s="315"/>
      <c r="AE95" s="315"/>
      <c r="AF95" s="315"/>
      <c r="AG95" s="315"/>
      <c r="AH95" s="315"/>
    </row>
    <row r="96" spans="1:34">
      <c r="A96" s="315" t="s">
        <v>1145</v>
      </c>
      <c r="B96" s="315" t="s">
        <v>1769</v>
      </c>
      <c r="C96" s="316" t="s">
        <v>1775</v>
      </c>
      <c r="D96" s="316" t="s">
        <v>1776</v>
      </c>
      <c r="E96" s="317">
        <v>38.305900000000001</v>
      </c>
      <c r="F96" s="317">
        <v>10.509362000000001</v>
      </c>
      <c r="G96" s="317">
        <v>10.998980908097439</v>
      </c>
      <c r="H96" s="317">
        <v>10.998980908097439</v>
      </c>
      <c r="I96" s="318">
        <v>28.713542582467554</v>
      </c>
      <c r="J96" s="318">
        <v>57.455945655965103</v>
      </c>
      <c r="K96" s="319">
        <v>43.232233394207597</v>
      </c>
      <c r="L96" s="319">
        <v>14.518690811740001</v>
      </c>
      <c r="M96" s="319">
        <f t="shared" si="1"/>
        <v>14.518690811740001</v>
      </c>
      <c r="N96" s="317">
        <v>5.5615151836543291</v>
      </c>
      <c r="O96" s="315" t="s">
        <v>1148</v>
      </c>
      <c r="P96" s="318">
        <v>155</v>
      </c>
      <c r="Q96" s="315">
        <v>1</v>
      </c>
      <c r="R96" s="320">
        <v>68.333333333333329</v>
      </c>
      <c r="S96" s="318">
        <v>24</v>
      </c>
      <c r="T96" s="318">
        <v>145.02020000000002</v>
      </c>
      <c r="U96" s="318">
        <v>124.67800000000001</v>
      </c>
      <c r="V96" s="315">
        <v>0.27</v>
      </c>
      <c r="W96" s="318">
        <v>93</v>
      </c>
      <c r="X96" s="315">
        <v>12</v>
      </c>
      <c r="Y96" s="315" t="s">
        <v>1154</v>
      </c>
      <c r="Z96" s="315">
        <v>2</v>
      </c>
      <c r="AA96" s="315" t="s">
        <v>1190</v>
      </c>
      <c r="AB96" s="315"/>
      <c r="AC96" s="315"/>
      <c r="AD96" s="315"/>
      <c r="AE96" s="315"/>
      <c r="AF96" s="315"/>
      <c r="AG96" s="315"/>
      <c r="AH96" s="315"/>
    </row>
    <row r="97" spans="1:34">
      <c r="A97" s="315" t="s">
        <v>1145</v>
      </c>
      <c r="B97" s="315" t="s">
        <v>663</v>
      </c>
      <c r="C97" s="316" t="s">
        <v>1809</v>
      </c>
      <c r="D97" s="316" t="s">
        <v>1809</v>
      </c>
      <c r="E97" s="317">
        <v>2.5400002418025394</v>
      </c>
      <c r="F97" s="317">
        <v>1.1114355</v>
      </c>
      <c r="G97" s="317">
        <v>1.1214168</v>
      </c>
      <c r="H97" s="317">
        <v>1.1214168</v>
      </c>
      <c r="I97" s="318">
        <v>44.15026351352526</v>
      </c>
      <c r="J97" s="318">
        <v>67.742093944533195</v>
      </c>
      <c r="K97" s="319">
        <v>34.837344665638895</v>
      </c>
      <c r="L97" s="319">
        <v>-9.3129188478863654</v>
      </c>
      <c r="M97" s="319">
        <f t="shared" si="1"/>
        <v>0</v>
      </c>
      <c r="N97" s="317">
        <v>0</v>
      </c>
      <c r="O97" s="315" t="s">
        <v>1148</v>
      </c>
      <c r="P97" s="318">
        <v>155</v>
      </c>
      <c r="R97" s="320">
        <v>68.333333333333329</v>
      </c>
      <c r="S97" s="318">
        <v>41</v>
      </c>
      <c r="T97" s="318">
        <v>39.869999999999997</v>
      </c>
      <c r="U97" s="318">
        <v>216.54600000000002</v>
      </c>
      <c r="V97" s="315">
        <v>0.24</v>
      </c>
      <c r="W97" s="318">
        <v>172.85</v>
      </c>
      <c r="X97" s="315">
        <v>1</v>
      </c>
      <c r="Y97" s="315" t="s">
        <v>1149</v>
      </c>
      <c r="Z97" s="315">
        <v>0</v>
      </c>
      <c r="AA97" s="315" t="s">
        <v>1190</v>
      </c>
      <c r="AB97" s="315"/>
      <c r="AC97" s="315"/>
      <c r="AD97" s="315"/>
      <c r="AE97" s="315"/>
      <c r="AF97" s="315"/>
      <c r="AG97" s="315"/>
      <c r="AH97" s="315"/>
    </row>
    <row r="98" spans="1:34">
      <c r="A98" s="315" t="s">
        <v>1145</v>
      </c>
      <c r="B98" s="315" t="s">
        <v>1073</v>
      </c>
      <c r="C98" s="316" t="s">
        <v>1483</v>
      </c>
      <c r="D98" s="316" t="s">
        <v>1483</v>
      </c>
      <c r="E98" s="317">
        <v>11.570207999999999</v>
      </c>
      <c r="F98" s="317">
        <v>5.3107074000000001</v>
      </c>
      <c r="G98" s="317">
        <v>5.7359232737934631</v>
      </c>
      <c r="H98" s="317">
        <v>5.7402401737934632</v>
      </c>
      <c r="I98" s="318">
        <v>49.612247020913223</v>
      </c>
      <c r="J98" s="318">
        <v>55.936536746739399</v>
      </c>
      <c r="K98" s="319">
        <v>38.561601921597102</v>
      </c>
      <c r="L98" s="319">
        <v>-11.050645099316121</v>
      </c>
      <c r="M98" s="319">
        <f t="shared" si="1"/>
        <v>0</v>
      </c>
      <c r="N98" s="317">
        <v>0</v>
      </c>
      <c r="O98" s="315" t="s">
        <v>1148</v>
      </c>
      <c r="P98" s="318">
        <v>156</v>
      </c>
      <c r="R98" s="320">
        <v>68.888888888888886</v>
      </c>
      <c r="S98" s="318">
        <v>32</v>
      </c>
      <c r="T98" s="318">
        <v>46</v>
      </c>
      <c r="U98" s="318">
        <v>20</v>
      </c>
      <c r="V98" s="315">
        <v>0.24</v>
      </c>
      <c r="W98" s="318">
        <v>40</v>
      </c>
      <c r="X98" s="315">
        <v>6</v>
      </c>
      <c r="Y98" s="315" t="s">
        <v>1149</v>
      </c>
      <c r="Z98" s="315">
        <v>0</v>
      </c>
      <c r="AA98" s="315" t="s">
        <v>1150</v>
      </c>
      <c r="AB98" s="315"/>
      <c r="AC98" s="315"/>
      <c r="AD98" s="315"/>
      <c r="AE98" s="315"/>
      <c r="AF98" s="315"/>
      <c r="AG98" s="315"/>
      <c r="AH98" s="315"/>
    </row>
    <row r="99" spans="1:34">
      <c r="A99" s="315" t="s">
        <v>1222</v>
      </c>
      <c r="B99" s="315" t="s">
        <v>1647</v>
      </c>
      <c r="C99" s="316" t="s">
        <v>1658</v>
      </c>
      <c r="D99" s="316" t="s">
        <v>1658</v>
      </c>
      <c r="E99" s="317">
        <v>0.02</v>
      </c>
      <c r="F99" s="317">
        <v>0</v>
      </c>
      <c r="G99" s="317">
        <v>0</v>
      </c>
      <c r="H99" s="317">
        <v>0</v>
      </c>
      <c r="I99" s="318">
        <v>0</v>
      </c>
      <c r="J99" s="318">
        <v>51.4580941005512</v>
      </c>
      <c r="K99" s="319">
        <v>38.691470039909198</v>
      </c>
      <c r="L99" s="319">
        <v>38.691470039909198</v>
      </c>
      <c r="M99" s="319">
        <f t="shared" si="1"/>
        <v>38.691470039909198</v>
      </c>
      <c r="N99" s="317">
        <v>7.7382940079818397E-3</v>
      </c>
      <c r="O99" s="315" t="s">
        <v>1168</v>
      </c>
      <c r="P99" s="318">
        <v>156</v>
      </c>
      <c r="R99" s="320">
        <v>68.888888888888886</v>
      </c>
      <c r="S99" s="318">
        <v>30</v>
      </c>
      <c r="T99" s="318">
        <v>131.2336</v>
      </c>
      <c r="U99" s="318">
        <v>10.498688000000001</v>
      </c>
      <c r="V99" s="315">
        <v>0.19</v>
      </c>
      <c r="W99" s="318">
        <v>20</v>
      </c>
      <c r="X99" s="315">
        <v>10</v>
      </c>
      <c r="Y99" s="315" t="s">
        <v>1440</v>
      </c>
      <c r="Z99" s="315">
        <v>3</v>
      </c>
      <c r="AA99" s="315" t="s">
        <v>1157</v>
      </c>
      <c r="AB99" s="315"/>
      <c r="AC99" s="315"/>
      <c r="AD99" s="315"/>
      <c r="AE99" s="315"/>
      <c r="AF99" s="315"/>
      <c r="AG99" s="315"/>
      <c r="AH99" s="315"/>
    </row>
    <row r="100" spans="1:34">
      <c r="A100" s="315" t="s">
        <v>1145</v>
      </c>
      <c r="B100" s="315" t="s">
        <v>663</v>
      </c>
      <c r="C100" s="316" t="s">
        <v>1810</v>
      </c>
      <c r="D100" s="316" t="s">
        <v>1810</v>
      </c>
      <c r="E100" s="317">
        <v>2.9123075772453939</v>
      </c>
      <c r="F100" s="317">
        <v>0</v>
      </c>
      <c r="G100" s="317">
        <v>0</v>
      </c>
      <c r="H100" s="317">
        <v>0</v>
      </c>
      <c r="I100" s="318">
        <v>0</v>
      </c>
      <c r="J100" s="318">
        <v>82.721316170854706</v>
      </c>
      <c r="K100" s="319">
        <v>22.003884606901799</v>
      </c>
      <c r="L100" s="319">
        <v>22.003884606901799</v>
      </c>
      <c r="M100" s="319">
        <f t="shared" si="1"/>
        <v>22.003884606901799</v>
      </c>
      <c r="N100" s="317">
        <v>0.64082079869513398</v>
      </c>
      <c r="O100" s="315" t="s">
        <v>1168</v>
      </c>
      <c r="P100" s="318">
        <v>156</v>
      </c>
      <c r="R100" s="320">
        <v>68.888888888888886</v>
      </c>
      <c r="S100" s="318">
        <v>41</v>
      </c>
      <c r="T100" s="318">
        <v>68.59</v>
      </c>
      <c r="U100" s="318">
        <v>46</v>
      </c>
      <c r="V100" s="315">
        <v>0.28999999999999998</v>
      </c>
      <c r="W100" s="318">
        <v>10</v>
      </c>
      <c r="X100" s="315">
        <v>0</v>
      </c>
      <c r="Y100" s="315" t="s">
        <v>1149</v>
      </c>
      <c r="Z100" s="315">
        <v>0</v>
      </c>
      <c r="AA100" s="315" t="s">
        <v>1150</v>
      </c>
      <c r="AB100" s="315"/>
      <c r="AC100" s="315"/>
      <c r="AD100" s="315"/>
      <c r="AE100" s="315"/>
      <c r="AF100" s="315"/>
      <c r="AG100" s="315"/>
      <c r="AH100" s="315"/>
    </row>
    <row r="101" spans="1:34">
      <c r="A101" s="315" t="s">
        <v>1355</v>
      </c>
      <c r="B101" s="315" t="s">
        <v>1753</v>
      </c>
      <c r="C101" s="316" t="s">
        <v>1757</v>
      </c>
      <c r="D101" s="316" t="s">
        <v>1757</v>
      </c>
      <c r="E101" s="317">
        <v>3.0215740000000002</v>
      </c>
      <c r="F101" s="317">
        <v>0.443</v>
      </c>
      <c r="G101" s="317">
        <v>0.443</v>
      </c>
      <c r="H101" s="317">
        <v>0.443</v>
      </c>
      <c r="I101" s="318">
        <v>14.661232854134965</v>
      </c>
      <c r="J101" s="318">
        <v>80.925525760534597</v>
      </c>
      <c r="K101" s="319">
        <v>26.910667030803097</v>
      </c>
      <c r="L101" s="319">
        <v>12.249434176668132</v>
      </c>
      <c r="M101" s="319">
        <f t="shared" si="1"/>
        <v>12.249434176668132</v>
      </c>
      <c r="N101" s="317">
        <v>0.37012571822931839</v>
      </c>
      <c r="O101" s="315" t="s">
        <v>1148</v>
      </c>
      <c r="P101" s="318">
        <v>156.25</v>
      </c>
      <c r="R101" s="320">
        <v>69.027777777777771</v>
      </c>
      <c r="S101" s="318">
        <v>20</v>
      </c>
      <c r="T101" s="318">
        <v>20</v>
      </c>
      <c r="U101" s="318">
        <v>51</v>
      </c>
      <c r="V101" s="315">
        <v>0.2</v>
      </c>
      <c r="W101" s="318">
        <v>300</v>
      </c>
      <c r="X101" s="315">
        <v>2</v>
      </c>
      <c r="Y101" s="315" t="s">
        <v>1149</v>
      </c>
      <c r="Z101" s="315">
        <v>0</v>
      </c>
      <c r="AA101" s="315" t="s">
        <v>1157</v>
      </c>
      <c r="AB101" s="315"/>
      <c r="AC101" s="315"/>
      <c r="AD101" s="315"/>
      <c r="AE101" s="315"/>
      <c r="AF101" s="315"/>
      <c r="AG101" s="315"/>
      <c r="AH101" s="315"/>
    </row>
    <row r="102" spans="1:34">
      <c r="A102" s="315" t="s">
        <v>1145</v>
      </c>
      <c r="B102" s="315" t="s">
        <v>663</v>
      </c>
      <c r="C102" s="316" t="s">
        <v>1811</v>
      </c>
      <c r="D102" s="316" t="s">
        <v>1812</v>
      </c>
      <c r="E102" s="317">
        <v>3.0000002855935506</v>
      </c>
      <c r="F102" s="317">
        <v>0.41198990000000002</v>
      </c>
      <c r="G102" s="317">
        <v>0.41587150000000001</v>
      </c>
      <c r="H102" s="317">
        <v>0.41587150000000001</v>
      </c>
      <c r="I102" s="318">
        <v>13.862382013664368</v>
      </c>
      <c r="J102" s="318">
        <v>69.563933099273399</v>
      </c>
      <c r="K102" s="319">
        <v>34.264061676006904</v>
      </c>
      <c r="L102" s="319">
        <v>20.401679662342538</v>
      </c>
      <c r="M102" s="319">
        <f t="shared" si="1"/>
        <v>20.401679662342538</v>
      </c>
      <c r="N102" s="317">
        <v>0.61205044813615739</v>
      </c>
      <c r="O102" s="315" t="s">
        <v>1148</v>
      </c>
      <c r="P102" s="318">
        <v>156.8642633</v>
      </c>
      <c r="R102" s="320">
        <v>69.369035166666663</v>
      </c>
      <c r="S102" s="318">
        <v>40</v>
      </c>
      <c r="T102" s="318">
        <v>48.44</v>
      </c>
      <c r="U102" s="318">
        <v>275.60399999999998</v>
      </c>
      <c r="V102" s="315">
        <v>0.27</v>
      </c>
      <c r="W102" s="318">
        <v>187.8</v>
      </c>
      <c r="X102" s="315">
        <v>1</v>
      </c>
      <c r="Y102" s="315" t="s">
        <v>1149</v>
      </c>
      <c r="Z102" s="315">
        <v>0</v>
      </c>
      <c r="AA102" s="315" t="s">
        <v>1190</v>
      </c>
      <c r="AB102" s="315"/>
      <c r="AC102" s="315"/>
      <c r="AD102" s="315"/>
      <c r="AE102" s="315"/>
      <c r="AF102" s="315"/>
      <c r="AG102" s="315"/>
      <c r="AH102" s="315"/>
    </row>
    <row r="103" spans="1:34">
      <c r="A103" s="315" t="s">
        <v>1310</v>
      </c>
      <c r="B103" s="315" t="s">
        <v>1080</v>
      </c>
      <c r="C103" s="316" t="s">
        <v>1994</v>
      </c>
      <c r="D103" s="316" t="s">
        <v>1995</v>
      </c>
      <c r="E103" s="317">
        <v>16.320012434086696</v>
      </c>
      <c r="F103" s="317">
        <v>0.30950149999999998</v>
      </c>
      <c r="G103" s="317">
        <v>0.30950149999999998</v>
      </c>
      <c r="H103" s="317">
        <v>3.962028088321389</v>
      </c>
      <c r="I103" s="318">
        <v>24.277114397573147</v>
      </c>
      <c r="J103" s="318">
        <v>42.890850785206197</v>
      </c>
      <c r="K103" s="319">
        <v>39.395971893993398</v>
      </c>
      <c r="L103" s="319">
        <v>15.118857496420251</v>
      </c>
      <c r="M103" s="319">
        <f t="shared" si="1"/>
        <v>15.118857496420251</v>
      </c>
      <c r="N103" s="317">
        <v>2.4673994233076337</v>
      </c>
      <c r="O103" s="315" t="s">
        <v>1148</v>
      </c>
      <c r="P103" s="318">
        <v>157</v>
      </c>
      <c r="R103" s="320">
        <v>69.444444444444443</v>
      </c>
      <c r="S103" s="318">
        <v>29</v>
      </c>
      <c r="T103" s="318">
        <v>20</v>
      </c>
      <c r="U103" s="318">
        <v>62</v>
      </c>
      <c r="V103" s="315">
        <v>0.2</v>
      </c>
      <c r="W103" s="318">
        <v>100</v>
      </c>
      <c r="X103" s="315">
        <v>6</v>
      </c>
      <c r="Y103" s="315" t="s">
        <v>1149</v>
      </c>
      <c r="Z103" s="315">
        <v>0</v>
      </c>
      <c r="AA103" s="315" t="s">
        <v>1150</v>
      </c>
      <c r="AB103" s="315"/>
      <c r="AC103" s="315"/>
      <c r="AD103" s="315"/>
      <c r="AE103" s="315"/>
      <c r="AF103" s="315"/>
      <c r="AG103" s="315"/>
      <c r="AH103" s="315"/>
    </row>
    <row r="104" spans="1:34">
      <c r="A104" s="315" t="s">
        <v>1145</v>
      </c>
      <c r="B104" s="315" t="s">
        <v>663</v>
      </c>
      <c r="C104" s="316" t="s">
        <v>1814</v>
      </c>
      <c r="D104" s="316" t="s">
        <v>1814</v>
      </c>
      <c r="E104" s="317">
        <v>6.1792221882486125</v>
      </c>
      <c r="F104" s="317">
        <v>0</v>
      </c>
      <c r="G104" s="317">
        <v>0</v>
      </c>
      <c r="H104" s="317">
        <v>0</v>
      </c>
      <c r="I104" s="318">
        <v>0</v>
      </c>
      <c r="J104" s="318">
        <v>71.885766255578105</v>
      </c>
      <c r="K104" s="319">
        <v>30.940052264963104</v>
      </c>
      <c r="L104" s="319">
        <v>30.940052264963104</v>
      </c>
      <c r="M104" s="319">
        <f t="shared" si="1"/>
        <v>30.940052264963104</v>
      </c>
      <c r="N104" s="317">
        <v>1.9118545746123174</v>
      </c>
      <c r="O104" s="315" t="s">
        <v>1168</v>
      </c>
      <c r="P104" s="318">
        <v>158</v>
      </c>
      <c r="R104" s="320">
        <v>70</v>
      </c>
      <c r="S104" s="318">
        <v>32</v>
      </c>
      <c r="T104" s="318">
        <v>31.82</v>
      </c>
      <c r="U104" s="318">
        <v>102</v>
      </c>
      <c r="V104" s="315">
        <v>0.3</v>
      </c>
      <c r="W104" s="318">
        <v>3000</v>
      </c>
      <c r="X104" s="315">
        <v>0</v>
      </c>
      <c r="Y104" s="315" t="s">
        <v>1149</v>
      </c>
      <c r="Z104" s="315">
        <v>0</v>
      </c>
      <c r="AA104" s="315" t="s">
        <v>1150</v>
      </c>
      <c r="AB104" s="315"/>
      <c r="AC104" s="315"/>
      <c r="AD104" s="315"/>
      <c r="AE104" s="315"/>
      <c r="AF104" s="315"/>
      <c r="AG104" s="315"/>
      <c r="AH104" s="315"/>
    </row>
    <row r="105" spans="1:34">
      <c r="A105" s="315" t="s">
        <v>1145</v>
      </c>
      <c r="B105" s="315" t="s">
        <v>663</v>
      </c>
      <c r="C105" s="316" t="s">
        <v>1815</v>
      </c>
      <c r="D105" s="316" t="s">
        <v>1815</v>
      </c>
      <c r="E105" s="317">
        <v>10.15000096625818</v>
      </c>
      <c r="F105" s="317">
        <v>3.3714759000000001</v>
      </c>
      <c r="G105" s="317">
        <v>3.4917910999999999</v>
      </c>
      <c r="H105" s="317">
        <v>3.4917910999999999</v>
      </c>
      <c r="I105" s="318">
        <v>34.401879483635717</v>
      </c>
      <c r="J105" s="318">
        <v>72.457445698239098</v>
      </c>
      <c r="K105" s="319">
        <v>30.6456557177539</v>
      </c>
      <c r="L105" s="319">
        <v>-3.7562237658818169</v>
      </c>
      <c r="M105" s="319">
        <f t="shared" si="1"/>
        <v>0</v>
      </c>
      <c r="N105" s="317">
        <v>0</v>
      </c>
      <c r="O105" s="315" t="s">
        <v>1148</v>
      </c>
      <c r="P105" s="318">
        <v>158</v>
      </c>
      <c r="R105" s="320">
        <v>70</v>
      </c>
      <c r="S105" s="318">
        <v>41</v>
      </c>
      <c r="T105" s="318">
        <v>36</v>
      </c>
      <c r="U105" s="318">
        <v>577</v>
      </c>
      <c r="V105" s="315">
        <v>0.23</v>
      </c>
      <c r="W105" s="318">
        <v>71</v>
      </c>
      <c r="X105" s="315">
        <v>1</v>
      </c>
      <c r="Y105" s="315" t="s">
        <v>1149</v>
      </c>
      <c r="Z105" s="315">
        <v>0</v>
      </c>
      <c r="AA105" s="315" t="s">
        <v>1190</v>
      </c>
      <c r="AB105" s="315"/>
      <c r="AC105" s="315"/>
      <c r="AD105" s="315"/>
      <c r="AE105" s="315"/>
      <c r="AF105" s="315"/>
      <c r="AG105" s="315"/>
      <c r="AH105" s="315"/>
    </row>
    <row r="106" spans="1:34">
      <c r="A106" s="315" t="s">
        <v>1361</v>
      </c>
      <c r="B106" s="315" t="s">
        <v>1146</v>
      </c>
      <c r="C106" s="316" t="s">
        <v>1147</v>
      </c>
      <c r="D106" s="316" t="s">
        <v>1147</v>
      </c>
      <c r="E106" s="317">
        <v>3.62</v>
      </c>
      <c r="F106" s="317">
        <v>0.68135285346569807</v>
      </c>
      <c r="G106" s="317">
        <v>0.68135285346569807</v>
      </c>
      <c r="H106" s="317">
        <v>0.68135285346569807</v>
      </c>
      <c r="I106" s="318">
        <v>18.821902029439173</v>
      </c>
      <c r="J106" s="318">
        <v>56.612852659583702</v>
      </c>
      <c r="K106" s="319">
        <v>42.779693180893105</v>
      </c>
      <c r="L106" s="319">
        <v>23.957791151453932</v>
      </c>
      <c r="M106" s="319">
        <f t="shared" si="1"/>
        <v>23.957791151453932</v>
      </c>
      <c r="N106" s="317">
        <v>0.86727203968263245</v>
      </c>
      <c r="O106" s="315" t="s">
        <v>1148</v>
      </c>
      <c r="P106" s="318">
        <v>159</v>
      </c>
      <c r="R106" s="320">
        <v>70.555555555555557</v>
      </c>
      <c r="S106" s="318">
        <v>28</v>
      </c>
      <c r="T106" s="318">
        <v>65</v>
      </c>
      <c r="U106" s="318">
        <v>55.2</v>
      </c>
      <c r="V106" s="315">
        <v>0.25</v>
      </c>
      <c r="W106" s="318">
        <v>1000</v>
      </c>
      <c r="X106" s="315">
        <v>1</v>
      </c>
      <c r="Y106" s="315" t="s">
        <v>1149</v>
      </c>
      <c r="Z106" s="315">
        <v>0</v>
      </c>
      <c r="AA106" s="315" t="s">
        <v>1150</v>
      </c>
      <c r="AB106" s="321">
        <v>0</v>
      </c>
      <c r="AC106" s="321">
        <v>1923</v>
      </c>
      <c r="AD106" s="321">
        <v>1730</v>
      </c>
      <c r="AE106" s="321">
        <v>0.71</v>
      </c>
      <c r="AF106" s="321">
        <v>0.88</v>
      </c>
      <c r="AG106" s="321">
        <v>1.05</v>
      </c>
      <c r="AH106" s="321">
        <v>315</v>
      </c>
    </row>
    <row r="107" spans="1:34">
      <c r="A107" s="315" t="s">
        <v>1145</v>
      </c>
      <c r="B107" s="315" t="s">
        <v>663</v>
      </c>
      <c r="C107" s="316" t="s">
        <v>1816</v>
      </c>
      <c r="D107" s="316" t="s">
        <v>1816</v>
      </c>
      <c r="E107" s="317">
        <v>3.5746345402974913</v>
      </c>
      <c r="F107" s="317">
        <v>1.3438995</v>
      </c>
      <c r="G107" s="317">
        <v>1.4045198000000001</v>
      </c>
      <c r="H107" s="317">
        <v>1.4045198000000001</v>
      </c>
      <c r="I107" s="318">
        <v>39.291283742900106</v>
      </c>
      <c r="J107" s="318">
        <v>75.794208913175495</v>
      </c>
      <c r="K107" s="319">
        <v>30.013327662470601</v>
      </c>
      <c r="L107" s="319">
        <v>-9.2779560804295045</v>
      </c>
      <c r="M107" s="319">
        <f t="shared" si="1"/>
        <v>0</v>
      </c>
      <c r="N107" s="317">
        <v>0</v>
      </c>
      <c r="O107" s="315" t="s">
        <v>1148</v>
      </c>
      <c r="P107" s="318">
        <v>159</v>
      </c>
      <c r="R107" s="320">
        <v>70.555555555555557</v>
      </c>
      <c r="S107" s="318">
        <v>20</v>
      </c>
      <c r="T107" s="318">
        <v>42.898000000000003</v>
      </c>
      <c r="U107" s="318">
        <v>183.73600000000002</v>
      </c>
      <c r="V107" s="315">
        <v>0.28000000000000003</v>
      </c>
      <c r="W107" s="318">
        <v>3783</v>
      </c>
      <c r="X107" s="315">
        <v>0</v>
      </c>
      <c r="Y107" s="315" t="s">
        <v>1149</v>
      </c>
      <c r="Z107" s="315">
        <v>0</v>
      </c>
      <c r="AA107" s="315" t="s">
        <v>1190</v>
      </c>
      <c r="AB107" s="315"/>
      <c r="AC107" s="315"/>
      <c r="AD107" s="315"/>
      <c r="AE107" s="315"/>
      <c r="AF107" s="315"/>
      <c r="AG107" s="315"/>
      <c r="AH107" s="315"/>
    </row>
    <row r="108" spans="1:34">
      <c r="A108" s="315" t="s">
        <v>1145</v>
      </c>
      <c r="B108" s="315" t="s">
        <v>663</v>
      </c>
      <c r="C108" s="316" t="s">
        <v>1818</v>
      </c>
      <c r="D108" s="316" t="s">
        <v>1818</v>
      </c>
      <c r="E108" s="317">
        <v>6.2248980925968596</v>
      </c>
      <c r="F108" s="317">
        <v>0</v>
      </c>
      <c r="G108" s="317">
        <v>0</v>
      </c>
      <c r="H108" s="317">
        <v>0</v>
      </c>
      <c r="I108" s="318">
        <v>0</v>
      </c>
      <c r="J108" s="318">
        <v>87.120999271425305</v>
      </c>
      <c r="K108" s="319">
        <v>19.2628024514086</v>
      </c>
      <c r="L108" s="319">
        <v>19.2628024514086</v>
      </c>
      <c r="M108" s="319">
        <f t="shared" si="1"/>
        <v>19.2628024514086</v>
      </c>
      <c r="N108" s="317">
        <v>1.199089822378435</v>
      </c>
      <c r="O108" s="315" t="s">
        <v>1168</v>
      </c>
      <c r="P108" s="318">
        <v>159</v>
      </c>
      <c r="R108" s="320">
        <v>70.555555555555557</v>
      </c>
      <c r="S108" s="318">
        <v>42</v>
      </c>
      <c r="T108" s="318">
        <v>32.72</v>
      </c>
      <c r="U108" s="318">
        <v>141</v>
      </c>
      <c r="V108" s="315">
        <v>0.12</v>
      </c>
      <c r="W108" s="318">
        <v>6.79</v>
      </c>
      <c r="X108" s="315">
        <v>0</v>
      </c>
      <c r="Y108" s="315" t="s">
        <v>1149</v>
      </c>
      <c r="Z108" s="315">
        <v>0</v>
      </c>
      <c r="AA108" s="315" t="s">
        <v>1150</v>
      </c>
      <c r="AB108" s="315"/>
      <c r="AC108" s="315"/>
      <c r="AD108" s="315"/>
      <c r="AE108" s="315"/>
      <c r="AF108" s="315"/>
      <c r="AG108" s="315"/>
      <c r="AH108" s="315"/>
    </row>
    <row r="109" spans="1:34">
      <c r="A109" s="315" t="s">
        <v>1145</v>
      </c>
      <c r="B109" s="315" t="s">
        <v>663</v>
      </c>
      <c r="C109" s="316" t="s">
        <v>1819</v>
      </c>
      <c r="D109" s="316" t="s">
        <v>1819</v>
      </c>
      <c r="E109" s="317">
        <v>2.5600002437064964</v>
      </c>
      <c r="F109" s="317">
        <v>0</v>
      </c>
      <c r="G109" s="317">
        <v>0</v>
      </c>
      <c r="H109" s="317">
        <v>0</v>
      </c>
      <c r="I109" s="318">
        <v>0</v>
      </c>
      <c r="J109" s="318">
        <v>85.160942742168899</v>
      </c>
      <c r="K109" s="319">
        <v>23.186395316304601</v>
      </c>
      <c r="L109" s="319">
        <v>23.186395316304601</v>
      </c>
      <c r="M109" s="319">
        <f t="shared" si="1"/>
        <v>23.186395316304601</v>
      </c>
      <c r="N109" s="317">
        <v>0.59357177660414939</v>
      </c>
      <c r="O109" s="315" t="s">
        <v>1168</v>
      </c>
      <c r="P109" s="318">
        <v>159</v>
      </c>
      <c r="R109" s="320">
        <v>70.555555555555557</v>
      </c>
      <c r="S109" s="318">
        <v>42</v>
      </c>
      <c r="T109" s="318">
        <v>35.36</v>
      </c>
      <c r="U109" s="318">
        <v>295</v>
      </c>
      <c r="V109" s="315">
        <v>0.22</v>
      </c>
      <c r="W109" s="318">
        <v>123</v>
      </c>
      <c r="X109" s="315">
        <v>0</v>
      </c>
      <c r="Y109" s="315" t="s">
        <v>1149</v>
      </c>
      <c r="Z109" s="315">
        <v>0</v>
      </c>
      <c r="AA109" s="315" t="s">
        <v>1150</v>
      </c>
      <c r="AB109" s="315"/>
      <c r="AC109" s="315"/>
      <c r="AD109" s="315"/>
      <c r="AE109" s="315"/>
      <c r="AF109" s="315"/>
      <c r="AG109" s="315"/>
      <c r="AH109" s="315"/>
    </row>
    <row r="110" spans="1:34">
      <c r="A110" s="315" t="s">
        <v>1158</v>
      </c>
      <c r="B110" s="315" t="s">
        <v>1659</v>
      </c>
      <c r="C110" s="316" t="s">
        <v>1662</v>
      </c>
      <c r="D110" s="316" t="s">
        <v>1662</v>
      </c>
      <c r="E110" s="317">
        <v>3.3</v>
      </c>
      <c r="F110" s="317">
        <v>0</v>
      </c>
      <c r="G110" s="317">
        <v>0</v>
      </c>
      <c r="H110" s="317">
        <v>0</v>
      </c>
      <c r="I110" s="318">
        <v>0</v>
      </c>
      <c r="J110" s="318">
        <v>51.497875049626899</v>
      </c>
      <c r="K110" s="319">
        <v>38.482686566502601</v>
      </c>
      <c r="L110" s="319">
        <v>38.482686566502601</v>
      </c>
      <c r="M110" s="319">
        <f t="shared" si="1"/>
        <v>38.482686566502601</v>
      </c>
      <c r="N110" s="317">
        <v>1.2699286566945858</v>
      </c>
      <c r="O110" s="315" t="s">
        <v>1168</v>
      </c>
      <c r="P110" s="318">
        <v>159.75</v>
      </c>
      <c r="R110" s="320">
        <v>70.972222222222229</v>
      </c>
      <c r="S110" s="318">
        <v>31.6</v>
      </c>
      <c r="T110" s="318">
        <v>62.240569999999998</v>
      </c>
      <c r="U110" s="318">
        <v>8.3927979999999991</v>
      </c>
      <c r="V110" s="315">
        <v>0.185</v>
      </c>
      <c r="W110" s="318">
        <v>23.465</v>
      </c>
      <c r="X110" s="315">
        <v>3</v>
      </c>
      <c r="Y110" s="315" t="s">
        <v>1149</v>
      </c>
      <c r="Z110" s="315">
        <v>0</v>
      </c>
      <c r="AA110" s="315" t="s">
        <v>1157</v>
      </c>
      <c r="AB110" s="315"/>
      <c r="AC110" s="315"/>
      <c r="AD110" s="315"/>
      <c r="AE110" s="315"/>
      <c r="AF110" s="315"/>
      <c r="AG110" s="315"/>
      <c r="AH110" s="315"/>
    </row>
    <row r="111" spans="1:34">
      <c r="A111" s="315" t="s">
        <v>1158</v>
      </c>
      <c r="B111" s="315" t="s">
        <v>1659</v>
      </c>
      <c r="C111" s="316" t="s">
        <v>1663</v>
      </c>
      <c r="D111" s="316" t="s">
        <v>1663</v>
      </c>
      <c r="E111" s="317">
        <v>4.3099999999999996</v>
      </c>
      <c r="F111" s="317">
        <v>0</v>
      </c>
      <c r="G111" s="317">
        <v>0</v>
      </c>
      <c r="H111" s="317">
        <v>0</v>
      </c>
      <c r="I111" s="318">
        <v>0</v>
      </c>
      <c r="J111" s="318">
        <v>0</v>
      </c>
      <c r="K111" s="319">
        <v>0</v>
      </c>
      <c r="L111" s="319">
        <v>0</v>
      </c>
      <c r="M111" s="319">
        <f t="shared" si="1"/>
        <v>0</v>
      </c>
      <c r="N111" s="317">
        <v>0</v>
      </c>
      <c r="O111" s="315" t="s">
        <v>1168</v>
      </c>
      <c r="P111" s="318">
        <v>159.75</v>
      </c>
      <c r="R111" s="320">
        <v>70.972222222222229</v>
      </c>
      <c r="S111" s="318">
        <v>31.6</v>
      </c>
      <c r="T111" s="318">
        <v>82.451530000000005</v>
      </c>
      <c r="U111" s="318">
        <v>3.6353480000000005</v>
      </c>
      <c r="V111" s="315">
        <v>0.2</v>
      </c>
      <c r="W111" s="318">
        <v>5.7880000000000003</v>
      </c>
      <c r="X111" s="315">
        <v>3</v>
      </c>
      <c r="Y111" s="315" t="s">
        <v>1149</v>
      </c>
      <c r="Z111" s="315">
        <v>0</v>
      </c>
      <c r="AA111" s="315" t="s">
        <v>1157</v>
      </c>
      <c r="AB111" s="315"/>
      <c r="AC111" s="315"/>
      <c r="AD111" s="315"/>
      <c r="AE111" s="315"/>
      <c r="AF111" s="315"/>
      <c r="AG111" s="315"/>
      <c r="AH111" s="315"/>
    </row>
    <row r="112" spans="1:34">
      <c r="A112" s="315" t="s">
        <v>1145</v>
      </c>
      <c r="B112" s="315" t="s">
        <v>1074</v>
      </c>
      <c r="C112" s="316" t="s">
        <v>1694</v>
      </c>
      <c r="D112" s="316" t="s">
        <v>1694</v>
      </c>
      <c r="E112" s="317">
        <v>84.828000000000017</v>
      </c>
      <c r="F112" s="317">
        <v>41.273824230327158</v>
      </c>
      <c r="G112" s="317">
        <v>41.277719164404218</v>
      </c>
      <c r="H112" s="317">
        <v>41.277719164404218</v>
      </c>
      <c r="I112" s="318">
        <v>48.660488475979875</v>
      </c>
      <c r="J112" s="318">
        <v>54.193890639258299</v>
      </c>
      <c r="K112" s="319">
        <v>43.601423015026803</v>
      </c>
      <c r="L112" s="319">
        <v>-5.0590654609530716</v>
      </c>
      <c r="M112" s="319">
        <f t="shared" si="1"/>
        <v>0</v>
      </c>
      <c r="N112" s="317">
        <v>0</v>
      </c>
      <c r="O112" s="315" t="s">
        <v>1148</v>
      </c>
      <c r="P112" s="318">
        <v>160</v>
      </c>
      <c r="R112" s="320">
        <v>71.111111111111114</v>
      </c>
      <c r="S112" s="318">
        <v>26.6</v>
      </c>
      <c r="T112" s="318">
        <v>543</v>
      </c>
      <c r="U112" s="318">
        <v>281</v>
      </c>
      <c r="V112" s="315">
        <v>0.3</v>
      </c>
      <c r="W112" s="318">
        <v>600</v>
      </c>
      <c r="X112" s="315">
        <v>15</v>
      </c>
      <c r="Y112" s="315" t="s">
        <v>1149</v>
      </c>
      <c r="Z112" s="315">
        <v>0</v>
      </c>
      <c r="AA112" s="315" t="s">
        <v>1157</v>
      </c>
      <c r="AB112" s="315"/>
      <c r="AC112" s="315"/>
      <c r="AD112" s="315"/>
      <c r="AE112" s="315"/>
      <c r="AF112" s="315"/>
      <c r="AG112" s="315"/>
      <c r="AH112" s="315"/>
    </row>
    <row r="113" spans="1:27" s="315" customFormat="1">
      <c r="A113" s="315" t="s">
        <v>1369</v>
      </c>
      <c r="B113" s="315" t="s">
        <v>1074</v>
      </c>
      <c r="C113" s="316" t="s">
        <v>1695</v>
      </c>
      <c r="D113" s="316" t="s">
        <v>1695</v>
      </c>
      <c r="E113" s="317">
        <v>113.22500000000002</v>
      </c>
      <c r="F113" s="317">
        <v>64.360551889569976</v>
      </c>
      <c r="G113" s="317">
        <v>65.269288275727192</v>
      </c>
      <c r="H113" s="317">
        <v>65.269288275727192</v>
      </c>
      <c r="I113" s="318">
        <v>57.645650939039243</v>
      </c>
      <c r="J113" s="318">
        <v>48.4921557574799</v>
      </c>
      <c r="K113" s="319">
        <v>45.375045580830594</v>
      </c>
      <c r="L113" s="319">
        <v>-12.270605358208648</v>
      </c>
      <c r="M113" s="319">
        <f t="shared" si="1"/>
        <v>0</v>
      </c>
      <c r="N113" s="317">
        <v>0</v>
      </c>
      <c r="O113" s="315" t="s">
        <v>1148</v>
      </c>
      <c r="P113" s="318">
        <v>160</v>
      </c>
      <c r="R113" s="320">
        <v>71.111111111111114</v>
      </c>
      <c r="S113" s="318">
        <v>36.5</v>
      </c>
      <c r="T113" s="318">
        <v>175</v>
      </c>
      <c r="U113" s="318">
        <v>126</v>
      </c>
      <c r="V113" s="315">
        <v>0.24</v>
      </c>
      <c r="W113" s="318">
        <v>500</v>
      </c>
      <c r="X113" s="315">
        <v>41</v>
      </c>
      <c r="Y113" s="315" t="s">
        <v>1149</v>
      </c>
      <c r="Z113" s="315">
        <v>0</v>
      </c>
      <c r="AA113" s="315" t="s">
        <v>1157</v>
      </c>
    </row>
    <row r="114" spans="1:27" s="315" customFormat="1">
      <c r="A114" s="315" t="s">
        <v>1145</v>
      </c>
      <c r="B114" s="315" t="s">
        <v>1074</v>
      </c>
      <c r="C114" s="316" t="s">
        <v>1697</v>
      </c>
      <c r="D114" s="316" t="s">
        <v>1697</v>
      </c>
      <c r="E114" s="317">
        <v>19.030000000000005</v>
      </c>
      <c r="F114" s="317">
        <v>10.193517458754169</v>
      </c>
      <c r="G114" s="317">
        <v>11.369041039987353</v>
      </c>
      <c r="H114" s="317">
        <v>11.369041039987353</v>
      </c>
      <c r="I114" s="318">
        <v>59.74272748285523</v>
      </c>
      <c r="J114" s="318">
        <v>49.935642653164102</v>
      </c>
      <c r="K114" s="319">
        <v>44.041856527232198</v>
      </c>
      <c r="L114" s="319">
        <v>-15.700870955623031</v>
      </c>
      <c r="M114" s="319">
        <f t="shared" si="1"/>
        <v>0</v>
      </c>
      <c r="N114" s="317">
        <v>0</v>
      </c>
      <c r="O114" s="315" t="s">
        <v>1148</v>
      </c>
      <c r="P114" s="318">
        <v>160</v>
      </c>
      <c r="R114" s="320">
        <v>71.111111111111114</v>
      </c>
      <c r="S114" s="318">
        <v>37</v>
      </c>
      <c r="T114" s="318">
        <v>94.22</v>
      </c>
      <c r="U114" s="318">
        <v>56.531999999999996</v>
      </c>
      <c r="V114" s="315">
        <v>0.22500000000000001</v>
      </c>
      <c r="W114" s="318">
        <v>750</v>
      </c>
      <c r="X114" s="315">
        <v>28</v>
      </c>
      <c r="Y114" s="315" t="s">
        <v>1149</v>
      </c>
      <c r="Z114" s="315">
        <v>0</v>
      </c>
      <c r="AA114" s="315" t="s">
        <v>1157</v>
      </c>
    </row>
    <row r="115" spans="1:27" s="315" customFormat="1">
      <c r="A115" s="315" t="s">
        <v>1145</v>
      </c>
      <c r="B115" s="315" t="s">
        <v>1074</v>
      </c>
      <c r="C115" s="316" t="s">
        <v>1699</v>
      </c>
      <c r="D115" s="316" t="s">
        <v>1699</v>
      </c>
      <c r="E115" s="317">
        <v>30.420000000000009</v>
      </c>
      <c r="F115" s="317">
        <v>19.042296593268624</v>
      </c>
      <c r="G115" s="317">
        <v>21.494409843750724</v>
      </c>
      <c r="H115" s="317">
        <v>21.494409843750724</v>
      </c>
      <c r="I115" s="318">
        <v>70.658809479785404</v>
      </c>
      <c r="J115" s="318">
        <v>49.5333554829691</v>
      </c>
      <c r="K115" s="319">
        <v>44.6818319130332</v>
      </c>
      <c r="L115" s="319">
        <v>-25.976977566752204</v>
      </c>
      <c r="M115" s="319">
        <f t="shared" si="1"/>
        <v>0</v>
      </c>
      <c r="N115" s="317">
        <v>0</v>
      </c>
      <c r="O115" s="315" t="s">
        <v>1148</v>
      </c>
      <c r="P115" s="318">
        <v>160</v>
      </c>
      <c r="R115" s="320">
        <v>71.111111111111114</v>
      </c>
      <c r="S115" s="318">
        <v>37</v>
      </c>
      <c r="T115" s="318">
        <v>59.47</v>
      </c>
      <c r="U115" s="318">
        <v>35.681999999999995</v>
      </c>
      <c r="V115" s="315">
        <v>0.22500000000000001</v>
      </c>
      <c r="W115" s="318">
        <v>750</v>
      </c>
      <c r="X115" s="315">
        <v>27</v>
      </c>
      <c r="Y115" s="315" t="s">
        <v>1149</v>
      </c>
      <c r="Z115" s="315">
        <v>0</v>
      </c>
      <c r="AA115" s="315" t="s">
        <v>1157</v>
      </c>
    </row>
    <row r="116" spans="1:27" s="315" customFormat="1">
      <c r="A116" s="315" t="s">
        <v>1145</v>
      </c>
      <c r="B116" s="315" t="s">
        <v>1074</v>
      </c>
      <c r="C116" s="316" t="s">
        <v>1700</v>
      </c>
      <c r="D116" s="316" t="s">
        <v>1700</v>
      </c>
      <c r="E116" s="317">
        <v>149.21000000000004</v>
      </c>
      <c r="F116" s="317">
        <v>89.042101817156677</v>
      </c>
      <c r="G116" s="317">
        <v>100.77620059943052</v>
      </c>
      <c r="H116" s="317">
        <v>100.77620059943052</v>
      </c>
      <c r="I116" s="318">
        <v>67.539843575786136</v>
      </c>
      <c r="J116" s="318">
        <v>53.370604998791201</v>
      </c>
      <c r="K116" s="319">
        <v>43.596059115578697</v>
      </c>
      <c r="L116" s="319">
        <v>-23.943784460207439</v>
      </c>
      <c r="M116" s="319">
        <f t="shared" si="1"/>
        <v>0</v>
      </c>
      <c r="N116" s="317">
        <v>0</v>
      </c>
      <c r="O116" s="315" t="s">
        <v>1148</v>
      </c>
      <c r="P116" s="318">
        <v>160</v>
      </c>
      <c r="R116" s="320">
        <v>71.111111111111114</v>
      </c>
      <c r="S116" s="318">
        <v>37.299999999999997</v>
      </c>
      <c r="T116" s="318">
        <v>746</v>
      </c>
      <c r="U116" s="318">
        <v>210</v>
      </c>
      <c r="V116" s="315">
        <v>0.22500000000000001</v>
      </c>
      <c r="W116" s="318">
        <v>750</v>
      </c>
      <c r="X116" s="315">
        <v>61</v>
      </c>
      <c r="Y116" s="315" t="s">
        <v>1420</v>
      </c>
      <c r="Z116" s="315">
        <v>4</v>
      </c>
      <c r="AA116" s="315" t="s">
        <v>1190</v>
      </c>
    </row>
    <row r="117" spans="1:27" s="315" customFormat="1">
      <c r="A117" s="315" t="s">
        <v>1145</v>
      </c>
      <c r="B117" s="315" t="s">
        <v>1074</v>
      </c>
      <c r="C117" s="316" t="s">
        <v>1702</v>
      </c>
      <c r="D117" s="316" t="s">
        <v>1702</v>
      </c>
      <c r="E117" s="317">
        <v>6.9300000000000006</v>
      </c>
      <c r="F117" s="317">
        <v>2.7629169643357345</v>
      </c>
      <c r="G117" s="317">
        <v>3.1591202368092306</v>
      </c>
      <c r="H117" s="317">
        <v>3.1591202368092306</v>
      </c>
      <c r="I117" s="318">
        <v>45.586150603307793</v>
      </c>
      <c r="J117" s="318">
        <v>61.7080129711197</v>
      </c>
      <c r="K117" s="319">
        <v>41.223126749739301</v>
      </c>
      <c r="L117" s="319">
        <v>-4.3630238535684924</v>
      </c>
      <c r="M117" s="319">
        <f t="shared" si="1"/>
        <v>0</v>
      </c>
      <c r="N117" s="317">
        <v>0</v>
      </c>
      <c r="O117" s="315" t="s">
        <v>1148</v>
      </c>
      <c r="P117" s="318">
        <v>160</v>
      </c>
      <c r="R117" s="320">
        <v>71.111111111111114</v>
      </c>
      <c r="S117" s="318">
        <v>37</v>
      </c>
      <c r="T117" s="318">
        <v>99.18</v>
      </c>
      <c r="U117" s="318">
        <v>59.508000000000003</v>
      </c>
      <c r="V117" s="315">
        <v>0.22</v>
      </c>
      <c r="W117" s="318">
        <v>350</v>
      </c>
      <c r="X117" s="315">
        <v>6</v>
      </c>
      <c r="Y117" s="315" t="s">
        <v>1149</v>
      </c>
      <c r="Z117" s="315">
        <v>0</v>
      </c>
      <c r="AA117" s="315" t="s">
        <v>1157</v>
      </c>
    </row>
    <row r="118" spans="1:27" s="315" customFormat="1">
      <c r="A118" s="315" t="s">
        <v>1145</v>
      </c>
      <c r="B118" s="315" t="s">
        <v>1074</v>
      </c>
      <c r="C118" s="316" t="s">
        <v>1703</v>
      </c>
      <c r="D118" s="316" t="s">
        <v>1703</v>
      </c>
      <c r="E118" s="317">
        <v>9.7000000000000011</v>
      </c>
      <c r="F118" s="317">
        <v>3.0626815255637254</v>
      </c>
      <c r="G118" s="317">
        <v>3.8304275616007128</v>
      </c>
      <c r="H118" s="317">
        <v>3.8304275616007128</v>
      </c>
      <c r="I118" s="318">
        <v>39.488943934027965</v>
      </c>
      <c r="J118" s="318">
        <v>62.734440353496502</v>
      </c>
      <c r="K118" s="319">
        <v>40.414983342391494</v>
      </c>
      <c r="L118" s="319">
        <v>0.92603940836352905</v>
      </c>
      <c r="M118" s="319">
        <f t="shared" si="1"/>
        <v>0.92603940836352905</v>
      </c>
      <c r="N118" s="317">
        <v>8.9825822611262332E-2</v>
      </c>
      <c r="O118" s="315" t="s">
        <v>1148</v>
      </c>
      <c r="P118" s="318">
        <v>160</v>
      </c>
      <c r="R118" s="320">
        <v>71.111111111111114</v>
      </c>
      <c r="S118" s="318">
        <v>18</v>
      </c>
      <c r="T118" s="318">
        <v>203.04</v>
      </c>
      <c r="U118" s="318">
        <v>121.82399999999998</v>
      </c>
      <c r="V118" s="315">
        <v>0.23499999999999999</v>
      </c>
      <c r="W118" s="318">
        <v>470</v>
      </c>
      <c r="X118" s="315">
        <v>15</v>
      </c>
      <c r="Y118" s="315" t="s">
        <v>1149</v>
      </c>
      <c r="Z118" s="315">
        <v>0</v>
      </c>
      <c r="AA118" s="315" t="s">
        <v>1190</v>
      </c>
    </row>
    <row r="119" spans="1:27" s="315" customFormat="1">
      <c r="A119" s="315" t="s">
        <v>1145</v>
      </c>
      <c r="B119" s="315" t="s">
        <v>1074</v>
      </c>
      <c r="C119" s="316" t="s">
        <v>1704</v>
      </c>
      <c r="D119" s="316" t="s">
        <v>1704</v>
      </c>
      <c r="E119" s="317">
        <v>4.6280000000000019</v>
      </c>
      <c r="F119" s="317">
        <v>1.8434973765409743</v>
      </c>
      <c r="G119" s="317">
        <v>2.064459682825297</v>
      </c>
      <c r="H119" s="317">
        <v>2.064459682825297</v>
      </c>
      <c r="I119" s="318">
        <v>44.608031176000353</v>
      </c>
      <c r="J119" s="318">
        <v>0</v>
      </c>
      <c r="K119" s="319">
        <v>0</v>
      </c>
      <c r="L119" s="319">
        <v>-44.608031176000353</v>
      </c>
      <c r="M119" s="319">
        <f t="shared" si="1"/>
        <v>0</v>
      </c>
      <c r="N119" s="317">
        <v>0</v>
      </c>
      <c r="O119" s="315" t="s">
        <v>1148</v>
      </c>
      <c r="P119" s="318">
        <v>160</v>
      </c>
      <c r="R119" s="320">
        <v>71.111111111111114</v>
      </c>
      <c r="S119" s="318">
        <v>18</v>
      </c>
      <c r="T119" s="318">
        <v>134.97</v>
      </c>
      <c r="U119" s="318">
        <v>80.981999999999999</v>
      </c>
      <c r="V119" s="315">
        <v>0.23499999999999999</v>
      </c>
      <c r="W119" s="318">
        <v>470</v>
      </c>
      <c r="X119" s="315">
        <v>6</v>
      </c>
      <c r="Y119" s="315" t="s">
        <v>1149</v>
      </c>
      <c r="Z119" s="315">
        <v>0</v>
      </c>
      <c r="AA119" s="315" t="s">
        <v>1190</v>
      </c>
    </row>
    <row r="120" spans="1:27" s="315" customFormat="1">
      <c r="A120" s="315" t="s">
        <v>1145</v>
      </c>
      <c r="B120" s="315" t="s">
        <v>1074</v>
      </c>
      <c r="C120" s="316" t="s">
        <v>1706</v>
      </c>
      <c r="D120" s="316" t="s">
        <v>1706</v>
      </c>
      <c r="E120" s="317">
        <v>8.2580000000000009</v>
      </c>
      <c r="F120" s="317">
        <v>2.4929102091858826</v>
      </c>
      <c r="G120" s="317">
        <v>3.5842178687890045</v>
      </c>
      <c r="H120" s="317">
        <v>3.5842178687890045</v>
      </c>
      <c r="I120" s="318">
        <v>43.402977340627316</v>
      </c>
      <c r="J120" s="318">
        <v>0</v>
      </c>
      <c r="K120" s="319">
        <v>0</v>
      </c>
      <c r="L120" s="319">
        <v>-43.402977340627316</v>
      </c>
      <c r="M120" s="319">
        <f t="shared" si="1"/>
        <v>0</v>
      </c>
      <c r="N120" s="317">
        <v>0</v>
      </c>
      <c r="O120" s="315" t="s">
        <v>1148</v>
      </c>
      <c r="P120" s="318">
        <v>160</v>
      </c>
      <c r="R120" s="320">
        <v>71.111111111111114</v>
      </c>
      <c r="S120" s="318">
        <v>18</v>
      </c>
      <c r="T120" s="318">
        <v>83.68</v>
      </c>
      <c r="U120" s="318">
        <v>50.208000000000006</v>
      </c>
      <c r="V120" s="315">
        <v>0.23499999999999999</v>
      </c>
      <c r="W120" s="318">
        <v>470</v>
      </c>
      <c r="X120" s="315">
        <v>7</v>
      </c>
      <c r="Y120" s="315" t="s">
        <v>1149</v>
      </c>
      <c r="Z120" s="315">
        <v>0</v>
      </c>
      <c r="AA120" s="315" t="s">
        <v>1190</v>
      </c>
    </row>
    <row r="121" spans="1:27" s="315" customFormat="1">
      <c r="A121" s="315" t="s">
        <v>1145</v>
      </c>
      <c r="B121" s="315" t="s">
        <v>1074</v>
      </c>
      <c r="C121" s="316" t="s">
        <v>1708</v>
      </c>
      <c r="D121" s="316" t="s">
        <v>1708</v>
      </c>
      <c r="E121" s="317">
        <v>32.116000000000007</v>
      </c>
      <c r="F121" s="317">
        <v>19.560622895327633</v>
      </c>
      <c r="G121" s="317">
        <v>19.841484073268571</v>
      </c>
      <c r="H121" s="317">
        <v>19.841484073268571</v>
      </c>
      <c r="I121" s="318">
        <v>61.78068275398109</v>
      </c>
      <c r="J121" s="318">
        <v>37.121625279244597</v>
      </c>
      <c r="K121" s="319">
        <v>47.5868471778507</v>
      </c>
      <c r="L121" s="319">
        <v>-14.19383557613039</v>
      </c>
      <c r="M121" s="319">
        <f t="shared" si="1"/>
        <v>0</v>
      </c>
      <c r="N121" s="317">
        <v>0</v>
      </c>
      <c r="O121" s="315" t="s">
        <v>1148</v>
      </c>
      <c r="P121" s="318">
        <v>160</v>
      </c>
      <c r="R121" s="320">
        <v>71.111111111111114</v>
      </c>
      <c r="S121" s="318">
        <v>26.6</v>
      </c>
      <c r="T121" s="318">
        <v>301.74</v>
      </c>
      <c r="U121" s="318">
        <v>181.04400000000001</v>
      </c>
      <c r="V121" s="315">
        <v>0.3</v>
      </c>
      <c r="W121" s="318">
        <v>600</v>
      </c>
      <c r="X121" s="315">
        <v>23</v>
      </c>
      <c r="Y121" s="315" t="s">
        <v>1149</v>
      </c>
      <c r="Z121" s="315">
        <v>0</v>
      </c>
      <c r="AA121" s="315" t="s">
        <v>1190</v>
      </c>
    </row>
    <row r="122" spans="1:27" s="315" customFormat="1">
      <c r="A122" s="315" t="s">
        <v>1145</v>
      </c>
      <c r="B122" s="315" t="s">
        <v>1074</v>
      </c>
      <c r="C122" s="316" t="s">
        <v>1709</v>
      </c>
      <c r="D122" s="316" t="s">
        <v>1709</v>
      </c>
      <c r="E122" s="317">
        <v>15.582000000000004</v>
      </c>
      <c r="F122" s="317">
        <v>5.8066530482017056</v>
      </c>
      <c r="G122" s="317">
        <v>6.5829995243004111</v>
      </c>
      <c r="H122" s="317">
        <v>6.7598462306386349</v>
      </c>
      <c r="I122" s="318">
        <v>43.382404252590376</v>
      </c>
      <c r="J122" s="318">
        <v>40.432500651511297</v>
      </c>
      <c r="K122" s="319">
        <v>46.7622809749354</v>
      </c>
      <c r="L122" s="319">
        <v>3.3798767223450241</v>
      </c>
      <c r="M122" s="319">
        <f t="shared" si="1"/>
        <v>3.3798767223450241</v>
      </c>
      <c r="N122" s="317">
        <v>0.52665239087580173</v>
      </c>
      <c r="O122" s="315" t="s">
        <v>1148</v>
      </c>
      <c r="P122" s="318">
        <v>160</v>
      </c>
      <c r="R122" s="320">
        <v>71.111111111111114</v>
      </c>
      <c r="S122" s="318">
        <v>36.5</v>
      </c>
      <c r="T122" s="318">
        <v>307.77</v>
      </c>
      <c r="U122" s="318">
        <v>184.66199999999998</v>
      </c>
      <c r="V122" s="315">
        <v>0.24</v>
      </c>
      <c r="W122" s="318">
        <v>500</v>
      </c>
      <c r="X122" s="315">
        <v>13</v>
      </c>
      <c r="Y122" s="315" t="s">
        <v>1149</v>
      </c>
      <c r="Z122" s="315">
        <v>0</v>
      </c>
      <c r="AA122" s="315" t="s">
        <v>1157</v>
      </c>
    </row>
    <row r="123" spans="1:27" s="315" customFormat="1">
      <c r="A123" s="315" t="s">
        <v>1145</v>
      </c>
      <c r="B123" s="315" t="s">
        <v>1074</v>
      </c>
      <c r="C123" s="316" t="s">
        <v>1710</v>
      </c>
      <c r="D123" s="316" t="s">
        <v>1710</v>
      </c>
      <c r="E123" s="317">
        <v>5.1100000000000012</v>
      </c>
      <c r="F123" s="317">
        <v>8.9591018299287947E-3</v>
      </c>
      <c r="G123" s="317">
        <v>0.2024484163348455</v>
      </c>
      <c r="H123" s="317">
        <v>0.2024484163348455</v>
      </c>
      <c r="I123" s="318">
        <v>3.9618085388423769</v>
      </c>
      <c r="J123" s="318">
        <v>59.726373838447103</v>
      </c>
      <c r="K123" s="319">
        <v>41.932922241205901</v>
      </c>
      <c r="L123" s="319">
        <v>37.971113702363525</v>
      </c>
      <c r="M123" s="319">
        <f t="shared" si="1"/>
        <v>37.971113702363525</v>
      </c>
      <c r="N123" s="317">
        <v>1.9403239101907765</v>
      </c>
      <c r="O123" s="315" t="s">
        <v>1148</v>
      </c>
      <c r="P123" s="318">
        <v>160</v>
      </c>
      <c r="R123" s="320">
        <v>71.111111111111114</v>
      </c>
      <c r="S123" s="318">
        <v>37</v>
      </c>
      <c r="T123" s="318">
        <v>94.22</v>
      </c>
      <c r="U123" s="318">
        <v>56.531999999999996</v>
      </c>
      <c r="V123" s="315">
        <v>0.22500000000000001</v>
      </c>
      <c r="W123" s="318">
        <v>750</v>
      </c>
      <c r="X123" s="315">
        <v>1</v>
      </c>
      <c r="Y123" s="315" t="s">
        <v>1149</v>
      </c>
      <c r="Z123" s="315">
        <v>0</v>
      </c>
      <c r="AA123" s="315" t="s">
        <v>1157</v>
      </c>
    </row>
    <row r="124" spans="1:27" s="315" customFormat="1">
      <c r="A124" s="315" t="s">
        <v>1145</v>
      </c>
      <c r="B124" s="315" t="s">
        <v>1074</v>
      </c>
      <c r="C124" s="316" t="s">
        <v>1711</v>
      </c>
      <c r="D124" s="316" t="s">
        <v>1711</v>
      </c>
      <c r="E124" s="317">
        <v>25.320000000000007</v>
      </c>
      <c r="F124" s="317">
        <v>0.29585496042944048</v>
      </c>
      <c r="G124" s="317">
        <v>0.69144270298685617</v>
      </c>
      <c r="H124" s="317">
        <v>0.69144270298685617</v>
      </c>
      <c r="I124" s="318">
        <v>2.7308163625073303</v>
      </c>
      <c r="J124" s="318">
        <v>64.154765869498405</v>
      </c>
      <c r="K124" s="319">
        <v>40.070377451709497</v>
      </c>
      <c r="L124" s="319">
        <v>37.339561089202164</v>
      </c>
      <c r="M124" s="319">
        <f t="shared" si="1"/>
        <v>37.339561089202164</v>
      </c>
      <c r="N124" s="317">
        <v>9.4543768677859905</v>
      </c>
      <c r="O124" s="315" t="s">
        <v>1148</v>
      </c>
      <c r="P124" s="318">
        <v>160</v>
      </c>
      <c r="R124" s="320">
        <v>71.111111111111114</v>
      </c>
      <c r="S124" s="318">
        <v>37</v>
      </c>
      <c r="T124" s="318">
        <v>346.36</v>
      </c>
      <c r="U124" s="318">
        <v>207.816</v>
      </c>
      <c r="V124" s="315">
        <v>0.22500000000000001</v>
      </c>
      <c r="W124" s="318">
        <v>750</v>
      </c>
      <c r="X124" s="315">
        <v>1</v>
      </c>
      <c r="Y124" s="315" t="s">
        <v>1149</v>
      </c>
      <c r="Z124" s="315">
        <v>0</v>
      </c>
      <c r="AA124" s="315" t="s">
        <v>1190</v>
      </c>
    </row>
    <row r="125" spans="1:27" s="315" customFormat="1">
      <c r="A125" s="315" t="s">
        <v>1145</v>
      </c>
      <c r="B125" s="315" t="s">
        <v>1074</v>
      </c>
      <c r="C125" s="316" t="s">
        <v>1712</v>
      </c>
      <c r="D125" s="316" t="s">
        <v>1712</v>
      </c>
      <c r="E125" s="317">
        <v>9.7000000000000011</v>
      </c>
      <c r="F125" s="317">
        <v>3.0626815255637254</v>
      </c>
      <c r="G125" s="317">
        <v>3.8304275616007128</v>
      </c>
      <c r="H125" s="317">
        <v>3.8304275616007128</v>
      </c>
      <c r="I125" s="318">
        <v>39.488943934027965</v>
      </c>
      <c r="J125" s="318">
        <v>62.734440353496502</v>
      </c>
      <c r="K125" s="319">
        <v>39.810318674268601</v>
      </c>
      <c r="L125" s="319">
        <v>0.3213747402406355</v>
      </c>
      <c r="M125" s="319">
        <f t="shared" si="1"/>
        <v>0.3213747402406355</v>
      </c>
      <c r="N125" s="317">
        <v>3.1173349803341646E-2</v>
      </c>
      <c r="O125" s="315" t="s">
        <v>1148</v>
      </c>
      <c r="P125" s="318">
        <v>160</v>
      </c>
      <c r="R125" s="320">
        <v>71.111111111111114</v>
      </c>
      <c r="S125" s="318">
        <v>18</v>
      </c>
      <c r="T125" s="318">
        <v>134.97</v>
      </c>
      <c r="U125" s="318">
        <v>80.981999999999999</v>
      </c>
      <c r="V125" s="315">
        <v>0.23499999999999999</v>
      </c>
      <c r="W125" s="318">
        <v>470</v>
      </c>
      <c r="X125" s="315">
        <v>21</v>
      </c>
      <c r="Y125" s="315" t="s">
        <v>1149</v>
      </c>
      <c r="Z125" s="315">
        <v>0</v>
      </c>
      <c r="AA125" s="315" t="s">
        <v>1190</v>
      </c>
    </row>
    <row r="126" spans="1:27" s="315" customFormat="1">
      <c r="A126" s="315" t="s">
        <v>1145</v>
      </c>
      <c r="B126" s="315" t="s">
        <v>1074</v>
      </c>
      <c r="C126" s="316" t="s">
        <v>1713</v>
      </c>
      <c r="D126" s="316" t="s">
        <v>1713</v>
      </c>
      <c r="E126" s="317">
        <v>15.523000000000003</v>
      </c>
      <c r="F126" s="317">
        <v>5.2430684709156061</v>
      </c>
      <c r="G126" s="317">
        <v>5.6974153042526225</v>
      </c>
      <c r="H126" s="317">
        <v>5.6974153042526225</v>
      </c>
      <c r="I126" s="318">
        <v>36.703055493478203</v>
      </c>
      <c r="J126" s="318">
        <v>65.231588029467503</v>
      </c>
      <c r="K126" s="319">
        <v>39.345284118388705</v>
      </c>
      <c r="L126" s="319">
        <v>2.6422286249105014</v>
      </c>
      <c r="M126" s="319">
        <f t="shared" si="1"/>
        <v>2.6422286249105014</v>
      </c>
      <c r="N126" s="317">
        <v>0.4101531494448572</v>
      </c>
      <c r="O126" s="315" t="s">
        <v>1148</v>
      </c>
      <c r="P126" s="318">
        <v>160</v>
      </c>
      <c r="R126" s="320">
        <v>71.111111111111114</v>
      </c>
      <c r="S126" s="318">
        <v>18.5</v>
      </c>
      <c r="T126" s="318">
        <v>236.61</v>
      </c>
      <c r="U126" s="318">
        <v>141.96600000000001</v>
      </c>
      <c r="V126" s="315">
        <v>0.31</v>
      </c>
      <c r="W126" s="318">
        <v>1500</v>
      </c>
      <c r="X126" s="315">
        <v>28</v>
      </c>
      <c r="Y126" s="315" t="s">
        <v>1149</v>
      </c>
      <c r="Z126" s="315">
        <v>0</v>
      </c>
      <c r="AA126" s="315" t="s">
        <v>1150</v>
      </c>
    </row>
    <row r="127" spans="1:27" s="315" customFormat="1">
      <c r="A127" s="315" t="s">
        <v>1145</v>
      </c>
      <c r="B127" s="315" t="s">
        <v>1074</v>
      </c>
      <c r="C127" s="316" t="s">
        <v>1714</v>
      </c>
      <c r="D127" s="316" t="s">
        <v>1714</v>
      </c>
      <c r="E127" s="317">
        <v>7.7380000000000022</v>
      </c>
      <c r="F127" s="317">
        <v>2.3311414761440372</v>
      </c>
      <c r="G127" s="317">
        <v>2.3586250222224394</v>
      </c>
      <c r="H127" s="317">
        <v>2.3586250222224394</v>
      </c>
      <c r="I127" s="318">
        <v>30.481067746477624</v>
      </c>
      <c r="J127" s="318">
        <v>64.265301466470603</v>
      </c>
      <c r="K127" s="319">
        <v>38.865502480174605</v>
      </c>
      <c r="L127" s="319">
        <v>8.3844347336969811</v>
      </c>
      <c r="M127" s="319">
        <f t="shared" si="1"/>
        <v>8.3844347336969811</v>
      </c>
      <c r="N127" s="317">
        <v>0.64878755969347257</v>
      </c>
      <c r="O127" s="315" t="s">
        <v>1148</v>
      </c>
      <c r="P127" s="318">
        <v>160</v>
      </c>
      <c r="R127" s="320">
        <v>71.111111111111114</v>
      </c>
      <c r="S127" s="318">
        <v>18.5</v>
      </c>
      <c r="T127" s="318">
        <v>96.24</v>
      </c>
      <c r="U127" s="318">
        <v>57.743999999999993</v>
      </c>
      <c r="V127" s="315">
        <v>0.31</v>
      </c>
      <c r="W127" s="318">
        <v>1500</v>
      </c>
      <c r="X127" s="315">
        <v>24</v>
      </c>
      <c r="Y127" s="315" t="s">
        <v>1149</v>
      </c>
      <c r="Z127" s="315">
        <v>0</v>
      </c>
      <c r="AA127" s="315" t="s">
        <v>1190</v>
      </c>
    </row>
    <row r="128" spans="1:27" s="315" customFormat="1">
      <c r="A128" s="315" t="s">
        <v>1145</v>
      </c>
      <c r="B128" s="315" t="s">
        <v>1074</v>
      </c>
      <c r="C128" s="316" t="s">
        <v>1716</v>
      </c>
      <c r="D128" s="316" t="s">
        <v>1716</v>
      </c>
      <c r="E128" s="317">
        <v>38.004200000000004</v>
      </c>
      <c r="F128" s="317">
        <v>24.152886433313984</v>
      </c>
      <c r="G128" s="317">
        <v>24.687239708757325</v>
      </c>
      <c r="H128" s="317">
        <v>24.687239708757325</v>
      </c>
      <c r="I128" s="318">
        <v>64.959240580665607</v>
      </c>
      <c r="J128" s="318">
        <v>56.301253579532698</v>
      </c>
      <c r="K128" s="319">
        <v>41.897213477585296</v>
      </c>
      <c r="L128" s="319">
        <v>-23.062027103080311</v>
      </c>
      <c r="M128" s="319">
        <f t="shared" si="1"/>
        <v>0</v>
      </c>
      <c r="N128" s="317">
        <v>0</v>
      </c>
      <c r="O128" s="315" t="s">
        <v>1148</v>
      </c>
      <c r="P128" s="318">
        <v>160</v>
      </c>
      <c r="R128" s="320">
        <v>71.111111111111114</v>
      </c>
      <c r="S128" s="318">
        <v>20</v>
      </c>
      <c r="T128" s="318">
        <v>129.28</v>
      </c>
      <c r="U128" s="318">
        <v>77.567999999999998</v>
      </c>
      <c r="V128" s="315">
        <v>0.3</v>
      </c>
      <c r="W128" s="318">
        <v>1500</v>
      </c>
      <c r="X128" s="315">
        <v>41</v>
      </c>
      <c r="Y128" s="315" t="s">
        <v>1149</v>
      </c>
      <c r="Z128" s="315">
        <v>0</v>
      </c>
      <c r="AA128" s="315" t="s">
        <v>1190</v>
      </c>
    </row>
    <row r="129" spans="1:27" s="315" customFormat="1">
      <c r="A129" s="315" t="s">
        <v>1145</v>
      </c>
      <c r="B129" s="315" t="s">
        <v>1074</v>
      </c>
      <c r="C129" s="316" t="s">
        <v>1718</v>
      </c>
      <c r="D129" s="316" t="s">
        <v>1718</v>
      </c>
      <c r="E129" s="317">
        <v>6.1185000000000009</v>
      </c>
      <c r="F129" s="317">
        <v>1.5249970114861287</v>
      </c>
      <c r="G129" s="317">
        <v>1.653635874807506</v>
      </c>
      <c r="H129" s="317">
        <v>1.653635874807506</v>
      </c>
      <c r="I129" s="318">
        <v>27.026818252962421</v>
      </c>
      <c r="J129" s="318">
        <v>55.531532876137703</v>
      </c>
      <c r="K129" s="319">
        <v>42.373774340930595</v>
      </c>
      <c r="L129" s="319">
        <v>15.346956087968174</v>
      </c>
      <c r="M129" s="319">
        <f t="shared" si="1"/>
        <v>15.346956087968174</v>
      </c>
      <c r="N129" s="317">
        <v>0.93900350824233292</v>
      </c>
      <c r="O129" s="315" t="s">
        <v>1148</v>
      </c>
      <c r="P129" s="318">
        <v>160</v>
      </c>
      <c r="R129" s="320">
        <v>71.111111111111114</v>
      </c>
      <c r="S129" s="318">
        <v>20</v>
      </c>
      <c r="T129" s="318">
        <v>51.75</v>
      </c>
      <c r="U129" s="318">
        <v>31.049999999999997</v>
      </c>
      <c r="V129" s="315">
        <v>0.3</v>
      </c>
      <c r="W129" s="318">
        <v>1500</v>
      </c>
      <c r="X129" s="315">
        <v>8</v>
      </c>
      <c r="Y129" s="315" t="s">
        <v>1149</v>
      </c>
      <c r="Z129" s="315">
        <v>0</v>
      </c>
      <c r="AA129" s="315" t="s">
        <v>1190</v>
      </c>
    </row>
    <row r="130" spans="1:27" s="315" customFormat="1">
      <c r="A130" s="315" t="s">
        <v>1145</v>
      </c>
      <c r="B130" s="315" t="s">
        <v>1074</v>
      </c>
      <c r="C130" s="316" t="s">
        <v>1719</v>
      </c>
      <c r="D130" s="316" t="s">
        <v>1719</v>
      </c>
      <c r="E130" s="317">
        <v>6.6894000000000009</v>
      </c>
      <c r="F130" s="317">
        <v>1.8265086730709705</v>
      </c>
      <c r="G130" s="317">
        <v>2.1409306378853099</v>
      </c>
      <c r="H130" s="317">
        <v>2.1409306378853099</v>
      </c>
      <c r="I130" s="318">
        <v>32.00482312143555</v>
      </c>
      <c r="J130" s="318">
        <v>56.061052619009999</v>
      </c>
      <c r="K130" s="319">
        <v>41.823293981602397</v>
      </c>
      <c r="L130" s="319">
        <v>9.8184708601668476</v>
      </c>
      <c r="M130" s="319">
        <f t="shared" si="1"/>
        <v>9.8184708601668476</v>
      </c>
      <c r="N130" s="317">
        <v>0.65679678972000122</v>
      </c>
      <c r="O130" s="315" t="s">
        <v>1148</v>
      </c>
      <c r="P130" s="318">
        <v>160</v>
      </c>
      <c r="R130" s="320">
        <v>71.111111111111114</v>
      </c>
      <c r="S130" s="318">
        <v>20</v>
      </c>
      <c r="T130" s="318">
        <v>24.1</v>
      </c>
      <c r="U130" s="318">
        <v>14.46</v>
      </c>
      <c r="V130" s="315">
        <v>0.3</v>
      </c>
      <c r="W130" s="318">
        <v>1500</v>
      </c>
      <c r="X130" s="315">
        <v>9</v>
      </c>
      <c r="Y130" s="315" t="s">
        <v>1149</v>
      </c>
      <c r="Z130" s="315">
        <v>0</v>
      </c>
      <c r="AA130" s="315" t="s">
        <v>1190</v>
      </c>
    </row>
    <row r="131" spans="1:27" s="315" customFormat="1">
      <c r="A131" s="315" t="s">
        <v>1145</v>
      </c>
      <c r="B131" s="315" t="s">
        <v>1074</v>
      </c>
      <c r="C131" s="316" t="s">
        <v>1720</v>
      </c>
      <c r="D131" s="316" t="s">
        <v>1720</v>
      </c>
      <c r="E131" s="317">
        <v>16.344400000000004</v>
      </c>
      <c r="F131" s="317">
        <v>8.5348065432649545</v>
      </c>
      <c r="G131" s="317">
        <v>8.8778822082976827</v>
      </c>
      <c r="H131" s="317">
        <v>8.8778822082976827</v>
      </c>
      <c r="I131" s="318">
        <v>54.317577936771499</v>
      </c>
      <c r="J131" s="318">
        <v>57.902836850704503</v>
      </c>
      <c r="K131" s="319">
        <v>41.029081449137401</v>
      </c>
      <c r="L131" s="319">
        <v>-13.288496487634099</v>
      </c>
      <c r="M131" s="319">
        <f t="shared" ref="M131:M194" si="2">IF(L131&lt;0,0,L131)</f>
        <v>0</v>
      </c>
      <c r="N131" s="317">
        <v>0</v>
      </c>
      <c r="O131" s="315" t="s">
        <v>1148</v>
      </c>
      <c r="P131" s="318">
        <v>160</v>
      </c>
      <c r="R131" s="320">
        <v>71.111111111111114</v>
      </c>
      <c r="S131" s="318">
        <v>19</v>
      </c>
      <c r="T131" s="318">
        <v>162.99</v>
      </c>
      <c r="U131" s="318">
        <v>97.793999999999997</v>
      </c>
      <c r="V131" s="315">
        <v>0.3</v>
      </c>
      <c r="W131" s="318">
        <v>1000</v>
      </c>
      <c r="X131" s="315">
        <v>11</v>
      </c>
      <c r="Y131" s="315" t="s">
        <v>1149</v>
      </c>
      <c r="Z131" s="315">
        <v>0</v>
      </c>
      <c r="AA131" s="315" t="s">
        <v>1150</v>
      </c>
    </row>
    <row r="132" spans="1:27" s="315" customFormat="1">
      <c r="A132" s="315" t="s">
        <v>1145</v>
      </c>
      <c r="B132" s="315" t="s">
        <v>1074</v>
      </c>
      <c r="C132" s="316" t="s">
        <v>1721</v>
      </c>
      <c r="D132" s="316" t="s">
        <v>1721</v>
      </c>
      <c r="E132" s="317">
        <v>97.986000000000033</v>
      </c>
      <c r="F132" s="317">
        <v>69.549304705695818</v>
      </c>
      <c r="G132" s="317">
        <v>71.448713772194566</v>
      </c>
      <c r="H132" s="317">
        <v>71.501405104226563</v>
      </c>
      <c r="I132" s="318">
        <v>72.971041887847804</v>
      </c>
      <c r="J132" s="318">
        <v>54.306168077827301</v>
      </c>
      <c r="K132" s="319">
        <v>43.511438479886202</v>
      </c>
      <c r="L132" s="319">
        <v>-29.459603407961602</v>
      </c>
      <c r="M132" s="319">
        <f t="shared" si="2"/>
        <v>0</v>
      </c>
      <c r="N132" s="317">
        <v>0</v>
      </c>
      <c r="O132" s="315" t="s">
        <v>1148</v>
      </c>
      <c r="P132" s="318">
        <v>160</v>
      </c>
      <c r="R132" s="320">
        <v>71.111111111111114</v>
      </c>
      <c r="S132" s="318">
        <v>26.6</v>
      </c>
      <c r="T132" s="318">
        <v>610</v>
      </c>
      <c r="U132" s="318">
        <v>290</v>
      </c>
      <c r="V132" s="315">
        <v>0.3</v>
      </c>
      <c r="W132" s="318">
        <v>600</v>
      </c>
      <c r="X132" s="315">
        <v>20</v>
      </c>
      <c r="Y132" s="315" t="s">
        <v>1149</v>
      </c>
      <c r="Z132" s="315">
        <v>0</v>
      </c>
      <c r="AA132" s="315" t="s">
        <v>1157</v>
      </c>
    </row>
    <row r="133" spans="1:27" s="315" customFormat="1">
      <c r="A133" s="315" t="s">
        <v>1145</v>
      </c>
      <c r="B133" s="315" t="s">
        <v>1074</v>
      </c>
      <c r="C133" s="316" t="s">
        <v>1722</v>
      </c>
      <c r="D133" s="316" t="s">
        <v>1722</v>
      </c>
      <c r="E133" s="317">
        <v>42.488000000000007</v>
      </c>
      <c r="F133" s="317">
        <v>36.523227960000767</v>
      </c>
      <c r="G133" s="317">
        <v>37.237890742490663</v>
      </c>
      <c r="H133" s="317">
        <v>37.237890742490663</v>
      </c>
      <c r="I133" s="318">
        <v>87.643312800062745</v>
      </c>
      <c r="J133" s="318">
        <v>48.951421278965299</v>
      </c>
      <c r="K133" s="319">
        <v>45.087543635958696</v>
      </c>
      <c r="L133" s="319">
        <v>-42.555769164104049</v>
      </c>
      <c r="M133" s="319">
        <f t="shared" si="2"/>
        <v>0</v>
      </c>
      <c r="N133" s="317">
        <v>0</v>
      </c>
      <c r="O133" s="315" t="s">
        <v>1148</v>
      </c>
      <c r="P133" s="318">
        <v>160</v>
      </c>
      <c r="R133" s="320">
        <v>71.111111111111114</v>
      </c>
      <c r="S133" s="318">
        <v>36.5</v>
      </c>
      <c r="T133" s="318">
        <v>322</v>
      </c>
      <c r="U133" s="318">
        <v>126</v>
      </c>
      <c r="V133" s="315">
        <v>0.24</v>
      </c>
      <c r="W133" s="318">
        <v>500</v>
      </c>
      <c r="X133" s="315">
        <v>19</v>
      </c>
      <c r="Y133" s="315" t="s">
        <v>1149</v>
      </c>
      <c r="Z133" s="315">
        <v>0</v>
      </c>
      <c r="AA133" s="315" t="s">
        <v>1157</v>
      </c>
    </row>
    <row r="134" spans="1:27" s="315" customFormat="1">
      <c r="A134" s="315" t="s">
        <v>1145</v>
      </c>
      <c r="B134" s="315" t="s">
        <v>1074</v>
      </c>
      <c r="C134" s="316" t="s">
        <v>1724</v>
      </c>
      <c r="D134" s="316" t="s">
        <v>1724</v>
      </c>
      <c r="E134" s="317">
        <v>21.260000000000005</v>
      </c>
      <c r="F134" s="317">
        <v>5.7356858216148714</v>
      </c>
      <c r="G134" s="317">
        <v>5.7411825109891597</v>
      </c>
      <c r="H134" s="317">
        <v>5.7411825109891597</v>
      </c>
      <c r="I134" s="318">
        <v>27.00462140634599</v>
      </c>
      <c r="J134" s="318">
        <v>64.154765869498405</v>
      </c>
      <c r="K134" s="319">
        <v>40.070377451709497</v>
      </c>
      <c r="L134" s="319">
        <v>13.065756045363507</v>
      </c>
      <c r="M134" s="319">
        <f t="shared" si="2"/>
        <v>13.065756045363507</v>
      </c>
      <c r="N134" s="317">
        <v>2.7777797352442826</v>
      </c>
      <c r="O134" s="315" t="s">
        <v>1148</v>
      </c>
      <c r="P134" s="318">
        <v>160</v>
      </c>
      <c r="R134" s="320">
        <v>71.111111111111114</v>
      </c>
      <c r="S134" s="318">
        <v>37</v>
      </c>
      <c r="T134" s="318">
        <v>346.36</v>
      </c>
      <c r="U134" s="318">
        <v>207.816</v>
      </c>
      <c r="V134" s="315">
        <v>0.22500000000000001</v>
      </c>
      <c r="W134" s="318">
        <v>750</v>
      </c>
      <c r="X134" s="315">
        <v>12</v>
      </c>
      <c r="Y134" s="315" t="s">
        <v>1149</v>
      </c>
      <c r="Z134" s="315">
        <v>0</v>
      </c>
      <c r="AA134" s="315" t="s">
        <v>1190</v>
      </c>
    </row>
    <row r="135" spans="1:27" s="315" customFormat="1">
      <c r="A135" s="315" t="s">
        <v>1391</v>
      </c>
      <c r="B135" s="315" t="s">
        <v>1074</v>
      </c>
      <c r="C135" s="316" t="s">
        <v>1726</v>
      </c>
      <c r="D135" s="316" t="s">
        <v>1726</v>
      </c>
      <c r="E135" s="317">
        <v>15.582000000000004</v>
      </c>
      <c r="F135" s="317">
        <v>5.8066530482017056</v>
      </c>
      <c r="G135" s="317">
        <v>6.5829995243004111</v>
      </c>
      <c r="H135" s="317">
        <v>6.7598462306386349</v>
      </c>
      <c r="I135" s="318">
        <v>43.382404252590376</v>
      </c>
      <c r="J135" s="318">
        <v>73.553217693095306</v>
      </c>
      <c r="K135" s="319">
        <v>34.438603715889101</v>
      </c>
      <c r="L135" s="319">
        <v>-8.943800536701275</v>
      </c>
      <c r="M135" s="319">
        <f t="shared" si="2"/>
        <v>0</v>
      </c>
      <c r="N135" s="317">
        <v>0</v>
      </c>
      <c r="O135" s="315" t="s">
        <v>1148</v>
      </c>
      <c r="P135" s="318">
        <v>160</v>
      </c>
      <c r="R135" s="320">
        <v>71.111111111111114</v>
      </c>
      <c r="S135" s="318">
        <v>36.5</v>
      </c>
      <c r="T135" s="318">
        <v>180.56</v>
      </c>
      <c r="U135" s="318">
        <v>108.336</v>
      </c>
      <c r="V135" s="315">
        <v>0.23499999999999999</v>
      </c>
      <c r="W135" s="318">
        <v>362</v>
      </c>
      <c r="X135" s="315">
        <v>6</v>
      </c>
      <c r="Y135" s="315" t="s">
        <v>1149</v>
      </c>
      <c r="Z135" s="315">
        <v>0</v>
      </c>
      <c r="AA135" s="315" t="s">
        <v>1157</v>
      </c>
    </row>
    <row r="136" spans="1:27" s="315" customFormat="1">
      <c r="A136" s="315" t="s">
        <v>1393</v>
      </c>
      <c r="B136" s="315" t="s">
        <v>1074</v>
      </c>
      <c r="C136" s="316" t="s">
        <v>1727</v>
      </c>
      <c r="D136" s="316" t="s">
        <v>1727</v>
      </c>
      <c r="E136" s="317">
        <v>3.7930000000000006</v>
      </c>
      <c r="F136" s="317">
        <v>0.13899812839086803</v>
      </c>
      <c r="G136" s="317">
        <v>0.13899812839086803</v>
      </c>
      <c r="H136" s="317">
        <v>0.13899812839086803</v>
      </c>
      <c r="I136" s="318">
        <v>3.6645960556516739</v>
      </c>
      <c r="J136" s="318">
        <v>68.803619493124302</v>
      </c>
      <c r="K136" s="319">
        <v>37.4743015761237</v>
      </c>
      <c r="L136" s="319">
        <v>33.809705520472029</v>
      </c>
      <c r="M136" s="319">
        <f t="shared" si="2"/>
        <v>33.809705520472029</v>
      </c>
      <c r="N136" s="317">
        <v>1.2824021303915043</v>
      </c>
      <c r="O136" s="315" t="s">
        <v>1148</v>
      </c>
      <c r="P136" s="318">
        <v>160</v>
      </c>
      <c r="R136" s="320">
        <v>71.111111111111114</v>
      </c>
      <c r="S136" s="318">
        <v>36.5</v>
      </c>
      <c r="T136" s="318">
        <v>231.55</v>
      </c>
      <c r="U136" s="318">
        <v>138.93</v>
      </c>
      <c r="V136" s="315">
        <v>0.23499999999999999</v>
      </c>
      <c r="W136" s="318">
        <v>362</v>
      </c>
      <c r="X136" s="315">
        <v>5</v>
      </c>
      <c r="Y136" s="315" t="s">
        <v>1149</v>
      </c>
      <c r="Z136" s="315">
        <v>0</v>
      </c>
      <c r="AA136" s="315" t="s">
        <v>1157</v>
      </c>
    </row>
    <row r="137" spans="1:27" s="315" customFormat="1">
      <c r="A137" s="315" t="s">
        <v>1395</v>
      </c>
      <c r="B137" s="315" t="s">
        <v>1074</v>
      </c>
      <c r="C137" s="316" t="s">
        <v>1728</v>
      </c>
      <c r="D137" s="316" t="s">
        <v>1728</v>
      </c>
      <c r="E137" s="317">
        <v>15.582000000000004</v>
      </c>
      <c r="F137" s="317">
        <v>5.8066530482017056</v>
      </c>
      <c r="G137" s="317">
        <v>6.5829995243004111</v>
      </c>
      <c r="H137" s="317">
        <v>6.7598462306386349</v>
      </c>
      <c r="I137" s="318">
        <v>43.382404252590376</v>
      </c>
      <c r="J137" s="318">
        <v>73.468051991804302</v>
      </c>
      <c r="K137" s="319">
        <v>34.8219570746841</v>
      </c>
      <c r="L137" s="319">
        <v>-8.5604471779062763</v>
      </c>
      <c r="M137" s="319">
        <f t="shared" si="2"/>
        <v>0</v>
      </c>
      <c r="N137" s="317">
        <v>0</v>
      </c>
      <c r="O137" s="315" t="s">
        <v>1148</v>
      </c>
      <c r="P137" s="318">
        <v>160</v>
      </c>
      <c r="R137" s="320">
        <v>71.111111111111114</v>
      </c>
      <c r="S137" s="318">
        <v>36.5</v>
      </c>
      <c r="T137" s="318">
        <v>180.56</v>
      </c>
      <c r="U137" s="318">
        <v>108.336</v>
      </c>
      <c r="V137" s="315">
        <v>0.23499999999999999</v>
      </c>
      <c r="W137" s="318">
        <v>362</v>
      </c>
      <c r="X137" s="315">
        <v>3</v>
      </c>
      <c r="Y137" s="315" t="s">
        <v>1149</v>
      </c>
      <c r="Z137" s="315">
        <v>0</v>
      </c>
      <c r="AA137" s="315" t="s">
        <v>1157</v>
      </c>
    </row>
    <row r="138" spans="1:27" s="315" customFormat="1">
      <c r="A138" s="315" t="s">
        <v>1145</v>
      </c>
      <c r="B138" s="315" t="s">
        <v>1074</v>
      </c>
      <c r="C138" s="316" t="s">
        <v>1730</v>
      </c>
      <c r="D138" s="316" t="s">
        <v>1730</v>
      </c>
      <c r="E138" s="317">
        <v>11.988000000000001</v>
      </c>
      <c r="F138" s="317">
        <v>1.1797886409760765</v>
      </c>
      <c r="G138" s="317">
        <v>1.2665924290617077</v>
      </c>
      <c r="H138" s="317">
        <v>1.2665924290617077</v>
      </c>
      <c r="I138" s="318">
        <v>10.565502411258821</v>
      </c>
      <c r="J138" s="318">
        <v>40.595287924175103</v>
      </c>
      <c r="K138" s="319">
        <v>47.076214828255196</v>
      </c>
      <c r="L138" s="319">
        <v>36.510712416996377</v>
      </c>
      <c r="M138" s="319">
        <f t="shared" si="2"/>
        <v>36.510712416996377</v>
      </c>
      <c r="N138" s="317">
        <v>4.3769042045495263</v>
      </c>
      <c r="O138" s="315" t="s">
        <v>1148</v>
      </c>
      <c r="P138" s="318">
        <v>160</v>
      </c>
      <c r="R138" s="320">
        <v>71.111111111111114</v>
      </c>
      <c r="S138" s="318">
        <v>36.5</v>
      </c>
      <c r="T138" s="318">
        <v>307.77</v>
      </c>
      <c r="U138" s="318">
        <v>184.66199999999998</v>
      </c>
      <c r="V138" s="315">
        <v>0.24</v>
      </c>
      <c r="W138" s="318">
        <v>500</v>
      </c>
      <c r="X138" s="315">
        <v>3</v>
      </c>
      <c r="Y138" s="315" t="s">
        <v>1149</v>
      </c>
      <c r="Z138" s="315">
        <v>0</v>
      </c>
      <c r="AA138" s="315" t="s">
        <v>1157</v>
      </c>
    </row>
    <row r="139" spans="1:27" s="315" customFormat="1">
      <c r="A139" s="315" t="s">
        <v>1145</v>
      </c>
      <c r="B139" s="315" t="s">
        <v>1074</v>
      </c>
      <c r="C139" s="316" t="s">
        <v>1732</v>
      </c>
      <c r="D139" s="316" t="s">
        <v>1732</v>
      </c>
      <c r="E139" s="317">
        <v>7.6300000000000017</v>
      </c>
      <c r="F139" s="317">
        <v>0.23178894734372676</v>
      </c>
      <c r="G139" s="317">
        <v>0.85236409049608408</v>
      </c>
      <c r="H139" s="317">
        <v>0.85236409049608408</v>
      </c>
      <c r="I139" s="318">
        <v>11.171220058926394</v>
      </c>
      <c r="J139" s="318">
        <v>64.262043272001407</v>
      </c>
      <c r="K139" s="319">
        <v>39.071879385136697</v>
      </c>
      <c r="L139" s="319">
        <v>27.900659326210302</v>
      </c>
      <c r="M139" s="319">
        <f t="shared" si="2"/>
        <v>27.900659326210302</v>
      </c>
      <c r="N139" s="317">
        <v>2.1288203065898466</v>
      </c>
      <c r="O139" s="315" t="s">
        <v>1148</v>
      </c>
      <c r="P139" s="318">
        <v>160</v>
      </c>
      <c r="R139" s="320">
        <v>71.111111111111114</v>
      </c>
      <c r="S139" s="318">
        <v>37</v>
      </c>
      <c r="T139" s="318">
        <v>346.36</v>
      </c>
      <c r="U139" s="318">
        <v>207.816</v>
      </c>
      <c r="V139" s="315">
        <v>0.22500000000000001</v>
      </c>
      <c r="W139" s="318">
        <v>750</v>
      </c>
      <c r="X139" s="315">
        <v>1</v>
      </c>
      <c r="Y139" s="315" t="s">
        <v>1149</v>
      </c>
      <c r="Z139" s="315">
        <v>0</v>
      </c>
      <c r="AA139" s="315" t="s">
        <v>1190</v>
      </c>
    </row>
    <row r="140" spans="1:27" s="315" customFormat="1">
      <c r="A140" s="315" t="s">
        <v>1399</v>
      </c>
      <c r="B140" s="315" t="s">
        <v>1074</v>
      </c>
      <c r="C140" s="316" t="s">
        <v>1734</v>
      </c>
      <c r="D140" s="316" t="s">
        <v>1734</v>
      </c>
      <c r="E140" s="317">
        <v>13.570000000000004</v>
      </c>
      <c r="F140" s="317">
        <v>2.8723616866902133</v>
      </c>
      <c r="G140" s="317">
        <v>3.1880596125354681</v>
      </c>
      <c r="H140" s="317">
        <v>3.1880596125354681</v>
      </c>
      <c r="I140" s="318">
        <v>23.493438559583399</v>
      </c>
      <c r="J140" s="318">
        <v>44.103155321127197</v>
      </c>
      <c r="K140" s="319">
        <v>44.918610126642299</v>
      </c>
      <c r="L140" s="319">
        <v>21.4251715670589</v>
      </c>
      <c r="M140" s="319">
        <f t="shared" si="2"/>
        <v>21.4251715670589</v>
      </c>
      <c r="N140" s="317">
        <v>2.9073957816498939</v>
      </c>
      <c r="O140" s="315" t="s">
        <v>1148</v>
      </c>
      <c r="P140" s="318">
        <v>160</v>
      </c>
      <c r="R140" s="320">
        <v>71.111111111111114</v>
      </c>
      <c r="S140" s="318">
        <v>26.6</v>
      </c>
      <c r="T140" s="318">
        <v>397.4</v>
      </c>
      <c r="U140" s="318">
        <v>238.43999999999997</v>
      </c>
      <c r="V140" s="315">
        <v>0.3</v>
      </c>
      <c r="W140" s="318">
        <v>600</v>
      </c>
      <c r="X140" s="315">
        <v>7</v>
      </c>
      <c r="Y140" s="315" t="s">
        <v>1149</v>
      </c>
      <c r="Z140" s="315">
        <v>0</v>
      </c>
      <c r="AA140" s="315" t="s">
        <v>1190</v>
      </c>
    </row>
    <row r="141" spans="1:27" s="315" customFormat="1">
      <c r="A141" s="315" t="s">
        <v>1401</v>
      </c>
      <c r="B141" s="315" t="s">
        <v>1074</v>
      </c>
      <c r="C141" s="316" t="s">
        <v>1736</v>
      </c>
      <c r="D141" s="316" t="s">
        <v>1736</v>
      </c>
      <c r="E141" s="317">
        <v>11.33</v>
      </c>
      <c r="F141" s="317">
        <v>1.204345</v>
      </c>
      <c r="G141" s="317">
        <v>1.2</v>
      </c>
      <c r="H141" s="317">
        <v>1.2</v>
      </c>
      <c r="I141" s="318">
        <v>10.591350397175638</v>
      </c>
      <c r="J141" s="318">
        <v>74.139044927025694</v>
      </c>
      <c r="K141" s="319">
        <v>33.922523694980399</v>
      </c>
      <c r="L141" s="319">
        <v>23.33117329780476</v>
      </c>
      <c r="M141" s="319">
        <f t="shared" si="2"/>
        <v>23.33117329780476</v>
      </c>
      <c r="N141" s="317">
        <v>2.6434219346412795</v>
      </c>
      <c r="O141" s="315" t="s">
        <v>1148</v>
      </c>
      <c r="P141" s="318">
        <v>160</v>
      </c>
      <c r="R141" s="320">
        <v>71.111111111111114</v>
      </c>
      <c r="S141" s="318">
        <v>36.5</v>
      </c>
      <c r="T141" s="318">
        <v>370.93</v>
      </c>
      <c r="U141" s="318">
        <v>222.55799999999999</v>
      </c>
      <c r="V141" s="315">
        <v>0.23499999999999999</v>
      </c>
      <c r="W141" s="318">
        <v>362</v>
      </c>
      <c r="X141" s="315">
        <v>9</v>
      </c>
      <c r="Y141" s="315" t="s">
        <v>1149</v>
      </c>
      <c r="Z141" s="315">
        <v>0</v>
      </c>
      <c r="AA141" s="315" t="s">
        <v>1157</v>
      </c>
    </row>
    <row r="142" spans="1:27" s="315" customFormat="1">
      <c r="A142" s="315" t="s">
        <v>1403</v>
      </c>
      <c r="B142" s="315" t="s">
        <v>1074</v>
      </c>
      <c r="C142" s="316" t="s">
        <v>1737</v>
      </c>
      <c r="D142" s="316" t="s">
        <v>1737</v>
      </c>
      <c r="E142" s="317">
        <v>9.9400000000000013</v>
      </c>
      <c r="F142" s="317">
        <v>1.8830130846122002</v>
      </c>
      <c r="G142" s="317">
        <v>4.378162930322496</v>
      </c>
      <c r="H142" s="317">
        <v>4.378162930322496</v>
      </c>
      <c r="I142" s="318">
        <v>44.045904731614641</v>
      </c>
      <c r="J142" s="318">
        <v>73.553217693095306</v>
      </c>
      <c r="K142" s="319">
        <v>34.438603715889101</v>
      </c>
      <c r="L142" s="319">
        <v>-9.6073010157255396</v>
      </c>
      <c r="M142" s="319">
        <f t="shared" si="2"/>
        <v>0</v>
      </c>
      <c r="N142" s="317">
        <v>0</v>
      </c>
      <c r="O142" s="315" t="s">
        <v>1148</v>
      </c>
      <c r="P142" s="318">
        <v>160</v>
      </c>
      <c r="R142" s="320">
        <v>71.111111111111114</v>
      </c>
      <c r="S142" s="318">
        <v>36.5</v>
      </c>
      <c r="T142" s="318">
        <v>231.55</v>
      </c>
      <c r="U142" s="318">
        <v>138.93</v>
      </c>
      <c r="V142" s="315">
        <v>0.23499999999999999</v>
      </c>
      <c r="W142" s="318">
        <v>362</v>
      </c>
      <c r="X142" s="315">
        <v>1</v>
      </c>
      <c r="Y142" s="315" t="s">
        <v>1149</v>
      </c>
      <c r="Z142" s="315">
        <v>0</v>
      </c>
      <c r="AA142" s="315" t="s">
        <v>1150</v>
      </c>
    </row>
    <row r="143" spans="1:27" s="315" customFormat="1">
      <c r="A143" s="315" t="s">
        <v>1405</v>
      </c>
      <c r="B143" s="315" t="s">
        <v>1074</v>
      </c>
      <c r="C143" s="316" t="s">
        <v>1738</v>
      </c>
      <c r="D143" s="316" t="s">
        <v>1738</v>
      </c>
      <c r="E143" s="317">
        <v>5.3990000000000009</v>
      </c>
      <c r="F143" s="317">
        <v>0.17697101430769827</v>
      </c>
      <c r="G143" s="317">
        <v>0.17697101430769827</v>
      </c>
      <c r="H143" s="317">
        <v>0.17697101430769827</v>
      </c>
      <c r="I143" s="318">
        <v>3.2778480145897064</v>
      </c>
      <c r="J143" s="318">
        <v>47.833058787023802</v>
      </c>
      <c r="K143" s="319">
        <v>45.2468947121315</v>
      </c>
      <c r="L143" s="319">
        <v>41.969046697541792</v>
      </c>
      <c r="M143" s="319">
        <f t="shared" si="2"/>
        <v>41.969046697541792</v>
      </c>
      <c r="N143" s="317">
        <v>2.2659088312002815</v>
      </c>
      <c r="O143" s="315" t="s">
        <v>1148</v>
      </c>
      <c r="P143" s="318">
        <v>160</v>
      </c>
      <c r="R143" s="320">
        <v>71.111111111111114</v>
      </c>
      <c r="S143" s="318">
        <v>35</v>
      </c>
      <c r="T143" s="318">
        <v>406.47</v>
      </c>
      <c r="U143" s="318">
        <v>243.88200000000001</v>
      </c>
      <c r="V143" s="315">
        <v>0.18</v>
      </c>
      <c r="W143" s="318">
        <v>500</v>
      </c>
      <c r="X143" s="315">
        <v>2</v>
      </c>
      <c r="Y143" s="315" t="s">
        <v>1149</v>
      </c>
      <c r="Z143" s="315">
        <v>0</v>
      </c>
      <c r="AA143" s="315" t="s">
        <v>1190</v>
      </c>
    </row>
    <row r="144" spans="1:27" s="315" customFormat="1">
      <c r="A144" s="315" t="s">
        <v>1407</v>
      </c>
      <c r="B144" s="315" t="s">
        <v>1074</v>
      </c>
      <c r="C144" s="316" t="s">
        <v>1739</v>
      </c>
      <c r="D144" s="316" t="s">
        <v>1739</v>
      </c>
      <c r="E144" s="317">
        <v>3.9350000000000009</v>
      </c>
      <c r="F144" s="317">
        <v>9.3207419037950823E-2</v>
      </c>
      <c r="G144" s="317">
        <v>9.3207419037950823E-2</v>
      </c>
      <c r="H144" s="317">
        <v>0.6140708190379508</v>
      </c>
      <c r="I144" s="318">
        <v>15.60535753590726</v>
      </c>
      <c r="J144" s="318">
        <v>50.026995006168299</v>
      </c>
      <c r="K144" s="319">
        <v>42.444669953376099</v>
      </c>
      <c r="L144" s="319">
        <v>26.83931241746884</v>
      </c>
      <c r="M144" s="319">
        <f t="shared" si="2"/>
        <v>26.83931241746884</v>
      </c>
      <c r="N144" s="317">
        <v>1.0561269436273992</v>
      </c>
      <c r="O144" s="315" t="s">
        <v>1148</v>
      </c>
      <c r="P144" s="318">
        <v>160</v>
      </c>
      <c r="R144" s="320">
        <v>71.111111111111114</v>
      </c>
      <c r="S144" s="318">
        <v>35</v>
      </c>
      <c r="T144" s="318">
        <v>215.24</v>
      </c>
      <c r="U144" s="318">
        <v>129.14400000000001</v>
      </c>
      <c r="V144" s="315">
        <v>0.19</v>
      </c>
      <c r="W144" s="318">
        <v>75</v>
      </c>
      <c r="X144" s="315">
        <v>7</v>
      </c>
      <c r="Y144" s="315" t="s">
        <v>1149</v>
      </c>
      <c r="Z144" s="315">
        <v>0</v>
      </c>
      <c r="AA144" s="315" t="s">
        <v>1190</v>
      </c>
    </row>
    <row r="145" spans="1:34">
      <c r="A145" s="315" t="s">
        <v>1409</v>
      </c>
      <c r="B145" s="315" t="s">
        <v>1074</v>
      </c>
      <c r="C145" s="316" t="s">
        <v>1740</v>
      </c>
      <c r="D145" s="316" t="s">
        <v>1740</v>
      </c>
      <c r="E145" s="317">
        <v>14.634000000000002</v>
      </c>
      <c r="F145" s="317">
        <v>5.5278277290787097</v>
      </c>
      <c r="G145" s="317">
        <v>5.7538764104535973</v>
      </c>
      <c r="H145" s="317">
        <v>5.7538764104535973</v>
      </c>
      <c r="I145" s="318">
        <v>39.318548656919475</v>
      </c>
      <c r="J145" s="318">
        <v>50.3806069437818</v>
      </c>
      <c r="K145" s="319">
        <v>43.700217590134599</v>
      </c>
      <c r="L145" s="319">
        <v>4.3816689332151242</v>
      </c>
      <c r="M145" s="319">
        <f t="shared" si="2"/>
        <v>4.3816689332151242</v>
      </c>
      <c r="N145" s="317">
        <v>0.64121343168670142</v>
      </c>
      <c r="O145" s="315" t="s">
        <v>1148</v>
      </c>
      <c r="P145" s="318">
        <v>160</v>
      </c>
      <c r="R145" s="320">
        <v>71.111111111111114</v>
      </c>
      <c r="S145" s="318">
        <v>37</v>
      </c>
      <c r="T145" s="318">
        <v>204.84</v>
      </c>
      <c r="U145" s="318">
        <v>122.904</v>
      </c>
      <c r="V145" s="315">
        <v>0.22</v>
      </c>
      <c r="W145" s="318">
        <v>350</v>
      </c>
      <c r="X145" s="315">
        <v>5</v>
      </c>
      <c r="Y145" s="315" t="s">
        <v>1149</v>
      </c>
      <c r="Z145" s="315">
        <v>0</v>
      </c>
      <c r="AA145" s="315" t="s">
        <v>1190</v>
      </c>
      <c r="AB145" s="315"/>
      <c r="AC145" s="315"/>
      <c r="AD145" s="315"/>
      <c r="AE145" s="315"/>
      <c r="AF145" s="315"/>
      <c r="AG145" s="315"/>
      <c r="AH145" s="315"/>
    </row>
    <row r="146" spans="1:34">
      <c r="A146" s="315" t="s">
        <v>1145</v>
      </c>
      <c r="B146" s="315" t="s">
        <v>1074</v>
      </c>
      <c r="C146" s="316" t="s">
        <v>1741</v>
      </c>
      <c r="D146" s="316" t="s">
        <v>1741</v>
      </c>
      <c r="E146" s="317">
        <v>34.373000000000005</v>
      </c>
      <c r="F146" s="317">
        <v>2.862453353637858</v>
      </c>
      <c r="G146" s="317">
        <v>2.862453353637858</v>
      </c>
      <c r="H146" s="317">
        <v>2.862453353637858</v>
      </c>
      <c r="I146" s="318">
        <v>8.3276215449272915</v>
      </c>
      <c r="J146" s="318">
        <v>48.281439851255598</v>
      </c>
      <c r="K146" s="319">
        <v>44.095328219558397</v>
      </c>
      <c r="L146" s="319">
        <v>35.767706674631107</v>
      </c>
      <c r="M146" s="319">
        <f t="shared" si="2"/>
        <v>35.767706674631107</v>
      </c>
      <c r="N146" s="317">
        <v>12.294433815270951</v>
      </c>
      <c r="O146" s="315" t="s">
        <v>1148</v>
      </c>
      <c r="P146" s="318">
        <v>160</v>
      </c>
      <c r="R146" s="320">
        <v>71.111111111111114</v>
      </c>
      <c r="S146" s="318">
        <v>35</v>
      </c>
      <c r="T146" s="318">
        <v>406.47</v>
      </c>
      <c r="U146" s="318">
        <v>243.88200000000001</v>
      </c>
      <c r="V146" s="315">
        <v>0.18</v>
      </c>
      <c r="W146" s="318">
        <v>175</v>
      </c>
      <c r="X146" s="315">
        <v>18</v>
      </c>
      <c r="Y146" s="315" t="s">
        <v>1149</v>
      </c>
      <c r="Z146" s="315">
        <v>0</v>
      </c>
      <c r="AA146" s="315" t="s">
        <v>1190</v>
      </c>
      <c r="AB146" s="315"/>
      <c r="AC146" s="315"/>
      <c r="AD146" s="315"/>
      <c r="AE146" s="315"/>
      <c r="AF146" s="315"/>
      <c r="AG146" s="315"/>
      <c r="AH146" s="315"/>
    </row>
    <row r="147" spans="1:34">
      <c r="A147" s="315" t="s">
        <v>1229</v>
      </c>
      <c r="B147" s="315" t="s">
        <v>1074</v>
      </c>
      <c r="C147" s="316" t="s">
        <v>1742</v>
      </c>
      <c r="D147" s="316" t="s">
        <v>1742</v>
      </c>
      <c r="E147" s="317">
        <v>7.1940000000000008</v>
      </c>
      <c r="F147" s="317">
        <v>2.9044438932431191</v>
      </c>
      <c r="G147" s="317">
        <v>2.9044438932431191</v>
      </c>
      <c r="H147" s="317">
        <v>4.1432405932431191</v>
      </c>
      <c r="I147" s="318">
        <v>57.593002408161233</v>
      </c>
      <c r="J147" s="318">
        <v>49.965508015644097</v>
      </c>
      <c r="K147" s="319">
        <v>42.061596244975803</v>
      </c>
      <c r="L147" s="319">
        <v>-15.53140616318543</v>
      </c>
      <c r="M147" s="319">
        <f t="shared" si="2"/>
        <v>0</v>
      </c>
      <c r="N147" s="317">
        <v>0</v>
      </c>
      <c r="O147" s="315" t="s">
        <v>1148</v>
      </c>
      <c r="P147" s="318">
        <v>160</v>
      </c>
      <c r="R147" s="320">
        <v>71.111111111111114</v>
      </c>
      <c r="S147" s="318">
        <v>35</v>
      </c>
      <c r="T147" s="318">
        <v>223.45</v>
      </c>
      <c r="U147" s="318">
        <v>134.07</v>
      </c>
      <c r="V147" s="315">
        <v>0.15</v>
      </c>
      <c r="W147" s="318">
        <v>35</v>
      </c>
      <c r="X147" s="315">
        <v>2</v>
      </c>
      <c r="Y147" s="315" t="s">
        <v>1149</v>
      </c>
      <c r="Z147" s="315">
        <v>0</v>
      </c>
      <c r="AA147" s="315" t="s">
        <v>1190</v>
      </c>
      <c r="AB147" s="315"/>
      <c r="AC147" s="315"/>
      <c r="AD147" s="315"/>
      <c r="AE147" s="315"/>
      <c r="AF147" s="315"/>
      <c r="AG147" s="315"/>
      <c r="AH147" s="315"/>
    </row>
    <row r="148" spans="1:34">
      <c r="A148" s="315" t="s">
        <v>1414</v>
      </c>
      <c r="B148" s="315" t="s">
        <v>1074</v>
      </c>
      <c r="C148" s="316" t="s">
        <v>1743</v>
      </c>
      <c r="D148" s="316" t="s">
        <v>1743</v>
      </c>
      <c r="E148" s="317">
        <v>5.13</v>
      </c>
      <c r="F148" s="317">
        <v>0.27301999999999998</v>
      </c>
      <c r="G148" s="317">
        <v>0.27</v>
      </c>
      <c r="H148" s="317">
        <v>0.27</v>
      </c>
      <c r="I148" s="318">
        <v>5.2631578947368425</v>
      </c>
      <c r="J148" s="318">
        <v>51.702102674350897</v>
      </c>
      <c r="K148" s="319">
        <v>42.0776271109291</v>
      </c>
      <c r="L148" s="319">
        <v>36.814469216192258</v>
      </c>
      <c r="M148" s="319">
        <f t="shared" si="2"/>
        <v>36.814469216192258</v>
      </c>
      <c r="N148" s="317">
        <v>1.8885822707906628</v>
      </c>
      <c r="O148" s="315" t="s">
        <v>1148</v>
      </c>
      <c r="P148" s="318">
        <v>160</v>
      </c>
      <c r="R148" s="320">
        <v>71.111111111111114</v>
      </c>
      <c r="S148" s="318">
        <v>35</v>
      </c>
      <c r="T148" s="318">
        <v>105.31</v>
      </c>
      <c r="U148" s="318">
        <v>63.186</v>
      </c>
      <c r="V148" s="315">
        <v>0.15</v>
      </c>
      <c r="W148" s="318">
        <v>35</v>
      </c>
      <c r="X148" s="315">
        <v>1</v>
      </c>
      <c r="Y148" s="315" t="s">
        <v>1149</v>
      </c>
      <c r="Z148" s="315">
        <v>0</v>
      </c>
      <c r="AA148" s="315" t="s">
        <v>1190</v>
      </c>
      <c r="AB148" s="315"/>
      <c r="AC148" s="315"/>
      <c r="AD148" s="315"/>
      <c r="AE148" s="315"/>
      <c r="AF148" s="315"/>
      <c r="AG148" s="315"/>
      <c r="AH148" s="315"/>
    </row>
    <row r="149" spans="1:34">
      <c r="A149" s="315" t="s">
        <v>1416</v>
      </c>
      <c r="B149" s="315" t="s">
        <v>1074</v>
      </c>
      <c r="C149" s="316" t="s">
        <v>1744</v>
      </c>
      <c r="D149" s="316" t="s">
        <v>1744</v>
      </c>
      <c r="E149" s="317">
        <v>4.4220000000000006</v>
      </c>
      <c r="F149" s="317">
        <v>9.3207419037950823E-2</v>
      </c>
      <c r="G149" s="317">
        <v>9.3207419037950823E-2</v>
      </c>
      <c r="H149" s="317">
        <v>0.6140708190379508</v>
      </c>
      <c r="I149" s="318">
        <v>13.886721371278849</v>
      </c>
      <c r="J149" s="318">
        <v>47.515794708800499</v>
      </c>
      <c r="K149" s="319">
        <v>39.2099605073196</v>
      </c>
      <c r="L149" s="319">
        <v>25.323239136040751</v>
      </c>
      <c r="M149" s="319">
        <f t="shared" si="2"/>
        <v>25.323239136040751</v>
      </c>
      <c r="N149" s="317">
        <v>1.1197936345957222</v>
      </c>
      <c r="O149" s="315" t="s">
        <v>1148</v>
      </c>
      <c r="P149" s="318">
        <v>160</v>
      </c>
      <c r="R149" s="320">
        <v>71.111111111111114</v>
      </c>
      <c r="S149" s="318">
        <v>34</v>
      </c>
      <c r="T149" s="318">
        <v>134.30000000000001</v>
      </c>
      <c r="U149" s="318">
        <v>80.58</v>
      </c>
      <c r="V149" s="315">
        <v>0.15</v>
      </c>
      <c r="W149" s="318">
        <v>35</v>
      </c>
      <c r="X149" s="315">
        <v>2</v>
      </c>
      <c r="Y149" s="315" t="s">
        <v>1149</v>
      </c>
      <c r="Z149" s="315">
        <v>0</v>
      </c>
      <c r="AA149" s="315" t="s">
        <v>1190</v>
      </c>
      <c r="AB149" s="315"/>
      <c r="AC149" s="315"/>
      <c r="AD149" s="315"/>
      <c r="AE149" s="315"/>
      <c r="AF149" s="315"/>
      <c r="AG149" s="315"/>
      <c r="AH149" s="315"/>
    </row>
    <row r="150" spans="1:34">
      <c r="A150" s="315" t="s">
        <v>1310</v>
      </c>
      <c r="B150" s="315" t="s">
        <v>1080</v>
      </c>
      <c r="C150" s="316" t="s">
        <v>1996</v>
      </c>
      <c r="D150" s="316" t="s">
        <v>1996</v>
      </c>
      <c r="E150" s="317">
        <v>12.2700093484218</v>
      </c>
      <c r="F150" s="317">
        <v>1.7905285</v>
      </c>
      <c r="G150" s="317">
        <v>1.7905285</v>
      </c>
      <c r="H150" s="317">
        <v>3.0443901776113615</v>
      </c>
      <c r="I150" s="318">
        <v>24.811636985451351</v>
      </c>
      <c r="J150" s="318">
        <v>41.125599873183702</v>
      </c>
      <c r="K150" s="319">
        <v>44.8590716498991</v>
      </c>
      <c r="L150" s="319">
        <v>20.047434664447749</v>
      </c>
      <c r="M150" s="319">
        <f t="shared" si="2"/>
        <v>20.047434664447749</v>
      </c>
      <c r="N150" s="317">
        <v>2.4598221074464912</v>
      </c>
      <c r="O150" s="315" t="s">
        <v>1148</v>
      </c>
      <c r="P150" s="318">
        <v>160</v>
      </c>
      <c r="R150" s="320">
        <v>71.111111111111114</v>
      </c>
      <c r="S150" s="318">
        <v>32</v>
      </c>
      <c r="T150" s="318">
        <v>18</v>
      </c>
      <c r="U150" s="318">
        <v>128</v>
      </c>
      <c r="V150" s="315">
        <v>0.2</v>
      </c>
      <c r="W150" s="318">
        <v>100</v>
      </c>
      <c r="X150" s="315">
        <v>6</v>
      </c>
      <c r="Y150" s="315" t="s">
        <v>1149</v>
      </c>
      <c r="Z150" s="315">
        <v>0</v>
      </c>
      <c r="AA150" s="315" t="s">
        <v>1150</v>
      </c>
      <c r="AB150" s="315"/>
      <c r="AC150" s="315"/>
      <c r="AD150" s="315"/>
      <c r="AE150" s="315"/>
      <c r="AF150" s="315"/>
      <c r="AG150" s="315"/>
      <c r="AH150" s="315"/>
    </row>
    <row r="151" spans="1:34">
      <c r="A151" s="315" t="s">
        <v>1310</v>
      </c>
      <c r="B151" s="315" t="s">
        <v>1080</v>
      </c>
      <c r="C151" s="316" t="s">
        <v>1997</v>
      </c>
      <c r="D151" s="316" t="s">
        <v>1997</v>
      </c>
      <c r="E151" s="317">
        <v>16.430012517894877</v>
      </c>
      <c r="F151" s="317">
        <v>0.981935</v>
      </c>
      <c r="G151" s="317">
        <v>1.206548</v>
      </c>
      <c r="H151" s="317">
        <v>4.7837662712031168</v>
      </c>
      <c r="I151" s="318">
        <v>29.116023289652642</v>
      </c>
      <c r="J151" s="318">
        <v>40.894389123407599</v>
      </c>
      <c r="K151" s="319">
        <v>40.0256269984122</v>
      </c>
      <c r="L151" s="319">
        <v>10.909603708759558</v>
      </c>
      <c r="M151" s="319">
        <f t="shared" si="2"/>
        <v>10.909603708759558</v>
      </c>
      <c r="N151" s="317">
        <v>1.7924492550019191</v>
      </c>
      <c r="O151" s="315" t="s">
        <v>1148</v>
      </c>
      <c r="P151" s="318">
        <v>160</v>
      </c>
      <c r="R151" s="320">
        <v>71.111111111111114</v>
      </c>
      <c r="S151" s="318">
        <v>32</v>
      </c>
      <c r="T151" s="318">
        <v>15</v>
      </c>
      <c r="U151" s="318">
        <v>128</v>
      </c>
      <c r="V151" s="315">
        <v>0.2</v>
      </c>
      <c r="W151" s="318">
        <v>100</v>
      </c>
      <c r="X151" s="315">
        <v>7</v>
      </c>
      <c r="Y151" s="315" t="s">
        <v>1149</v>
      </c>
      <c r="Z151" s="315">
        <v>0</v>
      </c>
      <c r="AA151" s="315" t="s">
        <v>1150</v>
      </c>
      <c r="AB151" s="315"/>
      <c r="AC151" s="315"/>
      <c r="AD151" s="315"/>
      <c r="AE151" s="315"/>
      <c r="AF151" s="315"/>
      <c r="AG151" s="315"/>
      <c r="AH151" s="315"/>
    </row>
    <row r="152" spans="1:34">
      <c r="A152" s="315" t="s">
        <v>1145</v>
      </c>
      <c r="B152" s="315" t="s">
        <v>663</v>
      </c>
      <c r="C152" s="316" t="s">
        <v>1820</v>
      </c>
      <c r="D152" s="316" t="s">
        <v>1820</v>
      </c>
      <c r="E152" s="317">
        <v>13.677313202050689</v>
      </c>
      <c r="F152" s="317">
        <v>0</v>
      </c>
      <c r="G152" s="317">
        <v>0</v>
      </c>
      <c r="H152" s="317">
        <v>0</v>
      </c>
      <c r="I152" s="318">
        <v>0</v>
      </c>
      <c r="J152" s="318">
        <v>75.731881713055898</v>
      </c>
      <c r="K152" s="319">
        <v>24.7530201099561</v>
      </c>
      <c r="L152" s="319">
        <v>24.7530201099561</v>
      </c>
      <c r="M152" s="319">
        <f t="shared" si="2"/>
        <v>24.7530201099561</v>
      </c>
      <c r="N152" s="317">
        <v>3.3855480874052875</v>
      </c>
      <c r="O152" s="315" t="s">
        <v>1168</v>
      </c>
      <c r="P152" s="318">
        <v>160</v>
      </c>
      <c r="R152" s="320">
        <v>71.111111111111114</v>
      </c>
      <c r="S152" s="318">
        <v>19</v>
      </c>
      <c r="T152" s="318">
        <v>23.21</v>
      </c>
      <c r="U152" s="318">
        <v>184</v>
      </c>
      <c r="V152" s="315">
        <v>0.26500000000000001</v>
      </c>
      <c r="W152" s="318">
        <v>21</v>
      </c>
      <c r="X152" s="315">
        <v>0</v>
      </c>
      <c r="Y152" s="315" t="s">
        <v>1149</v>
      </c>
      <c r="Z152" s="315">
        <v>0</v>
      </c>
      <c r="AA152" s="315" t="s">
        <v>1150</v>
      </c>
      <c r="AB152" s="315"/>
      <c r="AC152" s="315"/>
      <c r="AD152" s="315"/>
      <c r="AE152" s="315"/>
      <c r="AF152" s="315"/>
      <c r="AG152" s="315"/>
      <c r="AH152" s="315"/>
    </row>
    <row r="153" spans="1:34">
      <c r="A153" s="315" t="s">
        <v>1145</v>
      </c>
      <c r="B153" s="315" t="s">
        <v>663</v>
      </c>
      <c r="C153" s="316" t="s">
        <v>1821</v>
      </c>
      <c r="D153" s="316" t="s">
        <v>1821</v>
      </c>
      <c r="E153" s="317">
        <v>5.53</v>
      </c>
      <c r="F153" s="317">
        <v>0</v>
      </c>
      <c r="G153" s="317">
        <v>0</v>
      </c>
      <c r="H153" s="317">
        <v>0</v>
      </c>
      <c r="I153" s="318">
        <v>0</v>
      </c>
      <c r="J153" s="318">
        <v>86.226643327923696</v>
      </c>
      <c r="K153" s="319">
        <v>19.796015724732101</v>
      </c>
      <c r="L153" s="319">
        <v>19.796015724732101</v>
      </c>
      <c r="M153" s="319">
        <f t="shared" si="2"/>
        <v>19.796015724732101</v>
      </c>
      <c r="N153" s="317">
        <v>1.0947196695776851</v>
      </c>
      <c r="O153" s="315" t="s">
        <v>1168</v>
      </c>
      <c r="P153" s="318">
        <v>160</v>
      </c>
      <c r="R153" s="320">
        <v>71.111111111111114</v>
      </c>
      <c r="S153" s="318">
        <v>40</v>
      </c>
      <c r="T153" s="318">
        <v>43.76</v>
      </c>
      <c r="U153" s="318">
        <v>1407</v>
      </c>
      <c r="V153" s="315">
        <v>0.26</v>
      </c>
      <c r="W153" s="318">
        <v>18.77</v>
      </c>
      <c r="X153" s="315">
        <v>0</v>
      </c>
      <c r="Y153" s="315" t="s">
        <v>1149</v>
      </c>
      <c r="Z153" s="315">
        <v>0</v>
      </c>
      <c r="AA153" s="315" t="s">
        <v>1150</v>
      </c>
      <c r="AB153" s="315"/>
      <c r="AC153" s="315"/>
      <c r="AD153" s="315"/>
      <c r="AE153" s="315"/>
      <c r="AF153" s="315"/>
      <c r="AG153" s="315"/>
      <c r="AH153" s="315"/>
    </row>
    <row r="154" spans="1:34">
      <c r="A154" s="315" t="s">
        <v>1277</v>
      </c>
      <c r="B154" s="315" t="s">
        <v>663</v>
      </c>
      <c r="C154" s="316" t="s">
        <v>1822</v>
      </c>
      <c r="D154" s="316" t="s">
        <v>1822</v>
      </c>
      <c r="E154" s="317">
        <v>16.46</v>
      </c>
      <c r="F154" s="317">
        <v>0</v>
      </c>
      <c r="G154" s="317">
        <v>0</v>
      </c>
      <c r="H154" s="317">
        <v>0</v>
      </c>
      <c r="I154" s="318">
        <v>0</v>
      </c>
      <c r="J154" s="318">
        <v>70.035728522269594</v>
      </c>
      <c r="K154" s="319">
        <v>28.020821043574202</v>
      </c>
      <c r="L154" s="319">
        <v>28.020821043574202</v>
      </c>
      <c r="M154" s="319">
        <f t="shared" si="2"/>
        <v>28.020821043574202</v>
      </c>
      <c r="N154" s="317">
        <v>4.6122271437723139</v>
      </c>
      <c r="O154" s="315" t="s">
        <v>1168</v>
      </c>
      <c r="P154" s="318">
        <v>160</v>
      </c>
      <c r="R154" s="320">
        <v>71.111111111111114</v>
      </c>
      <c r="S154" s="318">
        <v>35</v>
      </c>
      <c r="T154" s="318">
        <v>70</v>
      </c>
      <c r="U154" s="318">
        <v>410</v>
      </c>
      <c r="V154" s="315">
        <v>0.25</v>
      </c>
      <c r="W154" s="318">
        <v>70</v>
      </c>
      <c r="X154" s="315">
        <v>0</v>
      </c>
      <c r="Y154" s="315" t="s">
        <v>1149</v>
      </c>
      <c r="Z154" s="315">
        <v>0</v>
      </c>
      <c r="AA154" s="315" t="s">
        <v>1150</v>
      </c>
      <c r="AB154" s="315"/>
      <c r="AC154" s="315"/>
      <c r="AD154" s="315"/>
      <c r="AE154" s="315"/>
      <c r="AF154" s="315"/>
      <c r="AG154" s="315"/>
      <c r="AH154" s="315"/>
    </row>
    <row r="155" spans="1:34">
      <c r="A155" s="315" t="s">
        <v>1145</v>
      </c>
      <c r="B155" s="315" t="s">
        <v>1066</v>
      </c>
      <c r="C155" s="316" t="s">
        <v>1240</v>
      </c>
      <c r="D155" s="316" t="s">
        <v>1241</v>
      </c>
      <c r="E155" s="317">
        <v>24.08</v>
      </c>
      <c r="F155" s="317">
        <v>2.2483137000000002</v>
      </c>
      <c r="G155" s="317">
        <v>2.8181362999999999</v>
      </c>
      <c r="H155" s="317">
        <v>7.2363697</v>
      </c>
      <c r="I155" s="318">
        <v>30.051369186046511</v>
      </c>
      <c r="J155" s="318">
        <v>70.894548724891195</v>
      </c>
      <c r="K155" s="319">
        <v>33.915572104834304</v>
      </c>
      <c r="L155" s="319">
        <v>3.8642029187877931</v>
      </c>
      <c r="M155" s="319">
        <f t="shared" si="2"/>
        <v>3.8642029187877931</v>
      </c>
      <c r="N155" s="317">
        <v>0.93050006284410047</v>
      </c>
      <c r="O155" s="315" t="s">
        <v>1148</v>
      </c>
      <c r="P155" s="318">
        <v>160.1</v>
      </c>
      <c r="R155" s="320">
        <v>71.166666666666671</v>
      </c>
      <c r="S155" s="318">
        <v>35.799999999999997</v>
      </c>
      <c r="T155" s="318">
        <v>410.6</v>
      </c>
      <c r="U155" s="318">
        <v>337.92379999999997</v>
      </c>
      <c r="V155" s="315">
        <v>0.246</v>
      </c>
      <c r="W155" s="318">
        <v>351</v>
      </c>
      <c r="X155" s="315">
        <v>5</v>
      </c>
      <c r="Y155" s="315" t="s">
        <v>1149</v>
      </c>
      <c r="Z155" s="315">
        <v>0</v>
      </c>
      <c r="AA155" s="315" t="s">
        <v>1190</v>
      </c>
      <c r="AB155" s="315"/>
      <c r="AC155" s="315"/>
      <c r="AD155" s="315"/>
      <c r="AE155" s="315"/>
      <c r="AF155" s="315"/>
      <c r="AG155" s="315"/>
      <c r="AH155" s="315"/>
    </row>
    <row r="156" spans="1:34">
      <c r="A156" s="315" t="s">
        <v>1432</v>
      </c>
      <c r="B156" s="315" t="s">
        <v>663</v>
      </c>
      <c r="C156" s="316" t="s">
        <v>1823</v>
      </c>
      <c r="D156" s="316" t="s">
        <v>1823</v>
      </c>
      <c r="E156" s="317">
        <v>5.58</v>
      </c>
      <c r="F156" s="317">
        <v>0</v>
      </c>
      <c r="G156" s="317">
        <v>0</v>
      </c>
      <c r="H156" s="317">
        <v>0</v>
      </c>
      <c r="I156" s="318">
        <v>0</v>
      </c>
      <c r="J156" s="318">
        <v>86.574853352280101</v>
      </c>
      <c r="K156" s="319">
        <v>20.080171049589602</v>
      </c>
      <c r="L156" s="319">
        <v>20.080171049589602</v>
      </c>
      <c r="M156" s="319">
        <f t="shared" si="2"/>
        <v>20.080171049589602</v>
      </c>
      <c r="N156" s="317">
        <v>1.1204735445670997</v>
      </c>
      <c r="O156" s="315" t="s">
        <v>1168</v>
      </c>
      <c r="P156" s="318">
        <v>160.22745234999999</v>
      </c>
      <c r="R156" s="320">
        <v>71.23747352777778</v>
      </c>
      <c r="S156" s="318">
        <v>32</v>
      </c>
      <c r="T156" s="318">
        <v>43</v>
      </c>
      <c r="U156" s="318">
        <v>331.38100000000003</v>
      </c>
      <c r="V156" s="315">
        <v>0.16800000000000001</v>
      </c>
      <c r="W156" s="318">
        <v>6.23</v>
      </c>
      <c r="X156" s="315">
        <v>0</v>
      </c>
      <c r="Y156" s="315" t="s">
        <v>1149</v>
      </c>
      <c r="Z156" s="315">
        <v>0</v>
      </c>
      <c r="AA156" s="315" t="s">
        <v>1190</v>
      </c>
      <c r="AB156" s="315"/>
      <c r="AC156" s="315"/>
      <c r="AD156" s="315"/>
      <c r="AE156" s="315"/>
      <c r="AF156" s="315"/>
      <c r="AG156" s="315"/>
      <c r="AH156" s="315"/>
    </row>
    <row r="157" spans="1:34">
      <c r="A157" s="315" t="s">
        <v>1145</v>
      </c>
      <c r="B157" s="315" t="s">
        <v>663</v>
      </c>
      <c r="C157" s="316" t="s">
        <v>1824</v>
      </c>
      <c r="D157" s="316" t="s">
        <v>1824</v>
      </c>
      <c r="E157" s="317">
        <v>3.897225871007489</v>
      </c>
      <c r="F157" s="317">
        <v>0.5501123</v>
      </c>
      <c r="G157" s="317">
        <v>0.5501123</v>
      </c>
      <c r="H157" s="317">
        <v>1.0701122999999999</v>
      </c>
      <c r="I157" s="318">
        <v>27.458308433207655</v>
      </c>
      <c r="J157" s="318">
        <v>76.276483929997696</v>
      </c>
      <c r="K157" s="319">
        <v>29.857478966972799</v>
      </c>
      <c r="L157" s="319">
        <v>2.3991705337651439</v>
      </c>
      <c r="M157" s="319">
        <f t="shared" si="2"/>
        <v>2.3991705337651439</v>
      </c>
      <c r="N157" s="317">
        <v>9.3501094731483658E-2</v>
      </c>
      <c r="O157" s="315" t="s">
        <v>1148</v>
      </c>
      <c r="P157" s="318">
        <v>160.346</v>
      </c>
      <c r="R157" s="320">
        <v>71.303333333333342</v>
      </c>
      <c r="S157" s="318">
        <v>34.1</v>
      </c>
      <c r="T157" s="318">
        <v>22</v>
      </c>
      <c r="U157" s="318">
        <v>357.62900000000002</v>
      </c>
      <c r="V157" s="315">
        <v>0.25</v>
      </c>
      <c r="W157" s="318">
        <v>140</v>
      </c>
      <c r="X157" s="315">
        <v>0</v>
      </c>
      <c r="Y157" s="315" t="s">
        <v>1149</v>
      </c>
      <c r="Z157" s="315">
        <v>0</v>
      </c>
      <c r="AA157" s="315" t="s">
        <v>1190</v>
      </c>
      <c r="AB157" s="315"/>
      <c r="AC157" s="315"/>
      <c r="AD157" s="315"/>
      <c r="AE157" s="315"/>
      <c r="AF157" s="315"/>
      <c r="AG157" s="315"/>
      <c r="AH157" s="315"/>
    </row>
    <row r="158" spans="1:34">
      <c r="A158" s="315" t="s">
        <v>1145</v>
      </c>
      <c r="B158" s="315" t="s">
        <v>663</v>
      </c>
      <c r="C158" s="316" t="s">
        <v>1825</v>
      </c>
      <c r="D158" s="316" t="s">
        <v>1825</v>
      </c>
      <c r="E158" s="317">
        <v>3.8600003674637016</v>
      </c>
      <c r="F158" s="317">
        <v>0</v>
      </c>
      <c r="G158" s="317">
        <v>0.15165580000000001</v>
      </c>
      <c r="H158" s="317">
        <v>0.15165580000000001</v>
      </c>
      <c r="I158" s="318">
        <v>3.9289063617278566</v>
      </c>
      <c r="J158" s="318">
        <v>81.737587770561902</v>
      </c>
      <c r="K158" s="319">
        <v>23.515275983705202</v>
      </c>
      <c r="L158" s="319">
        <v>19.586369621977344</v>
      </c>
      <c r="M158" s="319">
        <f t="shared" si="2"/>
        <v>19.586369621977344</v>
      </c>
      <c r="N158" s="317">
        <v>0.75603393938112429</v>
      </c>
      <c r="O158" s="315" t="s">
        <v>1168</v>
      </c>
      <c r="P158" s="318">
        <v>160.346</v>
      </c>
      <c r="R158" s="320">
        <v>71.303333333333342</v>
      </c>
      <c r="S158" s="318">
        <v>34.1</v>
      </c>
      <c r="T158" s="318">
        <v>19</v>
      </c>
      <c r="U158" s="318">
        <v>357.62900000000002</v>
      </c>
      <c r="V158" s="315">
        <v>0.25</v>
      </c>
      <c r="W158" s="318">
        <v>8</v>
      </c>
      <c r="X158" s="315">
        <v>1</v>
      </c>
      <c r="Y158" s="315" t="s">
        <v>1149</v>
      </c>
      <c r="Z158" s="315">
        <v>0</v>
      </c>
      <c r="AA158" s="315" t="s">
        <v>1190</v>
      </c>
      <c r="AB158" s="315"/>
      <c r="AC158" s="315"/>
      <c r="AD158" s="315"/>
      <c r="AE158" s="315"/>
      <c r="AF158" s="315"/>
      <c r="AG158" s="315"/>
      <c r="AH158" s="315"/>
    </row>
    <row r="159" spans="1:34">
      <c r="A159" s="315" t="s">
        <v>1361</v>
      </c>
      <c r="B159" s="315" t="s">
        <v>1146</v>
      </c>
      <c r="C159" s="316" t="s">
        <v>1151</v>
      </c>
      <c r="D159" s="316" t="s">
        <v>1151</v>
      </c>
      <c r="E159" s="317">
        <v>4.29</v>
      </c>
      <c r="F159" s="317">
        <v>1.548225667032777</v>
      </c>
      <c r="G159" s="317">
        <v>1.548225667032777</v>
      </c>
      <c r="H159" s="317">
        <v>1.548225667032777</v>
      </c>
      <c r="I159" s="318">
        <v>36.089176387710417</v>
      </c>
      <c r="J159" s="318">
        <v>56.626625930249801</v>
      </c>
      <c r="K159" s="319">
        <v>42.775134339439703</v>
      </c>
      <c r="L159" s="319">
        <v>6.6859579517292858</v>
      </c>
      <c r="M159" s="319">
        <f t="shared" si="2"/>
        <v>6.6859579517292858</v>
      </c>
      <c r="N159" s="317">
        <v>0.2868275961291864</v>
      </c>
      <c r="O159" s="315" t="s">
        <v>1148</v>
      </c>
      <c r="P159" s="318">
        <v>161</v>
      </c>
      <c r="R159" s="320">
        <v>71.666666666666671</v>
      </c>
      <c r="S159" s="318">
        <v>30</v>
      </c>
      <c r="T159" s="318">
        <v>56</v>
      </c>
      <c r="U159" s="318">
        <v>43.5</v>
      </c>
      <c r="V159" s="315">
        <v>0.25</v>
      </c>
      <c r="W159" s="318">
        <v>2600</v>
      </c>
      <c r="X159" s="315">
        <v>2</v>
      </c>
      <c r="Y159" s="315" t="s">
        <v>1149</v>
      </c>
      <c r="Z159" s="315">
        <v>0</v>
      </c>
      <c r="AA159" s="315" t="s">
        <v>1150</v>
      </c>
      <c r="AB159" s="321">
        <v>0</v>
      </c>
      <c r="AC159" s="321">
        <v>2113</v>
      </c>
      <c r="AD159" s="321">
        <v>1190</v>
      </c>
      <c r="AE159" s="321">
        <v>0.71</v>
      </c>
      <c r="AF159" s="321">
        <v>0.88</v>
      </c>
      <c r="AG159" s="321">
        <v>1.05</v>
      </c>
      <c r="AH159" s="321">
        <v>315</v>
      </c>
    </row>
    <row r="160" spans="1:34">
      <c r="A160" s="315" t="s">
        <v>1145</v>
      </c>
      <c r="B160" s="315" t="s">
        <v>1073</v>
      </c>
      <c r="C160" s="316" t="s">
        <v>1484</v>
      </c>
      <c r="D160" s="316" t="s">
        <v>1484</v>
      </c>
      <c r="E160" s="317">
        <v>20.849076</v>
      </c>
      <c r="F160" s="317">
        <v>4.4712826000000003</v>
      </c>
      <c r="G160" s="317">
        <v>4.6038055687886237</v>
      </c>
      <c r="H160" s="317">
        <v>6.8078190384713331</v>
      </c>
      <c r="I160" s="318">
        <v>32.652857318335514</v>
      </c>
      <c r="J160" s="318">
        <v>51.3361958059903</v>
      </c>
      <c r="K160" s="319">
        <v>36.162795670633699</v>
      </c>
      <c r="L160" s="319">
        <v>3.5099383522981853</v>
      </c>
      <c r="M160" s="319">
        <f t="shared" si="2"/>
        <v>3.5099383522981853</v>
      </c>
      <c r="N160" s="317">
        <v>0.73178971462379638</v>
      </c>
      <c r="O160" s="315" t="s">
        <v>1148</v>
      </c>
      <c r="P160" s="318">
        <v>161</v>
      </c>
      <c r="R160" s="320">
        <v>71.666666666666671</v>
      </c>
      <c r="S160" s="318">
        <v>36</v>
      </c>
      <c r="T160" s="318">
        <v>60</v>
      </c>
      <c r="U160" s="318">
        <v>23</v>
      </c>
      <c r="V160" s="315">
        <v>0.2</v>
      </c>
      <c r="W160" s="318">
        <v>30</v>
      </c>
      <c r="X160" s="315">
        <v>6</v>
      </c>
      <c r="Y160" s="315" t="s">
        <v>1149</v>
      </c>
      <c r="Z160" s="315">
        <v>0</v>
      </c>
      <c r="AA160" s="315" t="s">
        <v>1150</v>
      </c>
      <c r="AB160" s="315"/>
      <c r="AC160" s="315"/>
      <c r="AD160" s="315"/>
      <c r="AE160" s="315"/>
      <c r="AF160" s="315"/>
      <c r="AG160" s="315"/>
      <c r="AH160" s="315"/>
    </row>
    <row r="161" spans="1:34">
      <c r="A161" s="315" t="s">
        <v>1145</v>
      </c>
      <c r="B161" s="315" t="s">
        <v>663</v>
      </c>
      <c r="C161" s="316" t="s">
        <v>1827</v>
      </c>
      <c r="D161" s="316" t="s">
        <v>1827</v>
      </c>
      <c r="E161" s="317">
        <v>6.552599123793291</v>
      </c>
      <c r="F161" s="317">
        <v>1.0278042000000001</v>
      </c>
      <c r="G161" s="317">
        <v>1.0278042000000001</v>
      </c>
      <c r="H161" s="317">
        <v>1.0278042000000001</v>
      </c>
      <c r="I161" s="318">
        <v>15.685442991131824</v>
      </c>
      <c r="J161" s="318">
        <v>74.0104322180146</v>
      </c>
      <c r="K161" s="319">
        <v>31.348552958023802</v>
      </c>
      <c r="L161" s="319">
        <v>15.663109966891978</v>
      </c>
      <c r="M161" s="319">
        <f t="shared" si="2"/>
        <v>15.663109966891978</v>
      </c>
      <c r="N161" s="317">
        <v>1.0263408064493433</v>
      </c>
      <c r="O161" s="315" t="s">
        <v>1148</v>
      </c>
      <c r="P161" s="318">
        <v>161</v>
      </c>
      <c r="R161" s="320">
        <v>71.666666666666671</v>
      </c>
      <c r="S161" s="318">
        <v>40</v>
      </c>
      <c r="T161" s="318">
        <v>28.57</v>
      </c>
      <c r="U161" s="318">
        <v>652.91899999999998</v>
      </c>
      <c r="V161" s="315">
        <v>0.245</v>
      </c>
      <c r="W161" s="318">
        <v>123.84</v>
      </c>
      <c r="X161" s="315">
        <v>0</v>
      </c>
      <c r="Y161" s="315" t="s">
        <v>1149</v>
      </c>
      <c r="Z161" s="315">
        <v>0</v>
      </c>
      <c r="AA161" s="315" t="s">
        <v>1190</v>
      </c>
      <c r="AB161" s="315"/>
      <c r="AC161" s="315"/>
      <c r="AD161" s="315"/>
      <c r="AE161" s="315"/>
      <c r="AF161" s="315"/>
      <c r="AG161" s="315"/>
      <c r="AH161" s="315"/>
    </row>
    <row r="162" spans="1:34">
      <c r="A162" s="315" t="s">
        <v>1441</v>
      </c>
      <c r="B162" s="315" t="s">
        <v>663</v>
      </c>
      <c r="C162" s="316" t="s">
        <v>1829</v>
      </c>
      <c r="D162" s="316" t="s">
        <v>1829</v>
      </c>
      <c r="E162" s="317">
        <v>5.1676258919468285</v>
      </c>
      <c r="F162" s="317">
        <v>0</v>
      </c>
      <c r="G162" s="317">
        <v>0</v>
      </c>
      <c r="H162" s="317">
        <v>0</v>
      </c>
      <c r="I162" s="318">
        <v>0</v>
      </c>
      <c r="J162" s="318">
        <v>83.361136674815299</v>
      </c>
      <c r="K162" s="319">
        <v>22.6440374708381</v>
      </c>
      <c r="L162" s="319">
        <v>22.6440374708381</v>
      </c>
      <c r="M162" s="319">
        <f t="shared" si="2"/>
        <v>22.6440374708381</v>
      </c>
      <c r="N162" s="317">
        <v>1.1701591433251715</v>
      </c>
      <c r="O162" s="315" t="s">
        <v>1168</v>
      </c>
      <c r="P162" s="318">
        <v>161</v>
      </c>
      <c r="R162" s="320">
        <v>71.666666666666671</v>
      </c>
      <c r="S162" s="318">
        <v>41</v>
      </c>
      <c r="T162" s="318">
        <v>26.43</v>
      </c>
      <c r="U162" s="318">
        <v>653</v>
      </c>
      <c r="V162" s="315">
        <v>0.25</v>
      </c>
      <c r="W162" s="318">
        <v>3.84</v>
      </c>
      <c r="X162" s="315">
        <v>0</v>
      </c>
      <c r="Y162" s="315" t="s">
        <v>1149</v>
      </c>
      <c r="Z162" s="315">
        <v>0</v>
      </c>
      <c r="AA162" s="315" t="s">
        <v>1157</v>
      </c>
      <c r="AB162" s="315"/>
      <c r="AC162" s="315"/>
      <c r="AD162" s="315"/>
      <c r="AE162" s="315"/>
      <c r="AF162" s="315"/>
      <c r="AG162" s="315"/>
      <c r="AH162" s="315"/>
    </row>
    <row r="163" spans="1:34">
      <c r="A163" s="315" t="s">
        <v>1145</v>
      </c>
      <c r="B163" s="315" t="s">
        <v>663</v>
      </c>
      <c r="C163" s="316" t="s">
        <v>1830</v>
      </c>
      <c r="D163" s="316" t="s">
        <v>1830</v>
      </c>
      <c r="E163" s="317">
        <v>2.6991848569565713</v>
      </c>
      <c r="F163" s="317">
        <v>0</v>
      </c>
      <c r="G163" s="317">
        <v>0</v>
      </c>
      <c r="H163" s="317">
        <v>0</v>
      </c>
      <c r="I163" s="318">
        <v>0</v>
      </c>
      <c r="J163" s="318">
        <v>82.456352071723401</v>
      </c>
      <c r="K163" s="319">
        <v>23.1175556308939</v>
      </c>
      <c r="L163" s="319">
        <v>23.1175556308939</v>
      </c>
      <c r="M163" s="319">
        <f t="shared" si="2"/>
        <v>23.1175556308939</v>
      </c>
      <c r="N163" s="317">
        <v>0.62398556088759927</v>
      </c>
      <c r="O163" s="315" t="s">
        <v>1168</v>
      </c>
      <c r="P163" s="318">
        <v>161</v>
      </c>
      <c r="R163" s="320">
        <v>71.666666666666671</v>
      </c>
      <c r="S163" s="318">
        <v>41</v>
      </c>
      <c r="T163" s="318">
        <v>17.388999999999999</v>
      </c>
      <c r="U163" s="318">
        <v>652.91899999999998</v>
      </c>
      <c r="V163" s="315">
        <v>0.22500000000000001</v>
      </c>
      <c r="W163" s="318">
        <v>1.8</v>
      </c>
      <c r="X163" s="315">
        <v>0</v>
      </c>
      <c r="Y163" s="315" t="s">
        <v>1149</v>
      </c>
      <c r="Z163" s="315">
        <v>0</v>
      </c>
      <c r="AA163" s="315" t="s">
        <v>1190</v>
      </c>
      <c r="AB163" s="315"/>
      <c r="AC163" s="315"/>
      <c r="AD163" s="315"/>
      <c r="AE163" s="315"/>
      <c r="AF163" s="315"/>
      <c r="AG163" s="315"/>
      <c r="AH163" s="315"/>
    </row>
    <row r="164" spans="1:34">
      <c r="A164" s="315" t="s">
        <v>1145</v>
      </c>
      <c r="B164" s="315" t="s">
        <v>663</v>
      </c>
      <c r="C164" s="316" t="s">
        <v>1831</v>
      </c>
      <c r="D164" s="316" t="s">
        <v>1831</v>
      </c>
      <c r="E164" s="317">
        <v>1.9300001837318508</v>
      </c>
      <c r="F164" s="317">
        <v>0.22848260000000001</v>
      </c>
      <c r="G164" s="317">
        <v>0.22848260000000001</v>
      </c>
      <c r="H164" s="317">
        <v>0.22848260000000001</v>
      </c>
      <c r="I164" s="318">
        <v>11.838475556940402</v>
      </c>
      <c r="J164" s="318">
        <v>78.782985875227197</v>
      </c>
      <c r="K164" s="319">
        <v>25.4808056753348</v>
      </c>
      <c r="L164" s="319">
        <v>13.642330118394398</v>
      </c>
      <c r="M164" s="319">
        <f t="shared" si="2"/>
        <v>13.642330118394398</v>
      </c>
      <c r="N164" s="317">
        <v>0.26329699635031745</v>
      </c>
      <c r="O164" s="315" t="s">
        <v>1148</v>
      </c>
      <c r="P164" s="318">
        <v>161</v>
      </c>
      <c r="R164" s="320">
        <v>71.666666666666671</v>
      </c>
      <c r="S164" s="318">
        <v>41</v>
      </c>
      <c r="T164" s="318">
        <v>18.231999999999999</v>
      </c>
      <c r="U164" s="318">
        <v>577.45600000000002</v>
      </c>
      <c r="V164" s="315">
        <v>0.23499999999999999</v>
      </c>
      <c r="W164" s="318">
        <v>5.48</v>
      </c>
      <c r="X164" s="315">
        <v>1</v>
      </c>
      <c r="Y164" s="315" t="s">
        <v>1149</v>
      </c>
      <c r="Z164" s="315">
        <v>0</v>
      </c>
      <c r="AA164" s="315" t="s">
        <v>1190</v>
      </c>
      <c r="AB164" s="315"/>
      <c r="AC164" s="315"/>
      <c r="AD164" s="315"/>
      <c r="AE164" s="315"/>
      <c r="AF164" s="315"/>
      <c r="AG164" s="315"/>
      <c r="AH164" s="315"/>
    </row>
    <row r="165" spans="1:34">
      <c r="A165" s="315" t="s">
        <v>1145</v>
      </c>
      <c r="B165" s="315" t="s">
        <v>663</v>
      </c>
      <c r="C165" s="316" t="s">
        <v>1832</v>
      </c>
      <c r="D165" s="316" t="s">
        <v>1832</v>
      </c>
      <c r="E165" s="317">
        <v>5.640000536915875</v>
      </c>
      <c r="F165" s="317">
        <v>1.2047091000000001</v>
      </c>
      <c r="G165" s="317">
        <v>1.2108655000000002</v>
      </c>
      <c r="H165" s="317">
        <v>1.2108655000000002</v>
      </c>
      <c r="I165" s="318">
        <v>21.469244410074801</v>
      </c>
      <c r="J165" s="318">
        <v>80.633154743421301</v>
      </c>
      <c r="K165" s="319">
        <v>24.5138867241693</v>
      </c>
      <c r="L165" s="319">
        <v>3.0446423140944994</v>
      </c>
      <c r="M165" s="319">
        <f t="shared" si="2"/>
        <v>3.0446423140944994</v>
      </c>
      <c r="N165" s="317">
        <v>0.17171784286209768</v>
      </c>
      <c r="O165" s="315" t="s">
        <v>1148</v>
      </c>
      <c r="P165" s="318">
        <v>161</v>
      </c>
      <c r="R165" s="320">
        <v>71.666666666666671</v>
      </c>
      <c r="S165" s="318">
        <v>40</v>
      </c>
      <c r="T165" s="318">
        <v>32.417999999999999</v>
      </c>
      <c r="U165" s="318">
        <v>577.45600000000002</v>
      </c>
      <c r="V165" s="315">
        <v>0.215</v>
      </c>
      <c r="W165" s="318">
        <v>3.948</v>
      </c>
      <c r="X165" s="315">
        <v>1</v>
      </c>
      <c r="Y165" s="315" t="s">
        <v>1149</v>
      </c>
      <c r="Z165" s="315">
        <v>0</v>
      </c>
      <c r="AA165" s="315" t="s">
        <v>1190</v>
      </c>
      <c r="AB165" s="315"/>
      <c r="AC165" s="315"/>
      <c r="AD165" s="315"/>
      <c r="AE165" s="315"/>
      <c r="AF165" s="315"/>
      <c r="AG165" s="315"/>
      <c r="AH165" s="315"/>
    </row>
    <row r="166" spans="1:34">
      <c r="A166" s="315" t="s">
        <v>1145</v>
      </c>
      <c r="B166" s="315" t="s">
        <v>663</v>
      </c>
      <c r="C166" s="316" t="s">
        <v>1833</v>
      </c>
      <c r="D166" s="316" t="s">
        <v>1833</v>
      </c>
      <c r="E166" s="317">
        <v>5.0096659769093845</v>
      </c>
      <c r="F166" s="317">
        <v>0</v>
      </c>
      <c r="G166" s="317">
        <v>0</v>
      </c>
      <c r="H166" s="317">
        <v>0</v>
      </c>
      <c r="I166" s="318">
        <v>0</v>
      </c>
      <c r="J166" s="318">
        <v>55.277530572637403</v>
      </c>
      <c r="K166" s="319">
        <v>30.571832109709202</v>
      </c>
      <c r="L166" s="319">
        <v>30.571832109709202</v>
      </c>
      <c r="M166" s="319">
        <f t="shared" si="2"/>
        <v>30.571832109709202</v>
      </c>
      <c r="N166" s="317">
        <v>1.5315466717179604</v>
      </c>
      <c r="O166" s="315" t="s">
        <v>1168</v>
      </c>
      <c r="P166" s="318">
        <v>161</v>
      </c>
      <c r="R166" s="320">
        <v>71.666666666666671</v>
      </c>
      <c r="S166" s="318">
        <v>42</v>
      </c>
      <c r="T166" s="318">
        <v>40</v>
      </c>
      <c r="U166" s="318">
        <v>479.02600000000001</v>
      </c>
      <c r="V166" s="315">
        <v>0.21</v>
      </c>
      <c r="W166" s="318">
        <v>10</v>
      </c>
      <c r="X166" s="315">
        <v>0</v>
      </c>
      <c r="Y166" s="315" t="s">
        <v>1149</v>
      </c>
      <c r="Z166" s="315">
        <v>0</v>
      </c>
      <c r="AA166" s="315" t="s">
        <v>1190</v>
      </c>
      <c r="AB166" s="315"/>
      <c r="AC166" s="315"/>
      <c r="AD166" s="315"/>
      <c r="AE166" s="315"/>
      <c r="AF166" s="315"/>
      <c r="AG166" s="315"/>
      <c r="AH166" s="315"/>
    </row>
    <row r="167" spans="1:34">
      <c r="A167" s="315" t="s">
        <v>1277</v>
      </c>
      <c r="B167" s="315" t="s">
        <v>663</v>
      </c>
      <c r="C167" s="316" t="s">
        <v>1834</v>
      </c>
      <c r="D167" s="316" t="s">
        <v>1834</v>
      </c>
      <c r="E167" s="317">
        <v>3.51</v>
      </c>
      <c r="F167" s="317">
        <v>0</v>
      </c>
      <c r="G167" s="317">
        <v>0</v>
      </c>
      <c r="H167" s="317">
        <v>0</v>
      </c>
      <c r="I167" s="318">
        <v>0</v>
      </c>
      <c r="J167" s="318">
        <v>77.038652905348599</v>
      </c>
      <c r="K167" s="319">
        <v>24.659957180352198</v>
      </c>
      <c r="L167" s="319">
        <v>24.659957180352198</v>
      </c>
      <c r="M167" s="319">
        <f t="shared" si="2"/>
        <v>24.659957180352198</v>
      </c>
      <c r="N167" s="317">
        <v>0.86556449703036209</v>
      </c>
      <c r="O167" s="315" t="s">
        <v>1168</v>
      </c>
      <c r="P167" s="318">
        <v>161</v>
      </c>
      <c r="R167" s="320">
        <v>71.666666666666671</v>
      </c>
      <c r="S167" s="318">
        <v>35</v>
      </c>
      <c r="T167" s="318">
        <v>47.34</v>
      </c>
      <c r="U167" s="318">
        <v>305</v>
      </c>
      <c r="V167" s="315">
        <v>0.23</v>
      </c>
      <c r="W167" s="318">
        <v>10</v>
      </c>
      <c r="X167" s="315">
        <v>0</v>
      </c>
      <c r="Y167" s="315" t="s">
        <v>1149</v>
      </c>
      <c r="Z167" s="315">
        <v>0</v>
      </c>
      <c r="AA167" s="315" t="s">
        <v>1150</v>
      </c>
      <c r="AB167" s="315"/>
      <c r="AC167" s="315"/>
      <c r="AD167" s="315"/>
      <c r="AE167" s="315"/>
      <c r="AF167" s="315"/>
      <c r="AG167" s="315"/>
      <c r="AH167" s="315"/>
    </row>
    <row r="168" spans="1:34">
      <c r="A168" s="315" t="s">
        <v>1334</v>
      </c>
      <c r="B168" s="315" t="s">
        <v>1916</v>
      </c>
      <c r="C168" s="316" t="s">
        <v>1920</v>
      </c>
      <c r="D168" s="316" t="s">
        <v>1920</v>
      </c>
      <c r="E168" s="317">
        <v>0.1</v>
      </c>
      <c r="F168" s="317">
        <v>0</v>
      </c>
      <c r="G168" s="317">
        <v>0</v>
      </c>
      <c r="H168" s="317">
        <v>0</v>
      </c>
      <c r="I168" s="318">
        <v>0</v>
      </c>
      <c r="J168" s="318">
        <v>81.859426729172299</v>
      </c>
      <c r="K168" s="319">
        <v>25.389986520369302</v>
      </c>
      <c r="L168" s="319">
        <v>25.389986520369302</v>
      </c>
      <c r="M168" s="319">
        <f t="shared" si="2"/>
        <v>25.389986520369302</v>
      </c>
      <c r="N168" s="317">
        <v>2.5389986520369303E-2</v>
      </c>
      <c r="O168" s="315" t="s">
        <v>1168</v>
      </c>
      <c r="P168" s="318">
        <v>161</v>
      </c>
      <c r="R168" s="320">
        <v>71.666666666666671</v>
      </c>
      <c r="S168" s="318">
        <v>36.4</v>
      </c>
      <c r="T168" s="318">
        <v>8.5154545454545456</v>
      </c>
      <c r="U168" s="318">
        <v>0.59363636363636363</v>
      </c>
      <c r="V168" s="315">
        <v>0.19400000000000001</v>
      </c>
      <c r="W168" s="318">
        <v>36.3733</v>
      </c>
      <c r="X168" s="315">
        <v>0</v>
      </c>
      <c r="Y168" s="315" t="s">
        <v>1149</v>
      </c>
      <c r="Z168" s="315">
        <v>0</v>
      </c>
      <c r="AA168" s="315" t="s">
        <v>1190</v>
      </c>
      <c r="AB168" s="315"/>
      <c r="AC168" s="315"/>
      <c r="AD168" s="315"/>
      <c r="AE168" s="315"/>
      <c r="AF168" s="315"/>
      <c r="AG168" s="315"/>
      <c r="AH168" s="315"/>
    </row>
    <row r="169" spans="1:34">
      <c r="A169" s="315" t="s">
        <v>1334</v>
      </c>
      <c r="B169" s="315" t="s">
        <v>1916</v>
      </c>
      <c r="C169" s="316" t="s">
        <v>1921</v>
      </c>
      <c r="D169" s="316" t="s">
        <v>1921</v>
      </c>
      <c r="E169" s="317">
        <v>2.1</v>
      </c>
      <c r="F169" s="317">
        <v>0.59599999999999997</v>
      </c>
      <c r="G169" s="317">
        <v>0.59599999999999997</v>
      </c>
      <c r="H169" s="317">
        <v>0.59599999999999997</v>
      </c>
      <c r="I169" s="318">
        <v>28.38095238095238</v>
      </c>
      <c r="J169" s="318">
        <v>60.854067088786799</v>
      </c>
      <c r="K169" s="319">
        <v>36.336710761225397</v>
      </c>
      <c r="L169" s="319">
        <v>7.9557583802730178</v>
      </c>
      <c r="M169" s="319">
        <f t="shared" si="2"/>
        <v>7.9557583802730178</v>
      </c>
      <c r="N169" s="317">
        <v>0.16707092598573337</v>
      </c>
      <c r="O169" s="315" t="s">
        <v>1148</v>
      </c>
      <c r="P169" s="318">
        <v>161</v>
      </c>
      <c r="R169" s="320">
        <v>71.666666666666671</v>
      </c>
      <c r="S169" s="318">
        <v>36.4</v>
      </c>
      <c r="T169" s="318">
        <v>9.7727272727272734</v>
      </c>
      <c r="U169" s="318">
        <v>2.5127272727272731</v>
      </c>
      <c r="V169" s="315">
        <v>0.27900000000000003</v>
      </c>
      <c r="W169" s="318">
        <v>66.073333333329998</v>
      </c>
      <c r="X169" s="315">
        <v>2</v>
      </c>
      <c r="Y169" s="315" t="s">
        <v>1149</v>
      </c>
      <c r="Z169" s="315">
        <v>0</v>
      </c>
      <c r="AA169" s="315" t="s">
        <v>1190</v>
      </c>
      <c r="AB169" s="315"/>
      <c r="AC169" s="315"/>
      <c r="AD169" s="315"/>
      <c r="AE169" s="315"/>
      <c r="AF169" s="315"/>
      <c r="AG169" s="315"/>
      <c r="AH169" s="315"/>
    </row>
    <row r="170" spans="1:34">
      <c r="A170" s="315" t="s">
        <v>1334</v>
      </c>
      <c r="B170" s="315" t="s">
        <v>1916</v>
      </c>
      <c r="C170" s="316" t="s">
        <v>1922</v>
      </c>
      <c r="D170" s="316" t="s">
        <v>1922</v>
      </c>
      <c r="E170" s="317">
        <v>21.5</v>
      </c>
      <c r="F170" s="317">
        <v>8.9869249999999994</v>
      </c>
      <c r="G170" s="317">
        <v>8.9869249999999994</v>
      </c>
      <c r="H170" s="317">
        <v>8.9869249999999994</v>
      </c>
      <c r="I170" s="318">
        <v>41.799651162790695</v>
      </c>
      <c r="J170" s="318">
        <v>49.355232301479298</v>
      </c>
      <c r="K170" s="319">
        <v>39.950780382680598</v>
      </c>
      <c r="L170" s="319">
        <v>-1.8488707801100972</v>
      </c>
      <c r="M170" s="319">
        <f t="shared" si="2"/>
        <v>0</v>
      </c>
      <c r="N170" s="317">
        <v>0</v>
      </c>
      <c r="O170" s="315" t="s">
        <v>1148</v>
      </c>
      <c r="P170" s="318">
        <v>161</v>
      </c>
      <c r="R170" s="320">
        <v>71.666666666666671</v>
      </c>
      <c r="S170" s="318">
        <v>36.4</v>
      </c>
      <c r="T170" s="318">
        <v>16.623636363636361</v>
      </c>
      <c r="U170" s="318">
        <v>9.0436363636363648</v>
      </c>
      <c r="V170" s="315">
        <v>0.22</v>
      </c>
      <c r="W170" s="318">
        <v>164.530833333</v>
      </c>
      <c r="X170" s="315">
        <v>8</v>
      </c>
      <c r="Y170" s="315" t="s">
        <v>1149</v>
      </c>
      <c r="Z170" s="315">
        <v>0</v>
      </c>
      <c r="AA170" s="315" t="s">
        <v>1190</v>
      </c>
      <c r="AB170" s="315"/>
      <c r="AC170" s="315"/>
      <c r="AD170" s="315"/>
      <c r="AE170" s="315"/>
      <c r="AF170" s="315"/>
      <c r="AG170" s="315"/>
      <c r="AH170" s="315"/>
    </row>
    <row r="171" spans="1:34">
      <c r="A171" s="315" t="s">
        <v>1334</v>
      </c>
      <c r="B171" s="315" t="s">
        <v>1916</v>
      </c>
      <c r="C171" s="316" t="s">
        <v>1924</v>
      </c>
      <c r="D171" s="316" t="s">
        <v>1924</v>
      </c>
      <c r="E171" s="317">
        <v>24.4</v>
      </c>
      <c r="F171" s="317">
        <v>5.0973350000000002</v>
      </c>
      <c r="G171" s="317">
        <v>5.0973350000000002</v>
      </c>
      <c r="H171" s="317">
        <v>5.0973350000000002</v>
      </c>
      <c r="I171" s="318">
        <v>20.890717213114758</v>
      </c>
      <c r="J171" s="318">
        <v>67.010752126549804</v>
      </c>
      <c r="K171" s="319">
        <v>35.683336143190601</v>
      </c>
      <c r="L171" s="319">
        <v>14.792618930075843</v>
      </c>
      <c r="M171" s="319">
        <f t="shared" si="2"/>
        <v>14.792618930075843</v>
      </c>
      <c r="N171" s="317">
        <v>3.6093990189385057</v>
      </c>
      <c r="O171" s="315" t="s">
        <v>1148</v>
      </c>
      <c r="P171" s="318">
        <v>161</v>
      </c>
      <c r="R171" s="320">
        <v>71.666666666666671</v>
      </c>
      <c r="S171" s="318">
        <v>36.4</v>
      </c>
      <c r="T171" s="318">
        <v>24.025454545454544</v>
      </c>
      <c r="U171" s="318">
        <v>12.920909090909088</v>
      </c>
      <c r="V171" s="315">
        <v>0.249</v>
      </c>
      <c r="W171" s="318">
        <v>223.90408333333301</v>
      </c>
      <c r="X171" s="315">
        <v>7</v>
      </c>
      <c r="Y171" s="315" t="s">
        <v>1149</v>
      </c>
      <c r="Z171" s="315">
        <v>0</v>
      </c>
      <c r="AA171" s="315" t="s">
        <v>1190</v>
      </c>
      <c r="AB171" s="315"/>
      <c r="AC171" s="315"/>
      <c r="AD171" s="315"/>
      <c r="AE171" s="315"/>
      <c r="AF171" s="315"/>
      <c r="AG171" s="315"/>
      <c r="AH171" s="315"/>
    </row>
    <row r="172" spans="1:34">
      <c r="A172" s="315" t="s">
        <v>1145</v>
      </c>
      <c r="B172" s="315" t="s">
        <v>663</v>
      </c>
      <c r="C172" s="316" t="s">
        <v>1836</v>
      </c>
      <c r="D172" s="316" t="s">
        <v>1836</v>
      </c>
      <c r="E172" s="317">
        <v>21.240002022002333</v>
      </c>
      <c r="F172" s="317">
        <v>1.7207968</v>
      </c>
      <c r="G172" s="317">
        <v>1.8306990000000001</v>
      </c>
      <c r="H172" s="317">
        <v>1.8306990000000001</v>
      </c>
      <c r="I172" s="318">
        <v>8.6191093489708486</v>
      </c>
      <c r="J172" s="318">
        <v>64.8309525953388</v>
      </c>
      <c r="K172" s="319">
        <v>38.155185203770699</v>
      </c>
      <c r="L172" s="319">
        <v>29.536075854799851</v>
      </c>
      <c r="M172" s="319">
        <f t="shared" si="2"/>
        <v>29.536075854799851</v>
      </c>
      <c r="N172" s="317">
        <v>6.2734631087796302</v>
      </c>
      <c r="O172" s="315" t="s">
        <v>1148</v>
      </c>
      <c r="P172" s="318">
        <v>161.07884900000002</v>
      </c>
      <c r="R172" s="320">
        <v>71.710471666666677</v>
      </c>
      <c r="S172" s="318">
        <v>27.3</v>
      </c>
      <c r="T172" s="318">
        <v>12</v>
      </c>
      <c r="U172" s="318">
        <v>70</v>
      </c>
      <c r="V172" s="315">
        <v>0.21293200000000001</v>
      </c>
      <c r="W172" s="318">
        <v>527.99689999999998</v>
      </c>
      <c r="X172" s="315">
        <v>0</v>
      </c>
      <c r="Y172" s="315" t="s">
        <v>1149</v>
      </c>
      <c r="Z172" s="315">
        <v>0</v>
      </c>
      <c r="AA172" s="315" t="s">
        <v>1150</v>
      </c>
      <c r="AB172" s="315"/>
      <c r="AC172" s="315"/>
      <c r="AD172" s="315"/>
      <c r="AE172" s="315"/>
      <c r="AF172" s="315"/>
      <c r="AG172" s="315"/>
      <c r="AH172" s="315"/>
    </row>
    <row r="173" spans="1:34">
      <c r="A173" s="315" t="s">
        <v>1454</v>
      </c>
      <c r="B173" s="315" t="s">
        <v>2007</v>
      </c>
      <c r="C173" s="316" t="s">
        <v>2008</v>
      </c>
      <c r="D173" s="316" t="s">
        <v>2008</v>
      </c>
      <c r="E173" s="317">
        <v>19</v>
      </c>
      <c r="F173" s="317">
        <v>3.489398</v>
      </c>
      <c r="G173" s="317">
        <v>3.489398</v>
      </c>
      <c r="H173" s="317">
        <v>4.5413660000000009</v>
      </c>
      <c r="I173" s="318">
        <v>23.901926315789478</v>
      </c>
      <c r="J173" s="318">
        <v>56.784746026789598</v>
      </c>
      <c r="K173" s="319">
        <v>41.165562225956499</v>
      </c>
      <c r="L173" s="319">
        <v>17.263635910167022</v>
      </c>
      <c r="M173" s="319">
        <f t="shared" si="2"/>
        <v>17.263635910167022</v>
      </c>
      <c r="N173" s="317">
        <v>3.2800908229317343</v>
      </c>
      <c r="O173" s="315" t="s">
        <v>1148</v>
      </c>
      <c r="P173" s="318">
        <v>161.6</v>
      </c>
      <c r="R173" s="320">
        <v>72</v>
      </c>
      <c r="S173" s="318">
        <v>41.2</v>
      </c>
      <c r="T173" s="318">
        <v>49.3</v>
      </c>
      <c r="U173" s="318">
        <v>0</v>
      </c>
      <c r="V173" s="315">
        <v>0.21</v>
      </c>
      <c r="W173" s="318">
        <v>62.7</v>
      </c>
      <c r="X173" s="315">
        <v>2</v>
      </c>
      <c r="Y173" s="315" t="s">
        <v>1149</v>
      </c>
      <c r="Z173" s="315">
        <v>0</v>
      </c>
      <c r="AA173" s="315" t="s">
        <v>1150</v>
      </c>
      <c r="AB173" s="315"/>
      <c r="AC173" s="315"/>
      <c r="AD173" s="315"/>
      <c r="AE173" s="315"/>
      <c r="AF173" s="315"/>
      <c r="AG173" s="315"/>
      <c r="AH173" s="315"/>
    </row>
    <row r="174" spans="1:34">
      <c r="A174" s="315" t="s">
        <v>1145</v>
      </c>
      <c r="B174" s="315" t="s">
        <v>1066</v>
      </c>
      <c r="C174" s="316" t="s">
        <v>1242</v>
      </c>
      <c r="D174" s="316" t="s">
        <v>1243</v>
      </c>
      <c r="E174" s="317">
        <v>2.76</v>
      </c>
      <c r="F174" s="317">
        <v>0</v>
      </c>
      <c r="G174" s="317">
        <v>0</v>
      </c>
      <c r="H174" s="317">
        <v>1.1699788</v>
      </c>
      <c r="I174" s="318">
        <v>42.390536231884063</v>
      </c>
      <c r="J174" s="318">
        <v>67.633480608295301</v>
      </c>
      <c r="K174" s="319">
        <v>36.400858112942402</v>
      </c>
      <c r="L174" s="319">
        <v>-5.9896781189416615</v>
      </c>
      <c r="M174" s="319">
        <f t="shared" si="2"/>
        <v>0</v>
      </c>
      <c r="N174" s="317">
        <v>0</v>
      </c>
      <c r="O174" s="315" t="s">
        <v>1168</v>
      </c>
      <c r="P174" s="318">
        <v>162</v>
      </c>
      <c r="R174" s="320">
        <v>72.222222222222229</v>
      </c>
      <c r="S174" s="318">
        <v>40</v>
      </c>
      <c r="T174" s="318">
        <v>212.9</v>
      </c>
      <c r="U174" s="318">
        <v>204</v>
      </c>
      <c r="V174" s="315">
        <v>0.23400000000000001</v>
      </c>
      <c r="W174" s="318">
        <v>326.89999999999998</v>
      </c>
      <c r="X174" s="315">
        <v>1</v>
      </c>
      <c r="Y174" s="315" t="s">
        <v>1149</v>
      </c>
      <c r="Z174" s="315">
        <v>0</v>
      </c>
      <c r="AA174" s="315" t="s">
        <v>1190</v>
      </c>
      <c r="AB174" s="316">
        <v>0</v>
      </c>
      <c r="AC174" s="316">
        <v>2183</v>
      </c>
      <c r="AD174" s="316">
        <v>2131</v>
      </c>
      <c r="AE174" s="316">
        <v>0.38</v>
      </c>
      <c r="AF174" s="316">
        <v>1.2929999999999999</v>
      </c>
      <c r="AG174" s="316">
        <v>0.43</v>
      </c>
      <c r="AH174" s="316">
        <v>521</v>
      </c>
    </row>
    <row r="175" spans="1:34">
      <c r="A175" s="315" t="s">
        <v>1145</v>
      </c>
      <c r="B175" s="315" t="s">
        <v>1066</v>
      </c>
      <c r="C175" s="316" t="s">
        <v>1244</v>
      </c>
      <c r="D175" s="316" t="s">
        <v>1245</v>
      </c>
      <c r="E175" s="317">
        <v>3.16</v>
      </c>
      <c r="F175" s="317">
        <v>0</v>
      </c>
      <c r="G175" s="317">
        <v>0</v>
      </c>
      <c r="H175" s="317">
        <v>0</v>
      </c>
      <c r="I175" s="318">
        <v>0</v>
      </c>
      <c r="J175" s="318">
        <v>68.023322283189103</v>
      </c>
      <c r="K175" s="319">
        <v>34.234794566564901</v>
      </c>
      <c r="L175" s="319">
        <v>34.234794566564901</v>
      </c>
      <c r="M175" s="319">
        <f t="shared" si="2"/>
        <v>34.234794566564901</v>
      </c>
      <c r="N175" s="317">
        <v>1.081819508303451</v>
      </c>
      <c r="O175" s="315" t="s">
        <v>1168</v>
      </c>
      <c r="P175" s="318">
        <v>162</v>
      </c>
      <c r="R175" s="320">
        <v>72.222222222222229</v>
      </c>
      <c r="S175" s="318">
        <v>40</v>
      </c>
      <c r="T175" s="318">
        <v>97.69</v>
      </c>
      <c r="U175" s="318">
        <v>97.7</v>
      </c>
      <c r="V175" s="315">
        <v>0.22</v>
      </c>
      <c r="W175" s="318">
        <v>613.4</v>
      </c>
      <c r="X175" s="315">
        <v>1</v>
      </c>
      <c r="Y175" s="315" t="s">
        <v>1149</v>
      </c>
      <c r="Z175" s="315">
        <v>0</v>
      </c>
      <c r="AA175" s="315" t="s">
        <v>1190</v>
      </c>
      <c r="AB175" s="316">
        <v>0</v>
      </c>
      <c r="AC175" s="316">
        <v>2183</v>
      </c>
      <c r="AD175" s="316">
        <v>2131</v>
      </c>
      <c r="AE175" s="316">
        <v>0.38</v>
      </c>
      <c r="AF175" s="316">
        <v>1.2929999999999999</v>
      </c>
      <c r="AG175" s="316">
        <v>0.43</v>
      </c>
      <c r="AH175" s="316">
        <v>521</v>
      </c>
    </row>
    <row r="176" spans="1:34">
      <c r="A176" s="315" t="s">
        <v>1229</v>
      </c>
      <c r="B176" s="315" t="s">
        <v>1970</v>
      </c>
      <c r="C176" s="316" t="s">
        <v>1986</v>
      </c>
      <c r="D176" s="316" t="s">
        <v>1986</v>
      </c>
      <c r="E176" s="317">
        <v>52.015000000000001</v>
      </c>
      <c r="F176" s="317">
        <v>11.653369400000001</v>
      </c>
      <c r="G176" s="317">
        <v>12.851970900000001</v>
      </c>
      <c r="H176" s="317">
        <v>20.508440400000001</v>
      </c>
      <c r="I176" s="318">
        <v>39.427935018744598</v>
      </c>
      <c r="J176" s="318">
        <v>64.799089974008695</v>
      </c>
      <c r="K176" s="319">
        <v>39.487498040439903</v>
      </c>
      <c r="L176" s="319">
        <v>5.956302169530403E-2</v>
      </c>
      <c r="M176" s="319">
        <f t="shared" si="2"/>
        <v>5.956302169530403E-2</v>
      </c>
      <c r="N176" s="317">
        <v>3.098170573481239E-2</v>
      </c>
      <c r="O176" s="315" t="s">
        <v>1148</v>
      </c>
      <c r="P176" s="318">
        <v>162</v>
      </c>
      <c r="R176" s="320">
        <v>72.222222222222229</v>
      </c>
      <c r="S176" s="318">
        <v>25.5</v>
      </c>
      <c r="T176" s="318">
        <v>57</v>
      </c>
      <c r="U176" s="318">
        <v>115</v>
      </c>
      <c r="V176" s="315">
        <v>0.18</v>
      </c>
      <c r="W176" s="318">
        <v>800</v>
      </c>
      <c r="X176" s="315">
        <v>23</v>
      </c>
      <c r="Y176" s="315" t="s">
        <v>1149</v>
      </c>
      <c r="Z176" s="315">
        <v>0</v>
      </c>
      <c r="AA176" s="315" t="s">
        <v>1150</v>
      </c>
      <c r="AB176" s="315"/>
      <c r="AC176" s="315"/>
      <c r="AD176" s="315"/>
      <c r="AE176" s="315"/>
      <c r="AF176" s="315"/>
      <c r="AG176" s="315"/>
      <c r="AH176" s="315"/>
    </row>
    <row r="177" spans="1:34">
      <c r="A177" s="315" t="s">
        <v>1460</v>
      </c>
      <c r="B177" s="315" t="s">
        <v>1080</v>
      </c>
      <c r="C177" s="316" t="s">
        <v>1998</v>
      </c>
      <c r="D177" s="316" t="s">
        <v>1998</v>
      </c>
      <c r="E177" s="317">
        <v>13.640010392214617</v>
      </c>
      <c r="F177" s="317">
        <v>6.0760506999999997</v>
      </c>
      <c r="G177" s="317">
        <v>6.7836056999999998</v>
      </c>
      <c r="H177" s="317">
        <v>6.7836056999999998</v>
      </c>
      <c r="I177" s="318">
        <v>49.733141727457301</v>
      </c>
      <c r="J177" s="318">
        <v>40.217285067152901</v>
      </c>
      <c r="K177" s="319">
        <v>46.168412062921895</v>
      </c>
      <c r="L177" s="319">
        <v>-3.5647296645354061</v>
      </c>
      <c r="M177" s="319">
        <f t="shared" si="2"/>
        <v>0</v>
      </c>
      <c r="N177" s="317">
        <v>0</v>
      </c>
      <c r="O177" s="315" t="s">
        <v>1148</v>
      </c>
      <c r="P177" s="318">
        <v>162</v>
      </c>
      <c r="R177" s="320">
        <v>72.222222222222229</v>
      </c>
      <c r="S177" s="318">
        <v>33</v>
      </c>
      <c r="T177" s="318">
        <v>18</v>
      </c>
      <c r="U177" s="318">
        <v>120</v>
      </c>
      <c r="V177" s="315">
        <v>0.2</v>
      </c>
      <c r="W177" s="318">
        <v>100</v>
      </c>
      <c r="X177" s="315">
        <v>12</v>
      </c>
      <c r="Y177" s="315" t="s">
        <v>1149</v>
      </c>
      <c r="Z177" s="315">
        <v>0</v>
      </c>
      <c r="AA177" s="315" t="s">
        <v>1150</v>
      </c>
      <c r="AB177" s="315"/>
      <c r="AC177" s="315"/>
      <c r="AD177" s="315"/>
      <c r="AE177" s="315"/>
      <c r="AF177" s="315"/>
      <c r="AG177" s="315"/>
      <c r="AH177" s="315"/>
    </row>
    <row r="178" spans="1:34">
      <c r="A178" s="315" t="s">
        <v>1158</v>
      </c>
      <c r="B178" s="315" t="s">
        <v>1659</v>
      </c>
      <c r="C178" s="316" t="s">
        <v>1664</v>
      </c>
      <c r="D178" s="316" t="s">
        <v>1664</v>
      </c>
      <c r="E178" s="317">
        <v>0.67</v>
      </c>
      <c r="F178" s="317">
        <v>0</v>
      </c>
      <c r="G178" s="317">
        <v>0</v>
      </c>
      <c r="H178" s="317">
        <v>0</v>
      </c>
      <c r="I178" s="318">
        <v>0</v>
      </c>
      <c r="J178" s="318">
        <v>58.128571626857998</v>
      </c>
      <c r="K178" s="319">
        <v>36.578064322059397</v>
      </c>
      <c r="L178" s="319">
        <v>36.578064322059397</v>
      </c>
      <c r="M178" s="319">
        <f t="shared" si="2"/>
        <v>36.578064322059397</v>
      </c>
      <c r="N178" s="317">
        <v>0.24507303095779795</v>
      </c>
      <c r="O178" s="315" t="s">
        <v>1168</v>
      </c>
      <c r="P178" s="318">
        <v>162.15</v>
      </c>
      <c r="R178" s="320">
        <v>72.305555555555557</v>
      </c>
      <c r="S178" s="318">
        <v>31.6</v>
      </c>
      <c r="T178" s="318">
        <v>340.23970000000003</v>
      </c>
      <c r="U178" s="318">
        <v>19.997695</v>
      </c>
      <c r="V178" s="315">
        <v>0.185</v>
      </c>
      <c r="W178" s="318">
        <v>6.0430000000000001</v>
      </c>
      <c r="X178" s="315">
        <v>3</v>
      </c>
      <c r="Y178" s="315" t="s">
        <v>1149</v>
      </c>
      <c r="Z178" s="315">
        <v>0</v>
      </c>
      <c r="AA178" s="315" t="s">
        <v>1157</v>
      </c>
      <c r="AB178" s="315"/>
      <c r="AC178" s="315"/>
      <c r="AD178" s="315"/>
      <c r="AE178" s="315"/>
      <c r="AF178" s="315"/>
      <c r="AG178" s="315"/>
      <c r="AH178" s="315"/>
    </row>
    <row r="179" spans="1:34">
      <c r="A179" s="315" t="s">
        <v>1158</v>
      </c>
      <c r="B179" s="315" t="s">
        <v>1659</v>
      </c>
      <c r="C179" s="316" t="s">
        <v>1665</v>
      </c>
      <c r="D179" s="316" t="s">
        <v>1665</v>
      </c>
      <c r="E179" s="317">
        <v>0.56000000000000005</v>
      </c>
      <c r="F179" s="317">
        <v>0</v>
      </c>
      <c r="G179" s="317">
        <v>0</v>
      </c>
      <c r="H179" s="317">
        <v>0</v>
      </c>
      <c r="I179" s="318">
        <v>0</v>
      </c>
      <c r="J179" s="318">
        <v>54.017043560724801</v>
      </c>
      <c r="K179" s="319">
        <v>38.2628946763733</v>
      </c>
      <c r="L179" s="319">
        <v>38.2628946763733</v>
      </c>
      <c r="M179" s="319">
        <f t="shared" si="2"/>
        <v>38.2628946763733</v>
      </c>
      <c r="N179" s="317">
        <v>0.21427221018769049</v>
      </c>
      <c r="O179" s="315" t="s">
        <v>1168</v>
      </c>
      <c r="P179" s="318">
        <v>162.15</v>
      </c>
      <c r="R179" s="320">
        <v>72.305555555555557</v>
      </c>
      <c r="S179" s="318">
        <v>31.6</v>
      </c>
      <c r="T179" s="318">
        <v>101.711</v>
      </c>
      <c r="U179" s="318">
        <v>11.998617000000001</v>
      </c>
      <c r="V179" s="315">
        <v>0.219</v>
      </c>
      <c r="W179" s="318">
        <v>471.82499999999999</v>
      </c>
      <c r="X179" s="315">
        <v>3</v>
      </c>
      <c r="Y179" s="315" t="s">
        <v>1149</v>
      </c>
      <c r="Z179" s="315">
        <v>0</v>
      </c>
      <c r="AA179" s="315" t="s">
        <v>1157</v>
      </c>
      <c r="AB179" s="315"/>
      <c r="AC179" s="315"/>
      <c r="AD179" s="315"/>
      <c r="AE179" s="315"/>
      <c r="AF179" s="315"/>
      <c r="AG179" s="315"/>
      <c r="AH179" s="315"/>
    </row>
    <row r="180" spans="1:34">
      <c r="A180" s="315" t="s">
        <v>1158</v>
      </c>
      <c r="B180" s="315" t="s">
        <v>1659</v>
      </c>
      <c r="C180" s="316" t="s">
        <v>1666</v>
      </c>
      <c r="D180" s="316" t="s">
        <v>1666</v>
      </c>
      <c r="E180" s="317">
        <v>5.78</v>
      </c>
      <c r="F180" s="317">
        <v>0</v>
      </c>
      <c r="G180" s="317">
        <v>0</v>
      </c>
      <c r="H180" s="317">
        <v>0</v>
      </c>
      <c r="I180" s="318">
        <v>0</v>
      </c>
      <c r="J180" s="318">
        <v>57.4860146741376</v>
      </c>
      <c r="K180" s="319">
        <v>37.984140417756301</v>
      </c>
      <c r="L180" s="319">
        <v>37.984140417756301</v>
      </c>
      <c r="M180" s="319">
        <f t="shared" si="2"/>
        <v>37.984140417756301</v>
      </c>
      <c r="N180" s="317">
        <v>2.1954833161463143</v>
      </c>
      <c r="O180" s="315" t="s">
        <v>1168</v>
      </c>
      <c r="P180" s="318">
        <v>162.15</v>
      </c>
      <c r="R180" s="320">
        <v>72.305555555555557</v>
      </c>
      <c r="S180" s="318">
        <v>31.6</v>
      </c>
      <c r="T180" s="318">
        <v>272.97920000000005</v>
      </c>
      <c r="U180" s="318">
        <v>63.510317000000001</v>
      </c>
      <c r="V180" s="315">
        <v>0.219</v>
      </c>
      <c r="W180" s="318">
        <v>181.26499999999999</v>
      </c>
      <c r="X180" s="315">
        <v>3</v>
      </c>
      <c r="Y180" s="315" t="s">
        <v>1149</v>
      </c>
      <c r="Z180" s="315">
        <v>0</v>
      </c>
      <c r="AA180" s="315" t="s">
        <v>1157</v>
      </c>
      <c r="AB180" s="315"/>
      <c r="AC180" s="315"/>
      <c r="AD180" s="315"/>
      <c r="AE180" s="315"/>
      <c r="AF180" s="315"/>
      <c r="AG180" s="315"/>
      <c r="AH180" s="315"/>
    </row>
    <row r="181" spans="1:34">
      <c r="A181" s="315" t="s">
        <v>1145</v>
      </c>
      <c r="B181" s="315" t="s">
        <v>663</v>
      </c>
      <c r="C181" s="316" t="s">
        <v>1837</v>
      </c>
      <c r="D181" s="316" t="s">
        <v>1837</v>
      </c>
      <c r="E181" s="317">
        <v>4.1600003960230563</v>
      </c>
      <c r="F181" s="317">
        <v>0.63951760000000002</v>
      </c>
      <c r="G181" s="317">
        <v>0.64606980000000003</v>
      </c>
      <c r="H181" s="317">
        <v>0.64606980000000003</v>
      </c>
      <c r="I181" s="318">
        <v>15.530522559989182</v>
      </c>
      <c r="J181" s="318">
        <v>81.497422372782694</v>
      </c>
      <c r="K181" s="319">
        <v>24.0447514282844</v>
      </c>
      <c r="L181" s="319">
        <v>8.5142288682952181</v>
      </c>
      <c r="M181" s="319">
        <f t="shared" si="2"/>
        <v>8.5142288682952181</v>
      </c>
      <c r="N181" s="317">
        <v>0.35419195463939046</v>
      </c>
      <c r="O181" s="315" t="s">
        <v>1148</v>
      </c>
      <c r="P181" s="318">
        <v>162.5196</v>
      </c>
      <c r="R181" s="320">
        <v>72.510888888888886</v>
      </c>
      <c r="S181" s="318">
        <v>40</v>
      </c>
      <c r="T181" s="318">
        <v>54.061</v>
      </c>
      <c r="U181" s="318">
        <v>495.43100000000004</v>
      </c>
      <c r="V181" s="315">
        <v>0.25</v>
      </c>
      <c r="W181" s="318">
        <v>23.295999999999999</v>
      </c>
      <c r="X181" s="315">
        <v>2</v>
      </c>
      <c r="Y181" s="315" t="s">
        <v>1149</v>
      </c>
      <c r="Z181" s="315">
        <v>0</v>
      </c>
      <c r="AA181" s="315" t="s">
        <v>1190</v>
      </c>
      <c r="AB181" s="315"/>
      <c r="AC181" s="315"/>
      <c r="AD181" s="315"/>
      <c r="AE181" s="315"/>
      <c r="AF181" s="315"/>
      <c r="AG181" s="315"/>
      <c r="AH181" s="315"/>
    </row>
    <row r="182" spans="1:34">
      <c r="A182" s="315" t="s">
        <v>1145</v>
      </c>
      <c r="B182" s="315" t="s">
        <v>1066</v>
      </c>
      <c r="C182" s="316" t="s">
        <v>1246</v>
      </c>
      <c r="D182" s="316" t="s">
        <v>1247</v>
      </c>
      <c r="E182" s="317">
        <v>17.63</v>
      </c>
      <c r="F182" s="317">
        <v>6.6432199999999995</v>
      </c>
      <c r="G182" s="317">
        <v>7.8297447</v>
      </c>
      <c r="H182" s="317">
        <v>8.5085329000000005</v>
      </c>
      <c r="I182" s="318">
        <v>48.261672716959737</v>
      </c>
      <c r="J182" s="318">
        <v>49.249161789225397</v>
      </c>
      <c r="K182" s="319">
        <v>41.752842898575196</v>
      </c>
      <c r="L182" s="319">
        <v>-6.508829818384541</v>
      </c>
      <c r="M182" s="319">
        <f t="shared" si="2"/>
        <v>0</v>
      </c>
      <c r="N182" s="317">
        <v>0</v>
      </c>
      <c r="O182" s="315" t="s">
        <v>1148</v>
      </c>
      <c r="P182" s="318">
        <v>163</v>
      </c>
      <c r="R182" s="320">
        <v>72.777777777777771</v>
      </c>
      <c r="S182" s="318">
        <v>40</v>
      </c>
      <c r="T182" s="318">
        <v>203.9</v>
      </c>
      <c r="U182" s="318">
        <v>412</v>
      </c>
      <c r="V182" s="315">
        <v>0.21</v>
      </c>
      <c r="W182" s="318">
        <v>138.80000000000001</v>
      </c>
      <c r="X182" s="315">
        <v>5</v>
      </c>
      <c r="Y182" s="315" t="s">
        <v>1149</v>
      </c>
      <c r="Z182" s="315">
        <v>0</v>
      </c>
      <c r="AA182" s="315" t="s">
        <v>1190</v>
      </c>
      <c r="AB182" s="316">
        <v>0</v>
      </c>
      <c r="AC182" s="316">
        <v>2137</v>
      </c>
      <c r="AD182" s="316">
        <v>2068</v>
      </c>
      <c r="AE182" s="316">
        <v>0.72</v>
      </c>
      <c r="AF182" s="316">
        <v>1.284</v>
      </c>
      <c r="AG182" s="316">
        <v>0.438</v>
      </c>
      <c r="AH182" s="316">
        <v>502</v>
      </c>
    </row>
    <row r="183" spans="1:34">
      <c r="A183" s="315" t="s">
        <v>1145</v>
      </c>
      <c r="B183" s="315" t="s">
        <v>1066</v>
      </c>
      <c r="C183" s="316" t="s">
        <v>1248</v>
      </c>
      <c r="D183" s="316" t="s">
        <v>1249</v>
      </c>
      <c r="E183" s="317">
        <v>22.91</v>
      </c>
      <c r="F183" s="317">
        <v>3.5366434999999998</v>
      </c>
      <c r="G183" s="317">
        <v>4.3115068000000001</v>
      </c>
      <c r="H183" s="317">
        <v>5.1642318999999999</v>
      </c>
      <c r="I183" s="318">
        <v>22.541387603666521</v>
      </c>
      <c r="J183" s="318">
        <v>51.759005533619302</v>
      </c>
      <c r="K183" s="319">
        <v>40.861751068046999</v>
      </c>
      <c r="L183" s="319">
        <v>18.320363464380478</v>
      </c>
      <c r="M183" s="319">
        <f t="shared" si="2"/>
        <v>18.320363464380478</v>
      </c>
      <c r="N183" s="317">
        <v>4.1971952696895674</v>
      </c>
      <c r="O183" s="315" t="s">
        <v>1148</v>
      </c>
      <c r="P183" s="318">
        <v>163</v>
      </c>
      <c r="R183" s="320">
        <v>72.777777777777771</v>
      </c>
      <c r="S183" s="318">
        <v>40</v>
      </c>
      <c r="T183" s="318">
        <v>201.8</v>
      </c>
      <c r="U183" s="318">
        <v>412</v>
      </c>
      <c r="V183" s="315">
        <v>0.23</v>
      </c>
      <c r="W183" s="318">
        <v>695.3</v>
      </c>
      <c r="X183" s="315">
        <v>4</v>
      </c>
      <c r="Y183" s="315" t="s">
        <v>1149</v>
      </c>
      <c r="Z183" s="315">
        <v>0</v>
      </c>
      <c r="AA183" s="315" t="s">
        <v>1190</v>
      </c>
      <c r="AB183" s="316">
        <v>0</v>
      </c>
      <c r="AC183" s="316">
        <v>2120</v>
      </c>
      <c r="AD183" s="316">
        <v>2068</v>
      </c>
      <c r="AE183" s="316">
        <v>0.67</v>
      </c>
      <c r="AF183" s="316">
        <v>1.284</v>
      </c>
      <c r="AG183" s="316">
        <v>0.438</v>
      </c>
      <c r="AH183" s="316">
        <v>502</v>
      </c>
    </row>
    <row r="184" spans="1:34">
      <c r="A184" s="315" t="s">
        <v>1277</v>
      </c>
      <c r="B184" s="315" t="s">
        <v>663</v>
      </c>
      <c r="C184" s="316" t="s">
        <v>1838</v>
      </c>
      <c r="D184" s="316" t="s">
        <v>1838</v>
      </c>
      <c r="E184" s="317">
        <v>8.9295578500746302</v>
      </c>
      <c r="F184" s="317">
        <v>0</v>
      </c>
      <c r="G184" s="317">
        <v>0</v>
      </c>
      <c r="H184" s="317">
        <v>0</v>
      </c>
      <c r="I184" s="318">
        <v>0</v>
      </c>
      <c r="J184" s="318">
        <v>69.180715781151093</v>
      </c>
      <c r="K184" s="319">
        <v>29.124567355806004</v>
      </c>
      <c r="L184" s="319">
        <v>29.124567355806004</v>
      </c>
      <c r="M184" s="319">
        <f t="shared" si="2"/>
        <v>29.124567355806004</v>
      </c>
      <c r="N184" s="317">
        <v>2.6006950906206479</v>
      </c>
      <c r="O184" s="315" t="s">
        <v>1168</v>
      </c>
      <c r="P184" s="318">
        <v>163</v>
      </c>
      <c r="R184" s="320">
        <v>72.777777777777771</v>
      </c>
      <c r="S184" s="318">
        <v>42</v>
      </c>
      <c r="T184" s="318">
        <v>46.12</v>
      </c>
      <c r="U184" s="318">
        <v>200</v>
      </c>
      <c r="V184" s="315">
        <v>0.28999999999999998</v>
      </c>
      <c r="W184" s="318">
        <v>5727</v>
      </c>
      <c r="X184" s="315">
        <v>0</v>
      </c>
      <c r="Y184" s="315" t="s">
        <v>1149</v>
      </c>
      <c r="Z184" s="315">
        <v>0</v>
      </c>
      <c r="AA184" s="315" t="s">
        <v>1150</v>
      </c>
      <c r="AB184" s="315"/>
      <c r="AC184" s="315"/>
      <c r="AD184" s="315"/>
      <c r="AE184" s="315"/>
      <c r="AF184" s="315"/>
      <c r="AG184" s="315"/>
      <c r="AH184" s="315"/>
    </row>
    <row r="185" spans="1:34">
      <c r="A185" s="315" t="s">
        <v>1145</v>
      </c>
      <c r="B185" s="315" t="s">
        <v>663</v>
      </c>
      <c r="C185" s="316" t="s">
        <v>1839</v>
      </c>
      <c r="D185" s="316" t="s">
        <v>1839</v>
      </c>
      <c r="E185" s="317">
        <v>7.5758708212065455</v>
      </c>
      <c r="F185" s="317">
        <v>0</v>
      </c>
      <c r="G185" s="317">
        <v>0</v>
      </c>
      <c r="H185" s="317">
        <v>0.505</v>
      </c>
      <c r="I185" s="318">
        <v>6.6659003554600318</v>
      </c>
      <c r="J185" s="318">
        <v>80.546954674422807</v>
      </c>
      <c r="K185" s="319">
        <v>23.222785940998598</v>
      </c>
      <c r="L185" s="319">
        <v>16.556885585538566</v>
      </c>
      <c r="M185" s="319">
        <f t="shared" si="2"/>
        <v>16.556885585538566</v>
      </c>
      <c r="N185" s="317">
        <v>1.2543282639753688</v>
      </c>
      <c r="O185" s="315" t="s">
        <v>1168</v>
      </c>
      <c r="P185" s="318">
        <v>163</v>
      </c>
      <c r="R185" s="320">
        <v>72.777777777777771</v>
      </c>
      <c r="S185" s="318">
        <v>42</v>
      </c>
      <c r="T185" s="318">
        <v>29.65</v>
      </c>
      <c r="U185" s="318">
        <v>200</v>
      </c>
      <c r="V185" s="315">
        <v>0.214</v>
      </c>
      <c r="W185" s="318">
        <v>10</v>
      </c>
      <c r="X185" s="315">
        <v>0</v>
      </c>
      <c r="Y185" s="315" t="s">
        <v>1149</v>
      </c>
      <c r="Z185" s="315">
        <v>0</v>
      </c>
      <c r="AA185" s="315" t="s">
        <v>1150</v>
      </c>
      <c r="AB185" s="315"/>
      <c r="AC185" s="315"/>
      <c r="AD185" s="315"/>
      <c r="AE185" s="315"/>
      <c r="AF185" s="315"/>
      <c r="AG185" s="315"/>
      <c r="AH185" s="315"/>
    </row>
    <row r="186" spans="1:34">
      <c r="A186" s="315" t="s">
        <v>1277</v>
      </c>
      <c r="B186" s="315" t="s">
        <v>663</v>
      </c>
      <c r="C186" s="316" t="s">
        <v>1841</v>
      </c>
      <c r="D186" s="316" t="s">
        <v>1841</v>
      </c>
      <c r="E186" s="317">
        <v>5.2</v>
      </c>
      <c r="F186" s="317">
        <v>0</v>
      </c>
      <c r="G186" s="317">
        <v>0</v>
      </c>
      <c r="H186" s="317">
        <v>0</v>
      </c>
      <c r="I186" s="318">
        <v>0</v>
      </c>
      <c r="J186" s="318">
        <v>84.0851559413898</v>
      </c>
      <c r="K186" s="319">
        <v>21.032804154292801</v>
      </c>
      <c r="L186" s="319">
        <v>21.032804154292801</v>
      </c>
      <c r="M186" s="319">
        <f t="shared" si="2"/>
        <v>21.032804154292801</v>
      </c>
      <c r="N186" s="317">
        <v>1.0937058160232256</v>
      </c>
      <c r="O186" s="315" t="s">
        <v>1168</v>
      </c>
      <c r="P186" s="318">
        <v>163</v>
      </c>
      <c r="R186" s="320">
        <v>72.777777777777771</v>
      </c>
      <c r="S186" s="318">
        <v>34</v>
      </c>
      <c r="T186" s="318">
        <v>32.200000000000003</v>
      </c>
      <c r="U186" s="318">
        <v>210</v>
      </c>
      <c r="V186" s="315">
        <v>0.19500000000000001</v>
      </c>
      <c r="W186" s="318">
        <v>8.44</v>
      </c>
      <c r="X186" s="315">
        <v>0</v>
      </c>
      <c r="Y186" s="315" t="s">
        <v>1149</v>
      </c>
      <c r="Z186" s="315">
        <v>0</v>
      </c>
      <c r="AA186" s="315" t="s">
        <v>1150</v>
      </c>
      <c r="AB186" s="315"/>
      <c r="AC186" s="315"/>
      <c r="AD186" s="315"/>
      <c r="AE186" s="315"/>
      <c r="AF186" s="315"/>
      <c r="AG186" s="315"/>
      <c r="AH186" s="315"/>
    </row>
    <row r="187" spans="1:34">
      <c r="A187" s="315" t="s">
        <v>1145</v>
      </c>
      <c r="B187" s="315" t="s">
        <v>663</v>
      </c>
      <c r="C187" s="316" t="s">
        <v>1842</v>
      </c>
      <c r="D187" s="316" t="s">
        <v>1842</v>
      </c>
      <c r="E187" s="317">
        <v>91.85000874392253</v>
      </c>
      <c r="F187" s="317">
        <v>30.109845400000001</v>
      </c>
      <c r="G187" s="317">
        <v>31.144473300000001</v>
      </c>
      <c r="H187" s="317">
        <v>31.144473300000001</v>
      </c>
      <c r="I187" s="318">
        <v>33.907969880362963</v>
      </c>
      <c r="J187" s="318">
        <v>59.014001470675296</v>
      </c>
      <c r="K187" s="319">
        <v>41.867563512683695</v>
      </c>
      <c r="L187" s="319">
        <v>7.9595936323207326</v>
      </c>
      <c r="M187" s="319">
        <f t="shared" si="2"/>
        <v>7.9595936323207326</v>
      </c>
      <c r="N187" s="317">
        <v>7.3108874472672936</v>
      </c>
      <c r="O187" s="315" t="s">
        <v>1148</v>
      </c>
      <c r="P187" s="318">
        <v>163.26060000000001</v>
      </c>
      <c r="R187" s="320">
        <v>72.922555555555562</v>
      </c>
      <c r="S187" s="318">
        <v>46</v>
      </c>
      <c r="T187" s="318">
        <v>17</v>
      </c>
      <c r="U187" s="318">
        <v>371</v>
      </c>
      <c r="V187" s="315">
        <v>0.21274299999999999</v>
      </c>
      <c r="W187" s="318">
        <v>530.82299999999998</v>
      </c>
      <c r="X187" s="315">
        <v>1</v>
      </c>
      <c r="Y187" s="315" t="s">
        <v>1149</v>
      </c>
      <c r="Z187" s="315">
        <v>0</v>
      </c>
      <c r="AA187" s="315" t="s">
        <v>1190</v>
      </c>
      <c r="AB187" s="315"/>
      <c r="AC187" s="315"/>
      <c r="AD187" s="315"/>
      <c r="AE187" s="315"/>
      <c r="AF187" s="315"/>
      <c r="AG187" s="315"/>
      <c r="AH187" s="315"/>
    </row>
    <row r="188" spans="1:34">
      <c r="A188" s="315" t="s">
        <v>1229</v>
      </c>
      <c r="B188" s="315" t="s">
        <v>1970</v>
      </c>
      <c r="C188" s="316" t="s">
        <v>1988</v>
      </c>
      <c r="D188" s="316" t="s">
        <v>1988</v>
      </c>
      <c r="E188" s="317">
        <v>19.701999999999998</v>
      </c>
      <c r="F188" s="317">
        <v>2.9375182999999998</v>
      </c>
      <c r="G188" s="317">
        <v>3.2598447999999998</v>
      </c>
      <c r="H188" s="317">
        <v>5.7445218999999996</v>
      </c>
      <c r="I188" s="318">
        <v>29.157049538117956</v>
      </c>
      <c r="J188" s="318">
        <v>75.571856919902899</v>
      </c>
      <c r="K188" s="319">
        <v>33.226663579851198</v>
      </c>
      <c r="L188" s="319">
        <v>4.0696140417332423</v>
      </c>
      <c r="M188" s="319">
        <f t="shared" si="2"/>
        <v>4.0696140417332423</v>
      </c>
      <c r="N188" s="317">
        <v>0.80179535850228334</v>
      </c>
      <c r="O188" s="315" t="s">
        <v>1148</v>
      </c>
      <c r="P188" s="318">
        <v>164</v>
      </c>
      <c r="R188" s="320">
        <v>73.333333333333329</v>
      </c>
      <c r="S188" s="318">
        <v>29</v>
      </c>
      <c r="T188" s="318">
        <v>21</v>
      </c>
      <c r="U188" s="318">
        <v>43</v>
      </c>
      <c r="V188" s="315">
        <v>0.17</v>
      </c>
      <c r="W188" s="318">
        <v>100</v>
      </c>
      <c r="X188" s="315">
        <v>13</v>
      </c>
      <c r="Y188" s="315" t="s">
        <v>1149</v>
      </c>
      <c r="Z188" s="315">
        <v>0</v>
      </c>
      <c r="AA188" s="315" t="s">
        <v>1150</v>
      </c>
      <c r="AB188" s="315"/>
      <c r="AC188" s="315"/>
      <c r="AD188" s="315"/>
      <c r="AE188" s="315"/>
      <c r="AF188" s="315"/>
      <c r="AG188" s="315"/>
      <c r="AH188" s="315"/>
    </row>
    <row r="189" spans="1:34">
      <c r="A189" s="315" t="s">
        <v>1334</v>
      </c>
      <c r="B189" s="315" t="s">
        <v>1916</v>
      </c>
      <c r="C189" s="316" t="s">
        <v>1925</v>
      </c>
      <c r="D189" s="316" t="s">
        <v>1925</v>
      </c>
      <c r="E189" s="317">
        <v>3.2</v>
      </c>
      <c r="F189" s="317">
        <v>0.13</v>
      </c>
      <c r="G189" s="317">
        <v>0.13</v>
      </c>
      <c r="H189" s="317">
        <v>0.13</v>
      </c>
      <c r="I189" s="318">
        <v>4.0625</v>
      </c>
      <c r="J189" s="318">
        <v>78.896082535509095</v>
      </c>
      <c r="K189" s="319">
        <v>25.5685964667775</v>
      </c>
      <c r="L189" s="319">
        <v>21.5060964667775</v>
      </c>
      <c r="M189" s="319">
        <f t="shared" si="2"/>
        <v>21.5060964667775</v>
      </c>
      <c r="N189" s="317">
        <v>0.68819508693688003</v>
      </c>
      <c r="O189" s="315" t="s">
        <v>1148</v>
      </c>
      <c r="P189" s="318">
        <v>164</v>
      </c>
      <c r="R189" s="320">
        <v>73.333333333333329</v>
      </c>
      <c r="S189" s="318">
        <v>34</v>
      </c>
      <c r="T189" s="318">
        <v>34.71</v>
      </c>
      <c r="U189" s="318">
        <v>9.004999999999999</v>
      </c>
      <c r="V189" s="315">
        <v>0.19</v>
      </c>
      <c r="W189" s="318">
        <v>100.25266667</v>
      </c>
      <c r="X189" s="315">
        <v>1</v>
      </c>
      <c r="Y189" s="315" t="s">
        <v>1149</v>
      </c>
      <c r="Z189" s="315">
        <v>0</v>
      </c>
      <c r="AA189" s="315" t="s">
        <v>1190</v>
      </c>
      <c r="AB189" s="315"/>
      <c r="AC189" s="315"/>
      <c r="AD189" s="315"/>
      <c r="AE189" s="315"/>
      <c r="AF189" s="315"/>
      <c r="AG189" s="315"/>
      <c r="AH189" s="315"/>
    </row>
    <row r="190" spans="1:34">
      <c r="A190" s="315" t="s">
        <v>1334</v>
      </c>
      <c r="B190" s="315" t="s">
        <v>1916</v>
      </c>
      <c r="C190" s="316" t="s">
        <v>1927</v>
      </c>
      <c r="D190" s="316" t="s">
        <v>1927</v>
      </c>
      <c r="E190" s="317">
        <v>2.2000000000000002</v>
      </c>
      <c r="F190" s="317">
        <v>0</v>
      </c>
      <c r="G190" s="317">
        <v>0</v>
      </c>
      <c r="H190" s="317">
        <v>0</v>
      </c>
      <c r="I190" s="318">
        <v>0</v>
      </c>
      <c r="J190" s="318">
        <v>64.175856736623004</v>
      </c>
      <c r="K190" s="319">
        <v>36.1783304869112</v>
      </c>
      <c r="L190" s="319">
        <v>36.1783304869112</v>
      </c>
      <c r="M190" s="319">
        <f t="shared" si="2"/>
        <v>36.1783304869112</v>
      </c>
      <c r="N190" s="317">
        <v>0.79592327071204638</v>
      </c>
      <c r="O190" s="315" t="s">
        <v>1168</v>
      </c>
      <c r="P190" s="318">
        <v>164</v>
      </c>
      <c r="R190" s="320">
        <v>73.333333333333329</v>
      </c>
      <c r="S190" s="318">
        <v>34</v>
      </c>
      <c r="T190" s="318">
        <v>33.67</v>
      </c>
      <c r="U190" s="318">
        <v>4.3033333333333337</v>
      </c>
      <c r="V190" s="315">
        <v>0.18099999999999999</v>
      </c>
      <c r="W190" s="318">
        <v>99.847999999999999</v>
      </c>
      <c r="X190" s="315">
        <v>0</v>
      </c>
      <c r="Y190" s="315" t="s">
        <v>1149</v>
      </c>
      <c r="Z190" s="315">
        <v>0</v>
      </c>
      <c r="AA190" s="315" t="s">
        <v>1190</v>
      </c>
      <c r="AB190" s="315"/>
      <c r="AC190" s="315"/>
      <c r="AD190" s="315"/>
      <c r="AE190" s="315"/>
      <c r="AF190" s="315"/>
      <c r="AG190" s="315"/>
      <c r="AH190" s="315"/>
    </row>
    <row r="191" spans="1:34">
      <c r="A191" s="315" t="s">
        <v>1334</v>
      </c>
      <c r="B191" s="315" t="s">
        <v>1916</v>
      </c>
      <c r="C191" s="316" t="s">
        <v>1928</v>
      </c>
      <c r="D191" s="316" t="s">
        <v>1928</v>
      </c>
      <c r="E191" s="317">
        <v>5.2</v>
      </c>
      <c r="F191" s="317">
        <v>0</v>
      </c>
      <c r="G191" s="317">
        <v>0</v>
      </c>
      <c r="H191" s="317">
        <v>0</v>
      </c>
      <c r="I191" s="318">
        <v>0</v>
      </c>
      <c r="J191" s="318">
        <v>0</v>
      </c>
      <c r="K191" s="319">
        <v>0</v>
      </c>
      <c r="L191" s="319">
        <v>0</v>
      </c>
      <c r="M191" s="319">
        <f t="shared" si="2"/>
        <v>0</v>
      </c>
      <c r="N191" s="317">
        <v>0</v>
      </c>
      <c r="O191" s="315" t="s">
        <v>1168</v>
      </c>
      <c r="P191" s="318">
        <v>164</v>
      </c>
      <c r="R191" s="320">
        <v>73.333333333333329</v>
      </c>
      <c r="S191" s="318">
        <v>34</v>
      </c>
      <c r="T191" s="318">
        <v>16.739999999999998</v>
      </c>
      <c r="U191" s="318">
        <v>0.94333333333333336</v>
      </c>
      <c r="V191" s="315">
        <v>0.19500000000000001</v>
      </c>
      <c r="W191" s="318">
        <v>182.8856667</v>
      </c>
      <c r="X191" s="315">
        <v>0</v>
      </c>
      <c r="Y191" s="315" t="s">
        <v>1149</v>
      </c>
      <c r="Z191" s="315">
        <v>0</v>
      </c>
      <c r="AA191" s="315" t="s">
        <v>1190</v>
      </c>
      <c r="AB191" s="315"/>
      <c r="AC191" s="315"/>
      <c r="AD191" s="315"/>
      <c r="AE191" s="315"/>
      <c r="AF191" s="315"/>
      <c r="AG191" s="315"/>
      <c r="AH191" s="315"/>
    </row>
    <row r="192" spans="1:34">
      <c r="A192" s="315" t="s">
        <v>1334</v>
      </c>
      <c r="B192" s="315" t="s">
        <v>1916</v>
      </c>
      <c r="C192" s="316" t="s">
        <v>1930</v>
      </c>
      <c r="D192" s="316" t="s">
        <v>1930</v>
      </c>
      <c r="E192" s="317">
        <v>0.6</v>
      </c>
      <c r="F192" s="317">
        <v>0</v>
      </c>
      <c r="G192" s="317">
        <v>0</v>
      </c>
      <c r="H192" s="317">
        <v>0</v>
      </c>
      <c r="I192" s="318">
        <v>0</v>
      </c>
      <c r="J192" s="318">
        <v>65.110779718714198</v>
      </c>
      <c r="K192" s="319">
        <v>34.811476565680302</v>
      </c>
      <c r="L192" s="319">
        <v>34.811476565680302</v>
      </c>
      <c r="M192" s="319">
        <f t="shared" si="2"/>
        <v>34.811476565680302</v>
      </c>
      <c r="N192" s="317">
        <v>0.20886885939408179</v>
      </c>
      <c r="O192" s="315" t="s">
        <v>1168</v>
      </c>
      <c r="P192" s="318">
        <v>164</v>
      </c>
      <c r="R192" s="320">
        <v>73.333333333333329</v>
      </c>
      <c r="S192" s="318">
        <v>37.1</v>
      </c>
      <c r="T192" s="318">
        <v>3.6950000000000003</v>
      </c>
      <c r="U192" s="318">
        <v>1.2149999999999999</v>
      </c>
      <c r="V192" s="315">
        <v>0.192</v>
      </c>
      <c r="W192" s="318">
        <v>89.343500000000006</v>
      </c>
      <c r="X192" s="315">
        <v>1</v>
      </c>
      <c r="Y192" s="315" t="s">
        <v>1149</v>
      </c>
      <c r="Z192" s="315">
        <v>0</v>
      </c>
      <c r="AA192" s="315" t="s">
        <v>1190</v>
      </c>
      <c r="AB192" s="315"/>
      <c r="AC192" s="315"/>
      <c r="AD192" s="315"/>
      <c r="AE192" s="315"/>
      <c r="AF192" s="315"/>
      <c r="AG192" s="315"/>
      <c r="AH192" s="315"/>
    </row>
    <row r="193" spans="1:34">
      <c r="A193" s="315" t="s">
        <v>1145</v>
      </c>
      <c r="B193" s="315" t="s">
        <v>663</v>
      </c>
      <c r="C193" s="316" t="s">
        <v>1843</v>
      </c>
      <c r="D193" s="316" t="s">
        <v>1843</v>
      </c>
      <c r="E193" s="317">
        <v>10.496225199217978</v>
      </c>
      <c r="F193" s="317">
        <v>2.7092263999999999</v>
      </c>
      <c r="G193" s="317">
        <v>2.7092263999999999</v>
      </c>
      <c r="H193" s="317">
        <v>2.7092263999999999</v>
      </c>
      <c r="I193" s="318">
        <v>25.811435526381914</v>
      </c>
      <c r="J193" s="318">
        <v>77.118168508919794</v>
      </c>
      <c r="K193" s="319">
        <v>29.260028837410502</v>
      </c>
      <c r="L193" s="319">
        <v>3.4485933110285885</v>
      </c>
      <c r="M193" s="319">
        <f t="shared" si="2"/>
        <v>3.4485933110285885</v>
      </c>
      <c r="N193" s="317">
        <v>0.36197212013072838</v>
      </c>
      <c r="O193" s="315" t="s">
        <v>1148</v>
      </c>
      <c r="P193" s="318">
        <v>164.9649</v>
      </c>
      <c r="R193" s="320">
        <v>73.869388888888878</v>
      </c>
      <c r="S193" s="318">
        <v>20</v>
      </c>
      <c r="T193" s="318">
        <v>35</v>
      </c>
      <c r="U193" s="318">
        <v>252.637</v>
      </c>
      <c r="V193" s="315">
        <v>0.24</v>
      </c>
      <c r="W193" s="318">
        <v>2584</v>
      </c>
      <c r="X193" s="315">
        <v>1</v>
      </c>
      <c r="Y193" s="315" t="s">
        <v>1149</v>
      </c>
      <c r="Z193" s="315">
        <v>0</v>
      </c>
      <c r="AA193" s="315" t="s">
        <v>1190</v>
      </c>
      <c r="AB193" s="315"/>
      <c r="AC193" s="315"/>
      <c r="AD193" s="315"/>
      <c r="AE193" s="315"/>
      <c r="AF193" s="315"/>
      <c r="AG193" s="315"/>
      <c r="AH193" s="315"/>
    </row>
    <row r="194" spans="1:34">
      <c r="A194" s="315" t="s">
        <v>1229</v>
      </c>
      <c r="B194" s="315" t="s">
        <v>1080</v>
      </c>
      <c r="C194" s="316" t="s">
        <v>1999</v>
      </c>
      <c r="D194" s="316" t="s">
        <v>1999</v>
      </c>
      <c r="E194" s="317">
        <v>23.0600175692426</v>
      </c>
      <c r="F194" s="317">
        <v>5.8779643999999998</v>
      </c>
      <c r="G194" s="317">
        <v>6.3815884</v>
      </c>
      <c r="H194" s="317">
        <v>8.2685199944223378</v>
      </c>
      <c r="I194" s="318">
        <v>35.85652079229493</v>
      </c>
      <c r="J194" s="318">
        <v>37.582113602015397</v>
      </c>
      <c r="K194" s="319">
        <v>47.320520964456399</v>
      </c>
      <c r="L194" s="319">
        <v>11.464000172161469</v>
      </c>
      <c r="M194" s="319">
        <f t="shared" si="2"/>
        <v>11.464000172161469</v>
      </c>
      <c r="N194" s="317">
        <v>2.6436004538384368</v>
      </c>
      <c r="O194" s="315" t="s">
        <v>1148</v>
      </c>
      <c r="P194" s="318">
        <v>165</v>
      </c>
      <c r="R194" s="320">
        <v>73.888888888888886</v>
      </c>
      <c r="S194" s="318">
        <v>37</v>
      </c>
      <c r="T194" s="318">
        <v>15</v>
      </c>
      <c r="U194" s="318">
        <v>165</v>
      </c>
      <c r="V194" s="315">
        <v>0.2</v>
      </c>
      <c r="W194" s="318">
        <v>100</v>
      </c>
      <c r="X194" s="315">
        <v>13</v>
      </c>
      <c r="Y194" s="315" t="s">
        <v>1149</v>
      </c>
      <c r="Z194" s="315">
        <v>0</v>
      </c>
      <c r="AA194" s="315" t="s">
        <v>1150</v>
      </c>
      <c r="AB194" s="315"/>
      <c r="AC194" s="315"/>
      <c r="AD194" s="315"/>
      <c r="AE194" s="315"/>
      <c r="AF194" s="315"/>
      <c r="AG194" s="315"/>
      <c r="AH194" s="315"/>
    </row>
    <row r="195" spans="1:34">
      <c r="A195" s="315" t="s">
        <v>1145</v>
      </c>
      <c r="B195" s="315" t="s">
        <v>663</v>
      </c>
      <c r="C195" s="316" t="s">
        <v>1844</v>
      </c>
      <c r="D195" s="316" t="s">
        <v>1844</v>
      </c>
      <c r="E195" s="317">
        <v>4.9413908704097427</v>
      </c>
      <c r="F195" s="317">
        <v>0</v>
      </c>
      <c r="G195" s="317">
        <v>0</v>
      </c>
      <c r="H195" s="317">
        <v>0</v>
      </c>
      <c r="I195" s="318">
        <v>0</v>
      </c>
      <c r="J195" s="318">
        <v>83.638885590762598</v>
      </c>
      <c r="K195" s="319">
        <v>21.6448482827244</v>
      </c>
      <c r="L195" s="319">
        <v>21.6448482827244</v>
      </c>
      <c r="M195" s="319">
        <f t="shared" ref="M195:M258" si="3">IF(L195&lt;0,0,L195)</f>
        <v>21.6448482827244</v>
      </c>
      <c r="N195" s="317">
        <v>1.0695565569565835</v>
      </c>
      <c r="O195" s="315" t="s">
        <v>1168</v>
      </c>
      <c r="P195" s="318">
        <v>165</v>
      </c>
      <c r="R195" s="320">
        <v>73.888888888888886</v>
      </c>
      <c r="S195" s="318">
        <v>42</v>
      </c>
      <c r="T195" s="318">
        <v>18.149999999999999</v>
      </c>
      <c r="U195" s="318">
        <v>180</v>
      </c>
      <c r="V195" s="315">
        <v>0.21</v>
      </c>
      <c r="W195" s="318">
        <v>231.79</v>
      </c>
      <c r="X195" s="315">
        <v>0</v>
      </c>
      <c r="Y195" s="315" t="s">
        <v>1149</v>
      </c>
      <c r="Z195" s="315">
        <v>0</v>
      </c>
      <c r="AA195" s="315" t="s">
        <v>1150</v>
      </c>
      <c r="AB195" s="315"/>
      <c r="AC195" s="315"/>
      <c r="AD195" s="315"/>
      <c r="AE195" s="315"/>
      <c r="AF195" s="315"/>
      <c r="AG195" s="315"/>
      <c r="AH195" s="315"/>
    </row>
    <row r="196" spans="1:34">
      <c r="A196" s="315" t="s">
        <v>1485</v>
      </c>
      <c r="B196" s="315" t="s">
        <v>663</v>
      </c>
      <c r="C196" s="316" t="s">
        <v>1845</v>
      </c>
      <c r="D196" s="316" t="s">
        <v>1845</v>
      </c>
      <c r="E196" s="317">
        <v>10.76982102526371</v>
      </c>
      <c r="F196" s="317">
        <v>2.5292837000000001</v>
      </c>
      <c r="G196" s="317">
        <v>2.8807341000000002</v>
      </c>
      <c r="H196" s="317">
        <v>2.8807341000000002</v>
      </c>
      <c r="I196" s="318">
        <v>26.748207730123003</v>
      </c>
      <c r="J196" s="318">
        <v>72.490574694243804</v>
      </c>
      <c r="K196" s="319">
        <v>31.033804160793601</v>
      </c>
      <c r="L196" s="319">
        <v>4.2855964306705978</v>
      </c>
      <c r="M196" s="319">
        <f t="shared" si="3"/>
        <v>4.2855964306705978</v>
      </c>
      <c r="N196" s="317">
        <v>0.46155106544831309</v>
      </c>
      <c r="O196" s="315" t="s">
        <v>1148</v>
      </c>
      <c r="P196" s="318">
        <v>165</v>
      </c>
      <c r="R196" s="320">
        <v>73.888888888888886</v>
      </c>
      <c r="S196" s="318">
        <v>35</v>
      </c>
      <c r="T196" s="318">
        <v>80</v>
      </c>
      <c r="U196" s="318">
        <v>210</v>
      </c>
      <c r="V196" s="315">
        <v>0.16</v>
      </c>
      <c r="W196" s="318">
        <v>6.5</v>
      </c>
      <c r="X196" s="315">
        <v>1</v>
      </c>
      <c r="Y196" s="315" t="s">
        <v>1149</v>
      </c>
      <c r="Z196" s="315">
        <v>0</v>
      </c>
      <c r="AA196" s="315" t="s">
        <v>1190</v>
      </c>
      <c r="AB196" s="315"/>
      <c r="AC196" s="315"/>
      <c r="AD196" s="315"/>
      <c r="AE196" s="315"/>
      <c r="AF196" s="315"/>
      <c r="AG196" s="315"/>
      <c r="AH196" s="315"/>
    </row>
    <row r="197" spans="1:34">
      <c r="A197" s="315" t="s">
        <v>1145</v>
      </c>
      <c r="B197" s="315" t="s">
        <v>1066</v>
      </c>
      <c r="C197" s="316" t="s">
        <v>1250</v>
      </c>
      <c r="D197" s="316" t="s">
        <v>1251</v>
      </c>
      <c r="E197" s="317">
        <v>5.29</v>
      </c>
      <c r="F197" s="317">
        <v>0</v>
      </c>
      <c r="G197" s="317">
        <v>0</v>
      </c>
      <c r="H197" s="317">
        <v>0.16269749999999999</v>
      </c>
      <c r="I197" s="318">
        <v>3.0755671077504725</v>
      </c>
      <c r="J197" s="318">
        <v>77.206097679111707</v>
      </c>
      <c r="K197" s="319">
        <v>30.613610155374499</v>
      </c>
      <c r="L197" s="319">
        <v>27.538043047624026</v>
      </c>
      <c r="M197" s="319">
        <f t="shared" si="3"/>
        <v>27.538043047624026</v>
      </c>
      <c r="N197" s="317">
        <v>1.4567624772193111</v>
      </c>
      <c r="O197" s="315" t="s">
        <v>1168</v>
      </c>
      <c r="P197" s="318">
        <v>165.1</v>
      </c>
      <c r="R197" s="320">
        <v>73.944444444444443</v>
      </c>
      <c r="S197" s="318">
        <v>32.799999999999997</v>
      </c>
      <c r="T197" s="318">
        <v>78.900000000000006</v>
      </c>
      <c r="U197" s="318">
        <v>78.900000000000006</v>
      </c>
      <c r="V197" s="315">
        <v>0.254</v>
      </c>
      <c r="W197" s="318">
        <v>813</v>
      </c>
      <c r="X197" s="315">
        <v>0</v>
      </c>
      <c r="Y197" s="315" t="s">
        <v>1149</v>
      </c>
      <c r="Z197" s="315">
        <v>0</v>
      </c>
      <c r="AA197" s="315" t="s">
        <v>1190</v>
      </c>
      <c r="AB197" s="316">
        <v>0</v>
      </c>
      <c r="AC197" s="316">
        <v>2180</v>
      </c>
      <c r="AD197" s="316">
        <v>2175</v>
      </c>
      <c r="AE197" s="316">
        <v>0.23</v>
      </c>
      <c r="AF197" s="316">
        <v>1.0489999999999999</v>
      </c>
      <c r="AG197" s="316">
        <v>2.5369999999999999</v>
      </c>
      <c r="AH197" s="316">
        <v>462</v>
      </c>
    </row>
    <row r="198" spans="1:34">
      <c r="A198" s="315" t="s">
        <v>1145</v>
      </c>
      <c r="B198" s="315" t="s">
        <v>1066</v>
      </c>
      <c r="C198" s="316" t="s">
        <v>1252</v>
      </c>
      <c r="D198" s="316" t="s">
        <v>1253</v>
      </c>
      <c r="E198" s="317">
        <v>5.2208300000000003</v>
      </c>
      <c r="F198" s="317">
        <v>0</v>
      </c>
      <c r="G198" s="317">
        <v>0</v>
      </c>
      <c r="H198" s="317">
        <v>0.350713</v>
      </c>
      <c r="I198" s="318">
        <v>6.7175717271008626</v>
      </c>
      <c r="J198" s="318">
        <v>50.853764836962199</v>
      </c>
      <c r="K198" s="319">
        <v>40.407634762526399</v>
      </c>
      <c r="L198" s="319">
        <v>33.690063035425538</v>
      </c>
      <c r="M198" s="319">
        <f t="shared" si="3"/>
        <v>33.690063035425538</v>
      </c>
      <c r="N198" s="317">
        <v>1.7589009179724073</v>
      </c>
      <c r="O198" s="315" t="s">
        <v>1168</v>
      </c>
      <c r="P198" s="318">
        <v>165.1</v>
      </c>
      <c r="R198" s="320">
        <v>73.944444444444443</v>
      </c>
      <c r="S198" s="318">
        <v>32.799999999999997</v>
      </c>
      <c r="T198" s="318">
        <v>19.899999999999999</v>
      </c>
      <c r="U198" s="318">
        <v>11</v>
      </c>
      <c r="V198" s="315">
        <v>0.27</v>
      </c>
      <c r="W198" s="318">
        <v>117.8</v>
      </c>
      <c r="X198" s="315">
        <v>0</v>
      </c>
      <c r="Y198" s="315" t="s">
        <v>1149</v>
      </c>
      <c r="Z198" s="315">
        <v>0</v>
      </c>
      <c r="AA198" s="315" t="s">
        <v>1190</v>
      </c>
      <c r="AB198" s="315"/>
      <c r="AC198" s="315"/>
      <c r="AD198" s="315"/>
      <c r="AE198" s="315"/>
      <c r="AF198" s="315"/>
      <c r="AG198" s="315"/>
      <c r="AH198" s="315"/>
    </row>
    <row r="199" spans="1:34">
      <c r="A199" s="315" t="s">
        <v>1145</v>
      </c>
      <c r="B199" s="315" t="s">
        <v>1066</v>
      </c>
      <c r="C199" s="316" t="s">
        <v>1254</v>
      </c>
      <c r="D199" s="316" t="s">
        <v>1255</v>
      </c>
      <c r="E199" s="317">
        <v>5.9480000000000004</v>
      </c>
      <c r="F199" s="317">
        <v>0</v>
      </c>
      <c r="G199" s="317">
        <v>0</v>
      </c>
      <c r="H199" s="317">
        <v>0.72104950000000001</v>
      </c>
      <c r="I199" s="318">
        <v>12.122553799596503</v>
      </c>
      <c r="J199" s="318">
        <v>69.177823065870101</v>
      </c>
      <c r="K199" s="319">
        <v>34.5047435678757</v>
      </c>
      <c r="L199" s="319">
        <v>22.382189768279197</v>
      </c>
      <c r="M199" s="319">
        <f t="shared" si="3"/>
        <v>22.382189768279197</v>
      </c>
      <c r="N199" s="317">
        <v>1.3312926474172468</v>
      </c>
      <c r="O199" s="315" t="s">
        <v>1168</v>
      </c>
      <c r="P199" s="318">
        <v>166</v>
      </c>
      <c r="R199" s="320">
        <v>74.444444444444443</v>
      </c>
      <c r="S199" s="318">
        <v>41</v>
      </c>
      <c r="T199" s="318">
        <v>92.8</v>
      </c>
      <c r="U199" s="318">
        <v>168</v>
      </c>
      <c r="V199" s="315">
        <v>0.22</v>
      </c>
      <c r="W199" s="318">
        <v>232.2</v>
      </c>
      <c r="X199" s="315">
        <v>1</v>
      </c>
      <c r="Y199" s="315" t="s">
        <v>1149</v>
      </c>
      <c r="Z199" s="315">
        <v>0</v>
      </c>
      <c r="AA199" s="315" t="s">
        <v>1190</v>
      </c>
      <c r="AB199" s="316">
        <v>0</v>
      </c>
      <c r="AC199" s="316">
        <v>2120</v>
      </c>
      <c r="AD199" s="316">
        <v>2068</v>
      </c>
      <c r="AE199" s="316">
        <v>0.37</v>
      </c>
      <c r="AF199" s="316">
        <v>1.298</v>
      </c>
      <c r="AG199" s="316">
        <v>0.41199999999999998</v>
      </c>
      <c r="AH199" s="316">
        <v>518</v>
      </c>
    </row>
    <row r="200" spans="1:34">
      <c r="A200" s="315" t="s">
        <v>1145</v>
      </c>
      <c r="B200" s="315" t="s">
        <v>663</v>
      </c>
      <c r="C200" s="316" t="s">
        <v>1846</v>
      </c>
      <c r="D200" s="316" t="s">
        <v>1846</v>
      </c>
      <c r="E200" s="317">
        <v>5.6600005388198324</v>
      </c>
      <c r="F200" s="317">
        <v>0.4932107</v>
      </c>
      <c r="G200" s="317">
        <v>0.61220419999999998</v>
      </c>
      <c r="H200" s="317">
        <v>0.61220419999999998</v>
      </c>
      <c r="I200" s="318">
        <v>10.816327592216993</v>
      </c>
      <c r="J200" s="318">
        <v>83.631219510146394</v>
      </c>
      <c r="K200" s="319">
        <v>22.285282336315401</v>
      </c>
      <c r="L200" s="319">
        <v>11.468954744098408</v>
      </c>
      <c r="M200" s="319">
        <f t="shared" si="3"/>
        <v>11.468954744098408</v>
      </c>
      <c r="N200" s="317">
        <v>0.64914290031297261</v>
      </c>
      <c r="O200" s="315" t="s">
        <v>1148</v>
      </c>
      <c r="P200" s="318">
        <v>166</v>
      </c>
      <c r="R200" s="320">
        <v>74.444444444444443</v>
      </c>
      <c r="S200" s="318">
        <v>37.6</v>
      </c>
      <c r="T200" s="318">
        <v>40.299999999999997</v>
      </c>
      <c r="U200" s="318">
        <v>538.08400000000006</v>
      </c>
      <c r="V200" s="315">
        <v>0.21</v>
      </c>
      <c r="W200" s="318">
        <v>7.3</v>
      </c>
      <c r="X200" s="315">
        <v>1</v>
      </c>
      <c r="Y200" s="315" t="s">
        <v>1149</v>
      </c>
      <c r="Z200" s="315">
        <v>0</v>
      </c>
      <c r="AA200" s="315" t="s">
        <v>1190</v>
      </c>
      <c r="AB200" s="315"/>
      <c r="AC200" s="315"/>
      <c r="AD200" s="315"/>
      <c r="AE200" s="315"/>
      <c r="AF200" s="315"/>
      <c r="AG200" s="315"/>
      <c r="AH200" s="315"/>
    </row>
    <row r="201" spans="1:34">
      <c r="A201" s="315" t="s">
        <v>1334</v>
      </c>
      <c r="B201" s="315" t="s">
        <v>1916</v>
      </c>
      <c r="C201" s="316" t="s">
        <v>1932</v>
      </c>
      <c r="D201" s="316" t="s">
        <v>1932</v>
      </c>
      <c r="E201" s="317">
        <v>1.7</v>
      </c>
      <c r="F201" s="317">
        <v>0.71</v>
      </c>
      <c r="G201" s="317">
        <v>0.71</v>
      </c>
      <c r="H201" s="317">
        <v>0.71</v>
      </c>
      <c r="I201" s="318">
        <v>41.764705882352942</v>
      </c>
      <c r="J201" s="318">
        <v>57.386441117319201</v>
      </c>
      <c r="K201" s="319">
        <v>37.142716142625702</v>
      </c>
      <c r="L201" s="319">
        <v>-4.6219897397272405</v>
      </c>
      <c r="M201" s="319">
        <f t="shared" si="3"/>
        <v>0</v>
      </c>
      <c r="N201" s="317">
        <v>0</v>
      </c>
      <c r="O201" s="315" t="s">
        <v>1148</v>
      </c>
      <c r="P201" s="318">
        <v>166</v>
      </c>
      <c r="R201" s="320">
        <v>74.444444444444443</v>
      </c>
      <c r="S201" s="318">
        <v>47</v>
      </c>
      <c r="T201" s="318">
        <v>15.875</v>
      </c>
      <c r="U201" s="318">
        <v>14.674999999999999</v>
      </c>
      <c r="V201" s="315">
        <v>0.22101417322834646</v>
      </c>
      <c r="W201" s="318">
        <v>355.39800000000002</v>
      </c>
      <c r="X201" s="315">
        <v>1</v>
      </c>
      <c r="Y201" s="315" t="s">
        <v>1149</v>
      </c>
      <c r="Z201" s="315">
        <v>0</v>
      </c>
      <c r="AA201" s="315" t="s">
        <v>1190</v>
      </c>
      <c r="AB201" s="315"/>
      <c r="AC201" s="315"/>
      <c r="AD201" s="315"/>
      <c r="AE201" s="315"/>
      <c r="AF201" s="315"/>
      <c r="AG201" s="315"/>
      <c r="AH201" s="315"/>
    </row>
    <row r="202" spans="1:34">
      <c r="A202" s="315" t="s">
        <v>1334</v>
      </c>
      <c r="B202" s="315" t="s">
        <v>1916</v>
      </c>
      <c r="C202" s="316" t="s">
        <v>1933</v>
      </c>
      <c r="D202" s="316" t="s">
        <v>1933</v>
      </c>
      <c r="E202" s="317">
        <v>11.3</v>
      </c>
      <c r="F202" s="317">
        <v>4.293075</v>
      </c>
      <c r="G202" s="317">
        <v>4.293075</v>
      </c>
      <c r="H202" s="317">
        <v>4.293075</v>
      </c>
      <c r="I202" s="318">
        <v>37.991814159292034</v>
      </c>
      <c r="J202" s="318">
        <v>54.705622272053603</v>
      </c>
      <c r="K202" s="319">
        <v>38.408305013325098</v>
      </c>
      <c r="L202" s="319">
        <v>0.41649085403306429</v>
      </c>
      <c r="M202" s="319">
        <f t="shared" si="3"/>
        <v>0.41649085403306429</v>
      </c>
      <c r="N202" s="317">
        <v>4.7063466505736271E-2</v>
      </c>
      <c r="O202" s="315" t="s">
        <v>1148</v>
      </c>
      <c r="P202" s="318">
        <v>166</v>
      </c>
      <c r="R202" s="320">
        <v>74.444444444444443</v>
      </c>
      <c r="S202" s="318">
        <v>47</v>
      </c>
      <c r="T202" s="318">
        <v>19.14</v>
      </c>
      <c r="U202" s="318">
        <v>13.981666666666669</v>
      </c>
      <c r="V202" s="315">
        <v>0.22016614420062694</v>
      </c>
      <c r="W202" s="318">
        <v>351.529</v>
      </c>
      <c r="X202" s="315">
        <v>3</v>
      </c>
      <c r="Y202" s="315" t="s">
        <v>1149</v>
      </c>
      <c r="Z202" s="315">
        <v>0</v>
      </c>
      <c r="AA202" s="315" t="s">
        <v>1190</v>
      </c>
      <c r="AB202" s="315"/>
      <c r="AC202" s="315"/>
      <c r="AD202" s="315"/>
      <c r="AE202" s="315"/>
      <c r="AF202" s="315"/>
      <c r="AG202" s="315"/>
      <c r="AH202" s="315"/>
    </row>
    <row r="203" spans="1:34">
      <c r="A203" s="315" t="s">
        <v>1334</v>
      </c>
      <c r="B203" s="315" t="s">
        <v>1916</v>
      </c>
      <c r="C203" s="316" t="s">
        <v>1935</v>
      </c>
      <c r="D203" s="316" t="s">
        <v>1935</v>
      </c>
      <c r="E203" s="317">
        <v>3</v>
      </c>
      <c r="F203" s="317">
        <v>0.56160500000000002</v>
      </c>
      <c r="G203" s="317">
        <v>0.56160500000000002</v>
      </c>
      <c r="H203" s="317">
        <v>0.56160500000000002</v>
      </c>
      <c r="I203" s="318">
        <v>18.720166666666668</v>
      </c>
      <c r="J203" s="318">
        <v>0</v>
      </c>
      <c r="K203" s="319">
        <v>0</v>
      </c>
      <c r="L203" s="319">
        <v>-18.720166666666668</v>
      </c>
      <c r="M203" s="319">
        <f t="shared" si="3"/>
        <v>0</v>
      </c>
      <c r="N203" s="317">
        <v>0</v>
      </c>
      <c r="O203" s="315" t="s">
        <v>1148</v>
      </c>
      <c r="P203" s="318">
        <v>166</v>
      </c>
      <c r="R203" s="320">
        <v>74.444444444444443</v>
      </c>
      <c r="S203" s="318">
        <v>47</v>
      </c>
      <c r="T203" s="318">
        <v>11.871666666666664</v>
      </c>
      <c r="U203" s="318">
        <v>2.0783333333333336</v>
      </c>
      <c r="V203" s="315">
        <v>0.23211217183770891</v>
      </c>
      <c r="W203" s="318">
        <v>507.03733</v>
      </c>
      <c r="X203" s="315">
        <v>1</v>
      </c>
      <c r="Y203" s="315" t="s">
        <v>1149</v>
      </c>
      <c r="Z203" s="315">
        <v>0</v>
      </c>
      <c r="AA203" s="315" t="s">
        <v>1190</v>
      </c>
      <c r="AB203" s="315"/>
      <c r="AC203" s="315"/>
      <c r="AD203" s="315"/>
      <c r="AE203" s="315"/>
      <c r="AF203" s="315"/>
      <c r="AG203" s="315"/>
      <c r="AH203" s="315"/>
    </row>
    <row r="204" spans="1:34">
      <c r="A204" s="315" t="s">
        <v>1229</v>
      </c>
      <c r="B204" s="315" t="s">
        <v>1080</v>
      </c>
      <c r="C204" s="316" t="s">
        <v>2000</v>
      </c>
      <c r="D204" s="316" t="s">
        <v>2000</v>
      </c>
      <c r="E204" s="317">
        <v>25.280019260644099</v>
      </c>
      <c r="F204" s="317">
        <v>9.3426816000000006</v>
      </c>
      <c r="G204" s="317">
        <v>11.982836600000001</v>
      </c>
      <c r="H204" s="317">
        <v>11.982836600000001</v>
      </c>
      <c r="I204" s="318">
        <v>47.400425120145634</v>
      </c>
      <c r="J204" s="318">
        <v>36.670981097773598</v>
      </c>
      <c r="K204" s="319">
        <v>47.762336979944905</v>
      </c>
      <c r="L204" s="319">
        <v>0.36191185979927099</v>
      </c>
      <c r="M204" s="319">
        <f t="shared" si="3"/>
        <v>0.36191185979927099</v>
      </c>
      <c r="N204" s="317">
        <v>9.1491387863810975E-2</v>
      </c>
      <c r="O204" s="315" t="s">
        <v>1148</v>
      </c>
      <c r="P204" s="318">
        <v>166</v>
      </c>
      <c r="R204" s="320">
        <v>74.444444444444443</v>
      </c>
      <c r="S204" s="318">
        <v>38</v>
      </c>
      <c r="T204" s="318">
        <v>20</v>
      </c>
      <c r="U204" s="318">
        <v>220</v>
      </c>
      <c r="V204" s="315">
        <v>0.2</v>
      </c>
      <c r="W204" s="318">
        <v>100</v>
      </c>
      <c r="X204" s="315">
        <v>15</v>
      </c>
      <c r="Y204" s="315" t="s">
        <v>1149</v>
      </c>
      <c r="Z204" s="315">
        <v>0</v>
      </c>
      <c r="AA204" s="315" t="s">
        <v>1150</v>
      </c>
      <c r="AB204" s="315"/>
      <c r="AC204" s="315"/>
      <c r="AD204" s="315"/>
      <c r="AE204" s="315"/>
      <c r="AF204" s="315"/>
      <c r="AG204" s="315"/>
      <c r="AH204" s="315"/>
    </row>
    <row r="205" spans="1:34">
      <c r="A205" s="315" t="s">
        <v>1334</v>
      </c>
      <c r="B205" s="315" t="s">
        <v>1916</v>
      </c>
      <c r="C205" s="316" t="s">
        <v>1936</v>
      </c>
      <c r="D205" s="316" t="s">
        <v>1936</v>
      </c>
      <c r="E205" s="317">
        <v>3.2</v>
      </c>
      <c r="F205" s="317">
        <v>0.38259300000000002</v>
      </c>
      <c r="G205" s="317">
        <v>0.38259300000000002</v>
      </c>
      <c r="H205" s="317">
        <v>0.38259300000000002</v>
      </c>
      <c r="I205" s="318">
        <v>11.956031250000001</v>
      </c>
      <c r="J205" s="318">
        <v>66.576524212692206</v>
      </c>
      <c r="K205" s="319">
        <v>33.525087681956499</v>
      </c>
      <c r="L205" s="319">
        <v>21.569056431956497</v>
      </c>
      <c r="M205" s="319">
        <f t="shared" si="3"/>
        <v>21.569056431956497</v>
      </c>
      <c r="N205" s="317">
        <v>0.69020980582260794</v>
      </c>
      <c r="O205" s="315" t="s">
        <v>1148</v>
      </c>
      <c r="P205" s="318">
        <v>166</v>
      </c>
      <c r="R205" s="320">
        <v>74.444444444444443</v>
      </c>
      <c r="S205" s="318">
        <v>36.4</v>
      </c>
      <c r="T205" s="318">
        <v>6.3250000000000002</v>
      </c>
      <c r="U205" s="318">
        <v>1.4166666666666667</v>
      </c>
      <c r="V205" s="315">
        <v>0.2</v>
      </c>
      <c r="W205" s="318">
        <v>27.00816</v>
      </c>
      <c r="X205" s="315">
        <v>0</v>
      </c>
      <c r="Y205" s="315" t="s">
        <v>1149</v>
      </c>
      <c r="Z205" s="315">
        <v>0</v>
      </c>
      <c r="AA205" s="315" t="s">
        <v>1190</v>
      </c>
      <c r="AB205" s="315"/>
      <c r="AC205" s="315"/>
      <c r="AD205" s="315"/>
      <c r="AE205" s="315"/>
      <c r="AF205" s="315"/>
      <c r="AG205" s="315"/>
      <c r="AH205" s="315"/>
    </row>
    <row r="206" spans="1:34">
      <c r="A206" s="315" t="s">
        <v>1334</v>
      </c>
      <c r="B206" s="315" t="s">
        <v>1916</v>
      </c>
      <c r="C206" s="316" t="s">
        <v>1937</v>
      </c>
      <c r="D206" s="316" t="s">
        <v>1937</v>
      </c>
      <c r="E206" s="317">
        <v>4.5999999999999996</v>
      </c>
      <c r="F206" s="317">
        <v>0</v>
      </c>
      <c r="G206" s="317">
        <v>0</v>
      </c>
      <c r="H206" s="317">
        <v>0</v>
      </c>
      <c r="I206" s="318">
        <v>0</v>
      </c>
      <c r="J206" s="318">
        <v>51.921393371784397</v>
      </c>
      <c r="K206" s="319">
        <v>38.012591478758502</v>
      </c>
      <c r="L206" s="319">
        <v>38.012591478758502</v>
      </c>
      <c r="M206" s="319">
        <f t="shared" si="3"/>
        <v>38.012591478758502</v>
      </c>
      <c r="N206" s="317">
        <v>1.7485792080228908</v>
      </c>
      <c r="O206" s="315" t="s">
        <v>1168</v>
      </c>
      <c r="P206" s="318">
        <v>166</v>
      </c>
      <c r="R206" s="320">
        <v>74.444444444444443</v>
      </c>
      <c r="S206" s="318">
        <v>36.4</v>
      </c>
      <c r="T206" s="318">
        <v>11.168333333333331</v>
      </c>
      <c r="U206" s="318">
        <v>5.44</v>
      </c>
      <c r="V206" s="315">
        <v>0.19065870765557383</v>
      </c>
      <c r="W206" s="318">
        <v>146.90819999999999</v>
      </c>
      <c r="X206" s="315">
        <v>0</v>
      </c>
      <c r="Y206" s="315" t="s">
        <v>1149</v>
      </c>
      <c r="Z206" s="315">
        <v>0</v>
      </c>
      <c r="AA206" s="315" t="s">
        <v>1190</v>
      </c>
      <c r="AB206" s="315"/>
      <c r="AC206" s="315"/>
      <c r="AD206" s="315"/>
      <c r="AE206" s="315"/>
      <c r="AF206" s="315"/>
      <c r="AG206" s="315"/>
      <c r="AH206" s="315"/>
    </row>
    <row r="207" spans="1:34">
      <c r="A207" s="315" t="s">
        <v>1145</v>
      </c>
      <c r="B207" s="315" t="s">
        <v>1066</v>
      </c>
      <c r="C207" s="316" t="s">
        <v>1256</v>
      </c>
      <c r="D207" s="316" t="s">
        <v>1257</v>
      </c>
      <c r="E207" s="317">
        <v>30.27</v>
      </c>
      <c r="F207" s="317">
        <v>6.2362419999999998</v>
      </c>
      <c r="G207" s="317">
        <v>6.7988878000000001</v>
      </c>
      <c r="H207" s="317">
        <v>7.6630687999999996</v>
      </c>
      <c r="I207" s="318">
        <v>25.315721176081929</v>
      </c>
      <c r="J207" s="318">
        <v>60.782817809767302</v>
      </c>
      <c r="K207" s="319">
        <v>38.915967188922501</v>
      </c>
      <c r="L207" s="319">
        <v>13.600246012840572</v>
      </c>
      <c r="M207" s="319">
        <f t="shared" si="3"/>
        <v>13.600246012840572</v>
      </c>
      <c r="N207" s="317">
        <v>4.1167944680868409</v>
      </c>
      <c r="O207" s="315" t="s">
        <v>1148</v>
      </c>
      <c r="P207" s="318">
        <v>167</v>
      </c>
      <c r="R207" s="320">
        <v>75</v>
      </c>
      <c r="S207" s="318">
        <v>41</v>
      </c>
      <c r="T207" s="318">
        <v>271.89999999999998</v>
      </c>
      <c r="U207" s="318">
        <v>357</v>
      </c>
      <c r="V207" s="315">
        <v>0.23</v>
      </c>
      <c r="W207" s="318">
        <v>365.2</v>
      </c>
      <c r="X207" s="315">
        <v>7</v>
      </c>
      <c r="Y207" s="315" t="s">
        <v>1149</v>
      </c>
      <c r="Z207" s="315">
        <v>0</v>
      </c>
      <c r="AA207" s="315" t="s">
        <v>1190</v>
      </c>
      <c r="AB207" s="316">
        <v>0</v>
      </c>
      <c r="AC207" s="316">
        <v>2305</v>
      </c>
      <c r="AD207" s="316">
        <v>2253</v>
      </c>
      <c r="AE207" s="316">
        <v>0.46</v>
      </c>
      <c r="AF207" s="316">
        <v>1.3280000000000001</v>
      </c>
      <c r="AG207" s="316">
        <v>0.38900000000000001</v>
      </c>
      <c r="AH207" s="316">
        <v>574</v>
      </c>
    </row>
    <row r="208" spans="1:34">
      <c r="A208" s="315" t="s">
        <v>1229</v>
      </c>
      <c r="B208" s="315" t="s">
        <v>1970</v>
      </c>
      <c r="C208" s="316" t="s">
        <v>1989</v>
      </c>
      <c r="D208" s="316" t="s">
        <v>1989</v>
      </c>
      <c r="E208" s="317">
        <v>25.349</v>
      </c>
      <c r="F208" s="317">
        <v>8.4701304000000004</v>
      </c>
      <c r="G208" s="317">
        <v>8.7742661999999996</v>
      </c>
      <c r="H208" s="317">
        <v>9.199954</v>
      </c>
      <c r="I208" s="318">
        <v>36.293163438399937</v>
      </c>
      <c r="J208" s="318">
        <v>70.836210429833301</v>
      </c>
      <c r="K208" s="319">
        <v>36.474324157976504</v>
      </c>
      <c r="L208" s="319">
        <v>0.18116071957656743</v>
      </c>
      <c r="M208" s="319">
        <f t="shared" si="3"/>
        <v>0.18116071957656743</v>
      </c>
      <c r="N208" s="317">
        <v>4.5922430805464078E-2</v>
      </c>
      <c r="O208" s="315" t="s">
        <v>1148</v>
      </c>
      <c r="P208" s="318">
        <v>167</v>
      </c>
      <c r="R208" s="320">
        <v>75</v>
      </c>
      <c r="S208" s="318">
        <v>31</v>
      </c>
      <c r="T208" s="318">
        <v>46</v>
      </c>
      <c r="U208" s="318">
        <v>91</v>
      </c>
      <c r="V208" s="315">
        <v>0.18</v>
      </c>
      <c r="W208" s="318">
        <v>110</v>
      </c>
      <c r="X208" s="315">
        <v>14</v>
      </c>
      <c r="Y208" s="315" t="s">
        <v>1149</v>
      </c>
      <c r="Z208" s="315">
        <v>0</v>
      </c>
      <c r="AA208" s="315" t="s">
        <v>1150</v>
      </c>
      <c r="AB208" s="315"/>
      <c r="AC208" s="315"/>
      <c r="AD208" s="315"/>
      <c r="AE208" s="315"/>
      <c r="AF208" s="315"/>
      <c r="AG208" s="315"/>
      <c r="AH208" s="315"/>
    </row>
    <row r="209" spans="1:27" s="315" customFormat="1">
      <c r="A209" s="315" t="s">
        <v>1277</v>
      </c>
      <c r="B209" s="315" t="s">
        <v>663</v>
      </c>
      <c r="C209" s="316" t="s">
        <v>1847</v>
      </c>
      <c r="D209" s="316" t="s">
        <v>1847</v>
      </c>
      <c r="E209" s="317">
        <v>16.47</v>
      </c>
      <c r="F209" s="317">
        <v>0</v>
      </c>
      <c r="G209" s="317">
        <v>0</v>
      </c>
      <c r="H209" s="317">
        <v>0</v>
      </c>
      <c r="I209" s="318">
        <v>0</v>
      </c>
      <c r="J209" s="318">
        <v>78.791563204102104</v>
      </c>
      <c r="K209" s="319">
        <v>24.1113503920554</v>
      </c>
      <c r="L209" s="319">
        <v>24.1113503920554</v>
      </c>
      <c r="M209" s="319">
        <f t="shared" si="3"/>
        <v>24.1113503920554</v>
      </c>
      <c r="N209" s="317">
        <v>3.9711394095715242</v>
      </c>
      <c r="O209" s="315" t="s">
        <v>1168</v>
      </c>
      <c r="P209" s="318">
        <v>167</v>
      </c>
      <c r="R209" s="320">
        <v>75</v>
      </c>
      <c r="S209" s="318">
        <v>34</v>
      </c>
      <c r="T209" s="318">
        <v>59.32</v>
      </c>
      <c r="U209" s="318">
        <v>259</v>
      </c>
      <c r="V209" s="315">
        <v>0.25</v>
      </c>
      <c r="W209" s="318">
        <v>15.05</v>
      </c>
      <c r="X209" s="315">
        <v>0</v>
      </c>
      <c r="Y209" s="315" t="s">
        <v>1149</v>
      </c>
      <c r="Z209" s="315">
        <v>0</v>
      </c>
      <c r="AA209" s="315" t="s">
        <v>1150</v>
      </c>
    </row>
    <row r="210" spans="1:27" s="315" customFormat="1">
      <c r="A210" s="315" t="s">
        <v>1502</v>
      </c>
      <c r="B210" s="315" t="s">
        <v>1080</v>
      </c>
      <c r="C210" s="316" t="s">
        <v>2001</v>
      </c>
      <c r="D210" s="316" t="s">
        <v>2001</v>
      </c>
      <c r="E210" s="317">
        <v>74.300056608617737</v>
      </c>
      <c r="F210" s="317">
        <v>40.659878500000005</v>
      </c>
      <c r="G210" s="317">
        <v>41.336029500000002</v>
      </c>
      <c r="H210" s="317">
        <v>41.336029500000002</v>
      </c>
      <c r="I210" s="318">
        <v>55.633913871346387</v>
      </c>
      <c r="J210" s="318">
        <v>36.694366791489003</v>
      </c>
      <c r="K210" s="319">
        <v>47.9296338494323</v>
      </c>
      <c r="L210" s="319">
        <v>-7.7042800219140872</v>
      </c>
      <c r="M210" s="319">
        <f t="shared" si="3"/>
        <v>0</v>
      </c>
      <c r="N210" s="317">
        <v>0</v>
      </c>
      <c r="O210" s="315" t="s">
        <v>1148</v>
      </c>
      <c r="P210" s="318">
        <v>167</v>
      </c>
      <c r="R210" s="320">
        <v>75</v>
      </c>
      <c r="S210" s="318">
        <v>38.700000000000003</v>
      </c>
      <c r="T210" s="318">
        <v>20</v>
      </c>
      <c r="U210" s="318">
        <v>250</v>
      </c>
      <c r="V210" s="315">
        <v>0.2</v>
      </c>
      <c r="W210" s="318">
        <v>100</v>
      </c>
      <c r="X210" s="315">
        <v>30</v>
      </c>
      <c r="Y210" s="315" t="s">
        <v>1149</v>
      </c>
      <c r="Z210" s="315">
        <v>0</v>
      </c>
      <c r="AA210" s="315" t="s">
        <v>1150</v>
      </c>
    </row>
    <row r="211" spans="1:27" s="315" customFormat="1">
      <c r="A211" s="315" t="s">
        <v>1504</v>
      </c>
      <c r="B211" s="315" t="s">
        <v>1066</v>
      </c>
      <c r="C211" s="316" t="s">
        <v>1258</v>
      </c>
      <c r="D211" s="316" t="s">
        <v>1259</v>
      </c>
      <c r="E211" s="317">
        <v>2.0299999999999998</v>
      </c>
      <c r="F211" s="317">
        <v>0.26398129999999997</v>
      </c>
      <c r="G211" s="317">
        <v>0.28779819999999995</v>
      </c>
      <c r="H211" s="317">
        <v>0.29882499999999995</v>
      </c>
      <c r="I211" s="318">
        <v>14.720443349753692</v>
      </c>
      <c r="J211" s="318">
        <v>63.025272014232797</v>
      </c>
      <c r="K211" s="319">
        <v>37.9320857290436</v>
      </c>
      <c r="L211" s="319">
        <v>23.211642379289906</v>
      </c>
      <c r="M211" s="319">
        <f t="shared" si="3"/>
        <v>23.211642379289906</v>
      </c>
      <c r="N211" s="317">
        <v>0.47119634029958507</v>
      </c>
      <c r="O211" s="315" t="s">
        <v>1148</v>
      </c>
      <c r="P211" s="318">
        <v>168</v>
      </c>
      <c r="R211" s="320">
        <v>75.555555555555557</v>
      </c>
      <c r="S211" s="318">
        <v>35.5</v>
      </c>
      <c r="T211" s="318">
        <v>128.19999999999999</v>
      </c>
      <c r="U211" s="318">
        <v>109.48279999999998</v>
      </c>
      <c r="V211" s="315">
        <v>0.23499999999999999</v>
      </c>
      <c r="W211" s="318">
        <v>279.89999999999998</v>
      </c>
      <c r="X211" s="315">
        <v>2</v>
      </c>
      <c r="Y211" s="315" t="s">
        <v>1149</v>
      </c>
      <c r="Z211" s="315">
        <v>0</v>
      </c>
      <c r="AA211" s="315" t="s">
        <v>1190</v>
      </c>
    </row>
    <row r="212" spans="1:27" s="315" customFormat="1">
      <c r="A212" s="315" t="s">
        <v>1145</v>
      </c>
      <c r="B212" s="315" t="s">
        <v>663</v>
      </c>
      <c r="C212" s="316" t="s">
        <v>1848</v>
      </c>
      <c r="D212" s="316" t="s">
        <v>1848</v>
      </c>
      <c r="E212" s="317">
        <v>1.3700001304210547</v>
      </c>
      <c r="F212" s="317">
        <v>0.82371439999999996</v>
      </c>
      <c r="G212" s="317">
        <v>0.82371439999999996</v>
      </c>
      <c r="H212" s="317">
        <v>0.82371439999999996</v>
      </c>
      <c r="I212" s="318">
        <v>60.125132962347983</v>
      </c>
      <c r="J212" s="318">
        <v>83.385725475910107</v>
      </c>
      <c r="K212" s="319">
        <v>22.8200909366095</v>
      </c>
      <c r="L212" s="319">
        <v>-37.305042025738487</v>
      </c>
      <c r="M212" s="319">
        <f t="shared" si="3"/>
        <v>0</v>
      </c>
      <c r="N212" s="317">
        <v>0</v>
      </c>
      <c r="O212" s="315" t="s">
        <v>1148</v>
      </c>
      <c r="P212" s="318">
        <v>168</v>
      </c>
      <c r="R212" s="320">
        <v>75.555555555555557</v>
      </c>
      <c r="S212" s="318">
        <v>41</v>
      </c>
      <c r="T212" s="318">
        <v>15.36</v>
      </c>
      <c r="U212" s="318">
        <v>311.69499999999999</v>
      </c>
      <c r="V212" s="315">
        <v>0.21</v>
      </c>
      <c r="W212" s="318">
        <v>15.15</v>
      </c>
      <c r="X212" s="315">
        <v>0</v>
      </c>
      <c r="Y212" s="315" t="s">
        <v>1149</v>
      </c>
      <c r="Z212" s="315">
        <v>0</v>
      </c>
      <c r="AA212" s="315" t="s">
        <v>1190</v>
      </c>
    </row>
    <row r="213" spans="1:27" s="315" customFormat="1">
      <c r="A213" s="315" t="s">
        <v>1145</v>
      </c>
      <c r="B213" s="315" t="s">
        <v>663</v>
      </c>
      <c r="C213" s="316" t="s">
        <v>1849</v>
      </c>
      <c r="D213" s="316" t="s">
        <v>1849</v>
      </c>
      <c r="E213" s="317">
        <v>1.40000013327699</v>
      </c>
      <c r="F213" s="317">
        <v>7.4366500000000002E-2</v>
      </c>
      <c r="G213" s="317">
        <v>7.4366500000000002E-2</v>
      </c>
      <c r="H213" s="317">
        <v>7.4366500000000002E-2</v>
      </c>
      <c r="I213" s="318">
        <v>5.3118923514621263</v>
      </c>
      <c r="J213" s="318">
        <v>78.635317347006406</v>
      </c>
      <c r="K213" s="319">
        <v>29.102388743949998</v>
      </c>
      <c r="L213" s="319">
        <v>23.790496392487871</v>
      </c>
      <c r="M213" s="319">
        <f t="shared" si="3"/>
        <v>23.790496392487871</v>
      </c>
      <c r="N213" s="317">
        <v>0.33306698120208766</v>
      </c>
      <c r="O213" s="315" t="s">
        <v>1148</v>
      </c>
      <c r="P213" s="318">
        <v>168</v>
      </c>
      <c r="R213" s="320">
        <v>75.555555555555557</v>
      </c>
      <c r="S213" s="318">
        <v>41</v>
      </c>
      <c r="T213" s="318">
        <v>58.78</v>
      </c>
      <c r="U213" s="318">
        <v>272.32300000000004</v>
      </c>
      <c r="V213" s="315">
        <v>0.23</v>
      </c>
      <c r="W213" s="318">
        <v>844.38</v>
      </c>
      <c r="X213" s="315">
        <v>0</v>
      </c>
      <c r="Y213" s="315" t="s">
        <v>1149</v>
      </c>
      <c r="Z213" s="315">
        <v>0</v>
      </c>
      <c r="AA213" s="315" t="s">
        <v>1190</v>
      </c>
    </row>
    <row r="214" spans="1:27" s="315" customFormat="1">
      <c r="A214" s="315" t="s">
        <v>1508</v>
      </c>
      <c r="B214" s="315" t="s">
        <v>1080</v>
      </c>
      <c r="C214" s="316" t="s">
        <v>2002</v>
      </c>
      <c r="D214" s="316" t="s">
        <v>2002</v>
      </c>
      <c r="E214" s="317">
        <v>63.20004815161024</v>
      </c>
      <c r="F214" s="317">
        <v>24.584195000000001</v>
      </c>
      <c r="G214" s="317">
        <v>25.440928</v>
      </c>
      <c r="H214" s="317">
        <v>25.440928</v>
      </c>
      <c r="I214" s="318">
        <v>40.254602241710167</v>
      </c>
      <c r="J214" s="318">
        <v>36.708187465402098</v>
      </c>
      <c r="K214" s="319">
        <v>47.922821527124</v>
      </c>
      <c r="L214" s="319">
        <v>7.6682192854138336</v>
      </c>
      <c r="M214" s="319">
        <f t="shared" si="3"/>
        <v>7.6682192854138336</v>
      </c>
      <c r="N214" s="317">
        <v>4.8463182807526053</v>
      </c>
      <c r="O214" s="315" t="s">
        <v>1148</v>
      </c>
      <c r="P214" s="318">
        <v>168</v>
      </c>
      <c r="R214" s="320">
        <v>75.555555555555557</v>
      </c>
      <c r="S214" s="318">
        <v>38.700000000000003</v>
      </c>
      <c r="T214" s="318">
        <v>20</v>
      </c>
      <c r="U214" s="318">
        <v>250</v>
      </c>
      <c r="V214" s="315">
        <v>0.2</v>
      </c>
      <c r="W214" s="318">
        <v>100</v>
      </c>
      <c r="X214" s="315">
        <v>32</v>
      </c>
      <c r="Y214" s="315" t="s">
        <v>1149</v>
      </c>
      <c r="Z214" s="315">
        <v>0</v>
      </c>
      <c r="AA214" s="315" t="s">
        <v>1150</v>
      </c>
    </row>
    <row r="215" spans="1:27" s="315" customFormat="1">
      <c r="A215" s="315" t="s">
        <v>1145</v>
      </c>
      <c r="B215" s="315" t="s">
        <v>1066</v>
      </c>
      <c r="C215" s="316" t="s">
        <v>1260</v>
      </c>
      <c r="D215" s="316" t="s">
        <v>1259</v>
      </c>
      <c r="E215" s="317">
        <v>4.92</v>
      </c>
      <c r="F215" s="317">
        <v>0</v>
      </c>
      <c r="G215" s="317">
        <v>0</v>
      </c>
      <c r="H215" s="317">
        <v>0.66463099999999997</v>
      </c>
      <c r="I215" s="318">
        <v>13.508760162601627</v>
      </c>
      <c r="J215" s="318">
        <v>68.005934765304502</v>
      </c>
      <c r="K215" s="319">
        <v>36.483920236192901</v>
      </c>
      <c r="L215" s="319">
        <v>22.975160073591276</v>
      </c>
      <c r="M215" s="319">
        <f t="shared" si="3"/>
        <v>22.975160073591276</v>
      </c>
      <c r="N215" s="317">
        <v>1.1303778756206908</v>
      </c>
      <c r="O215" s="315" t="s">
        <v>1168</v>
      </c>
      <c r="P215" s="318">
        <v>168.3</v>
      </c>
      <c r="R215" s="320">
        <v>75.722222222222229</v>
      </c>
      <c r="S215" s="318">
        <v>37.200000000000003</v>
      </c>
      <c r="T215" s="318">
        <v>192.6</v>
      </c>
      <c r="U215" s="318">
        <v>202</v>
      </c>
      <c r="V215" s="315">
        <v>0.22</v>
      </c>
      <c r="W215" s="318">
        <v>544.29999999999995</v>
      </c>
      <c r="X215" s="315">
        <v>0</v>
      </c>
      <c r="Y215" s="315" t="s">
        <v>1149</v>
      </c>
      <c r="Z215" s="315">
        <v>0</v>
      </c>
      <c r="AA215" s="315" t="s">
        <v>1190</v>
      </c>
    </row>
    <row r="216" spans="1:27" s="315" customFormat="1">
      <c r="A216" s="315" t="s">
        <v>1145</v>
      </c>
      <c r="B216" s="315" t="s">
        <v>1066</v>
      </c>
      <c r="C216" s="316" t="s">
        <v>1263</v>
      </c>
      <c r="D216" s="316" t="s">
        <v>1264</v>
      </c>
      <c r="E216" s="317">
        <v>3.9300071000000001</v>
      </c>
      <c r="F216" s="317">
        <v>3.3649562</v>
      </c>
      <c r="G216" s="317">
        <v>3.6685490000000001</v>
      </c>
      <c r="H216" s="317">
        <v>4.8935696000000002</v>
      </c>
      <c r="I216" s="318">
        <v>124.51808547623236</v>
      </c>
      <c r="J216" s="318">
        <v>54.025703073949401</v>
      </c>
      <c r="K216" s="319">
        <v>40.081498507864296</v>
      </c>
      <c r="L216" s="319">
        <v>-84.436586968368061</v>
      </c>
      <c r="M216" s="319">
        <f t="shared" si="3"/>
        <v>0</v>
      </c>
      <c r="N216" s="317">
        <v>0</v>
      </c>
      <c r="O216" s="315" t="s">
        <v>1148</v>
      </c>
      <c r="P216" s="318">
        <v>168.9</v>
      </c>
      <c r="R216" s="320">
        <v>76.055555555555557</v>
      </c>
      <c r="S216" s="318">
        <v>36.299999999999997</v>
      </c>
      <c r="T216" s="318">
        <v>45.9</v>
      </c>
      <c r="U216" s="318">
        <v>93</v>
      </c>
      <c r="V216" s="315">
        <v>0.24</v>
      </c>
      <c r="W216" s="318">
        <v>203.2</v>
      </c>
      <c r="X216" s="315">
        <v>1</v>
      </c>
      <c r="Y216" s="315" t="s">
        <v>1149</v>
      </c>
      <c r="Z216" s="315">
        <v>0</v>
      </c>
      <c r="AA216" s="315" t="s">
        <v>1190</v>
      </c>
    </row>
    <row r="217" spans="1:27" s="315" customFormat="1">
      <c r="A217" s="315" t="s">
        <v>1209</v>
      </c>
      <c r="B217" s="315" t="s">
        <v>1066</v>
      </c>
      <c r="C217" s="316" t="s">
        <v>1265</v>
      </c>
      <c r="D217" s="316" t="s">
        <v>1266</v>
      </c>
      <c r="E217" s="317">
        <v>5.98</v>
      </c>
      <c r="F217" s="317">
        <v>5.0992900000000001E-2</v>
      </c>
      <c r="G217" s="317">
        <v>5.55936E-2</v>
      </c>
      <c r="H217" s="317">
        <v>5.77236E-2</v>
      </c>
      <c r="I217" s="318">
        <v>0.96527759197324403</v>
      </c>
      <c r="J217" s="318">
        <v>69.852405398358101</v>
      </c>
      <c r="K217" s="319">
        <v>34.270409563563597</v>
      </c>
      <c r="L217" s="319">
        <v>33.305131971590356</v>
      </c>
      <c r="M217" s="319">
        <f t="shared" si="3"/>
        <v>33.305131971590356</v>
      </c>
      <c r="N217" s="317">
        <v>1.9916468919011034</v>
      </c>
      <c r="O217" s="315" t="s">
        <v>1148</v>
      </c>
      <c r="P217" s="318">
        <v>169</v>
      </c>
      <c r="R217" s="320">
        <v>76.111111111111114</v>
      </c>
      <c r="S217" s="318">
        <v>36.6</v>
      </c>
      <c r="T217" s="318">
        <v>112</v>
      </c>
      <c r="U217" s="318">
        <v>112</v>
      </c>
      <c r="V217" s="315">
        <v>0.21</v>
      </c>
      <c r="W217" s="318">
        <v>19</v>
      </c>
      <c r="X217" s="315">
        <v>3</v>
      </c>
      <c r="Y217" s="315" t="s">
        <v>1149</v>
      </c>
      <c r="Z217" s="315">
        <v>0</v>
      </c>
      <c r="AA217" s="315" t="s">
        <v>1190</v>
      </c>
    </row>
    <row r="218" spans="1:27" s="315" customFormat="1">
      <c r="A218" s="315" t="s">
        <v>1145</v>
      </c>
      <c r="B218" s="315" t="s">
        <v>1073</v>
      </c>
      <c r="C218" s="316" t="s">
        <v>1486</v>
      </c>
      <c r="D218" s="316" t="s">
        <v>1486</v>
      </c>
      <c r="E218" s="317">
        <v>8.3105799999999999</v>
      </c>
      <c r="F218" s="317">
        <v>5.2445637999999999</v>
      </c>
      <c r="G218" s="317">
        <v>5.2792322936370155</v>
      </c>
      <c r="H218" s="317">
        <v>5.2792322936370155</v>
      </c>
      <c r="I218" s="318">
        <v>63.524234092410104</v>
      </c>
      <c r="J218" s="318">
        <v>45.724389044416299</v>
      </c>
      <c r="K218" s="319">
        <v>43.316147137961195</v>
      </c>
      <c r="L218" s="319">
        <v>-20.208086954448909</v>
      </c>
      <c r="M218" s="319">
        <f t="shared" si="3"/>
        <v>0</v>
      </c>
      <c r="N218" s="317">
        <v>0</v>
      </c>
      <c r="O218" s="315" t="s">
        <v>1148</v>
      </c>
      <c r="P218" s="318">
        <v>169</v>
      </c>
      <c r="R218" s="320">
        <v>76.111111111111114</v>
      </c>
      <c r="S218" s="318">
        <v>40</v>
      </c>
      <c r="T218" s="318">
        <v>40</v>
      </c>
      <c r="U218" s="318">
        <v>33</v>
      </c>
      <c r="V218" s="315">
        <v>0.22</v>
      </c>
      <c r="W218" s="318">
        <v>150</v>
      </c>
      <c r="X218" s="315">
        <v>5</v>
      </c>
      <c r="Y218" s="315" t="s">
        <v>1149</v>
      </c>
      <c r="Z218" s="315">
        <v>0</v>
      </c>
      <c r="AA218" s="315" t="s">
        <v>1190</v>
      </c>
    </row>
    <row r="219" spans="1:27" s="315" customFormat="1">
      <c r="A219" s="315" t="s">
        <v>1334</v>
      </c>
      <c r="B219" s="315" t="s">
        <v>1916</v>
      </c>
      <c r="C219" s="316" t="s">
        <v>1938</v>
      </c>
      <c r="D219" s="316" t="s">
        <v>1938</v>
      </c>
      <c r="E219" s="317">
        <v>4</v>
      </c>
      <c r="F219" s="317">
        <v>0.39402900000000002</v>
      </c>
      <c r="G219" s="317">
        <v>0.39402900000000002</v>
      </c>
      <c r="H219" s="317">
        <v>0.39402900000000002</v>
      </c>
      <c r="I219" s="318">
        <v>9.8507250000000006</v>
      </c>
      <c r="J219" s="318">
        <v>61.579064721696902</v>
      </c>
      <c r="K219" s="319">
        <v>35.797502817595401</v>
      </c>
      <c r="L219" s="319">
        <v>25.9467778175954</v>
      </c>
      <c r="M219" s="319">
        <f t="shared" si="3"/>
        <v>25.9467778175954</v>
      </c>
      <c r="N219" s="317">
        <v>1.037871112703816</v>
      </c>
      <c r="O219" s="315" t="s">
        <v>1148</v>
      </c>
      <c r="P219" s="318">
        <v>169</v>
      </c>
      <c r="R219" s="320">
        <v>76.111111111111114</v>
      </c>
      <c r="S219" s="318">
        <v>36.4</v>
      </c>
      <c r="T219" s="318">
        <v>1.7649999999999999</v>
      </c>
      <c r="U219" s="318">
        <v>0.87850000000000006</v>
      </c>
      <c r="V219" s="315">
        <v>0.20799999999999999</v>
      </c>
      <c r="W219" s="318">
        <v>96.161574999999999</v>
      </c>
      <c r="X219" s="315">
        <v>1</v>
      </c>
      <c r="Y219" s="315" t="s">
        <v>1149</v>
      </c>
      <c r="Z219" s="315">
        <v>0</v>
      </c>
      <c r="AA219" s="315" t="s">
        <v>1190</v>
      </c>
    </row>
    <row r="220" spans="1:27" s="315" customFormat="1">
      <c r="A220" s="315" t="s">
        <v>1334</v>
      </c>
      <c r="B220" s="315" t="s">
        <v>1916</v>
      </c>
      <c r="C220" s="316" t="s">
        <v>1940</v>
      </c>
      <c r="D220" s="316" t="s">
        <v>1940</v>
      </c>
      <c r="E220" s="317">
        <v>1.2</v>
      </c>
      <c r="F220" s="317">
        <v>7.7200000000000001E-4</v>
      </c>
      <c r="G220" s="317">
        <v>7.7200000000000001E-4</v>
      </c>
      <c r="H220" s="317">
        <v>7.7200000000000001E-4</v>
      </c>
      <c r="I220" s="318">
        <v>6.4333333333333326E-2</v>
      </c>
      <c r="J220" s="318">
        <v>56.102854745746903</v>
      </c>
      <c r="K220" s="319">
        <v>33.195797332666601</v>
      </c>
      <c r="L220" s="319">
        <v>33.13146399933327</v>
      </c>
      <c r="M220" s="319">
        <f t="shared" si="3"/>
        <v>33.13146399933327</v>
      </c>
      <c r="N220" s="317">
        <v>0.39757756799199923</v>
      </c>
      <c r="O220" s="315" t="s">
        <v>1148</v>
      </c>
      <c r="P220" s="318">
        <v>169</v>
      </c>
      <c r="R220" s="320">
        <v>76.111111111111114</v>
      </c>
      <c r="S220" s="318">
        <v>36.4</v>
      </c>
      <c r="T220" s="318">
        <v>10.878</v>
      </c>
      <c r="U220" s="318">
        <v>2.7049999999999996</v>
      </c>
      <c r="V220" s="315">
        <v>0.216</v>
      </c>
      <c r="W220" s="318">
        <v>74.506249999999994</v>
      </c>
      <c r="X220" s="315">
        <v>1</v>
      </c>
      <c r="Y220" s="315" t="s">
        <v>1149</v>
      </c>
      <c r="Z220" s="315">
        <v>0</v>
      </c>
      <c r="AA220" s="315" t="s">
        <v>1190</v>
      </c>
    </row>
    <row r="221" spans="1:27" s="315" customFormat="1">
      <c r="A221" s="315" t="s">
        <v>1334</v>
      </c>
      <c r="B221" s="315" t="s">
        <v>1916</v>
      </c>
      <c r="C221" s="316" t="s">
        <v>1941</v>
      </c>
      <c r="D221" s="316" t="s">
        <v>1941</v>
      </c>
      <c r="E221" s="317">
        <v>10.1</v>
      </c>
      <c r="F221" s="317">
        <v>4.9767609999999998</v>
      </c>
      <c r="G221" s="317">
        <v>4.9767609999999998</v>
      </c>
      <c r="H221" s="317">
        <v>4.9767609999999998</v>
      </c>
      <c r="I221" s="318">
        <v>49.27486138613861</v>
      </c>
      <c r="J221" s="318">
        <v>67.623195037537201</v>
      </c>
      <c r="K221" s="319">
        <v>35.555588313410205</v>
      </c>
      <c r="L221" s="319">
        <v>-13.719273072728406</v>
      </c>
      <c r="M221" s="319">
        <f t="shared" si="3"/>
        <v>0</v>
      </c>
      <c r="N221" s="317">
        <v>0</v>
      </c>
      <c r="O221" s="315" t="s">
        <v>1148</v>
      </c>
      <c r="P221" s="318">
        <v>169</v>
      </c>
      <c r="R221" s="320">
        <v>76.111111111111114</v>
      </c>
      <c r="S221" s="318">
        <v>36.4</v>
      </c>
      <c r="T221" s="318">
        <v>47.308181818181829</v>
      </c>
      <c r="U221" s="318">
        <v>7.507272727272726</v>
      </c>
      <c r="V221" s="315">
        <v>0.21099999999999999</v>
      </c>
      <c r="W221" s="318">
        <v>266.4479</v>
      </c>
      <c r="X221" s="315">
        <v>4</v>
      </c>
      <c r="Y221" s="315" t="s">
        <v>1149</v>
      </c>
      <c r="Z221" s="315">
        <v>0</v>
      </c>
      <c r="AA221" s="315" t="s">
        <v>1190</v>
      </c>
    </row>
    <row r="222" spans="1:27" s="315" customFormat="1">
      <c r="A222" s="315" t="s">
        <v>1517</v>
      </c>
      <c r="B222" s="315" t="s">
        <v>1080</v>
      </c>
      <c r="C222" s="316" t="s">
        <v>2004</v>
      </c>
      <c r="D222" s="316" t="s">
        <v>2004</v>
      </c>
      <c r="E222" s="317">
        <v>55.000041904091191</v>
      </c>
      <c r="F222" s="317">
        <v>34.573594300000003</v>
      </c>
      <c r="G222" s="317">
        <v>34.793151300000005</v>
      </c>
      <c r="H222" s="317">
        <v>34.793151300000005</v>
      </c>
      <c r="I222" s="318">
        <v>63.260226893412444</v>
      </c>
      <c r="J222" s="318">
        <v>36.722153515338697</v>
      </c>
      <c r="K222" s="319">
        <v>49.149881398630704</v>
      </c>
      <c r="L222" s="319">
        <v>-14.11034549478174</v>
      </c>
      <c r="M222" s="319">
        <f t="shared" si="3"/>
        <v>0</v>
      </c>
      <c r="N222" s="317">
        <v>0</v>
      </c>
      <c r="O222" s="315" t="s">
        <v>1148</v>
      </c>
      <c r="P222" s="318">
        <v>169</v>
      </c>
      <c r="R222" s="320">
        <v>76.111111111111114</v>
      </c>
      <c r="S222" s="318">
        <v>41</v>
      </c>
      <c r="T222" s="318">
        <v>20</v>
      </c>
      <c r="U222" s="318">
        <v>190</v>
      </c>
      <c r="V222" s="315">
        <v>0.2</v>
      </c>
      <c r="W222" s="318">
        <v>100</v>
      </c>
      <c r="X222" s="315">
        <v>19</v>
      </c>
      <c r="Y222" s="315" t="s">
        <v>1149</v>
      </c>
      <c r="Z222" s="315">
        <v>0</v>
      </c>
      <c r="AA222" s="315" t="s">
        <v>1150</v>
      </c>
    </row>
    <row r="223" spans="1:27" s="315" customFormat="1">
      <c r="A223" s="315" t="s">
        <v>1145</v>
      </c>
      <c r="B223" s="315" t="s">
        <v>1066</v>
      </c>
      <c r="C223" s="316" t="s">
        <v>1267</v>
      </c>
      <c r="D223" s="316" t="s">
        <v>1268</v>
      </c>
      <c r="E223" s="317">
        <v>36.97</v>
      </c>
      <c r="F223" s="317">
        <v>12.6276791</v>
      </c>
      <c r="G223" s="317">
        <v>13.766972599999999</v>
      </c>
      <c r="H223" s="317">
        <v>14.294446999999998</v>
      </c>
      <c r="I223" s="318">
        <v>38.664990532864479</v>
      </c>
      <c r="J223" s="318">
        <v>49.4492027911447</v>
      </c>
      <c r="K223" s="319">
        <v>39.694095688753499</v>
      </c>
      <c r="L223" s="319">
        <v>1.0291051558890203</v>
      </c>
      <c r="M223" s="319">
        <f t="shared" si="3"/>
        <v>1.0291051558890203</v>
      </c>
      <c r="N223" s="317">
        <v>0.38046017613217076</v>
      </c>
      <c r="O223" s="315" t="s">
        <v>1148</v>
      </c>
      <c r="P223" s="318">
        <v>169.6</v>
      </c>
      <c r="R223" s="320">
        <v>76.444444444444443</v>
      </c>
      <c r="S223" s="318">
        <v>36.950000000000003</v>
      </c>
      <c r="T223" s="318">
        <v>20</v>
      </c>
      <c r="U223" s="318">
        <v>18.582999999999998</v>
      </c>
      <c r="V223" s="315">
        <v>0.186644</v>
      </c>
      <c r="W223" s="318">
        <v>68.285619999999994</v>
      </c>
      <c r="X223" s="315">
        <v>18</v>
      </c>
      <c r="Y223" s="315" t="s">
        <v>1149</v>
      </c>
      <c r="Z223" s="315">
        <v>0</v>
      </c>
      <c r="AA223" s="315" t="s">
        <v>1190</v>
      </c>
    </row>
    <row r="224" spans="1:27" s="315" customFormat="1">
      <c r="A224" s="315" t="s">
        <v>1521</v>
      </c>
      <c r="B224" s="315" t="s">
        <v>1671</v>
      </c>
      <c r="C224" s="316" t="s">
        <v>1674</v>
      </c>
      <c r="D224" s="316" t="s">
        <v>1675</v>
      </c>
      <c r="E224" s="317">
        <v>111</v>
      </c>
      <c r="F224" s="317">
        <v>0</v>
      </c>
      <c r="G224" s="317">
        <v>0</v>
      </c>
      <c r="H224" s="317">
        <v>20.582883199999998</v>
      </c>
      <c r="I224" s="318">
        <v>18.543138018018016</v>
      </c>
      <c r="J224" s="318">
        <v>49.762232576440603</v>
      </c>
      <c r="K224" s="319">
        <v>41.024664956179301</v>
      </c>
      <c r="L224" s="319">
        <v>22.481526938161284</v>
      </c>
      <c r="M224" s="319">
        <f t="shared" si="3"/>
        <v>22.481526938161284</v>
      </c>
      <c r="N224" s="317">
        <v>24.954494901359023</v>
      </c>
      <c r="O224" s="315" t="s">
        <v>1168</v>
      </c>
      <c r="P224" s="318">
        <v>170</v>
      </c>
      <c r="R224" s="320">
        <v>76.666666666666671</v>
      </c>
      <c r="S224" s="318">
        <v>32</v>
      </c>
      <c r="T224" s="318">
        <v>426.53000000000003</v>
      </c>
      <c r="U224" s="318">
        <v>0</v>
      </c>
      <c r="V224" s="315">
        <v>0.24</v>
      </c>
      <c r="W224" s="318">
        <v>150</v>
      </c>
      <c r="X224" s="315">
        <v>6</v>
      </c>
      <c r="Y224" s="315" t="s">
        <v>1154</v>
      </c>
      <c r="Z224" s="315">
        <v>5</v>
      </c>
      <c r="AA224" s="315" t="s">
        <v>1157</v>
      </c>
    </row>
    <row r="225" spans="1:34">
      <c r="A225" s="315" t="s">
        <v>1145</v>
      </c>
      <c r="B225" s="315" t="s">
        <v>1687</v>
      </c>
      <c r="C225" s="316" t="s">
        <v>1688</v>
      </c>
      <c r="D225" s="316" t="s">
        <v>1688</v>
      </c>
      <c r="E225" s="317">
        <v>39.340000000000003</v>
      </c>
      <c r="F225" s="317">
        <v>15.942132000000001</v>
      </c>
      <c r="G225" s="317">
        <v>15.942132000000001</v>
      </c>
      <c r="H225" s="317">
        <v>15.942132000000001</v>
      </c>
      <c r="I225" s="318">
        <v>40.523975597356376</v>
      </c>
      <c r="J225" s="318">
        <v>44.008862980242903</v>
      </c>
      <c r="K225" s="319">
        <v>43.453987147647901</v>
      </c>
      <c r="L225" s="319">
        <v>2.9300115502915247</v>
      </c>
      <c r="M225" s="319">
        <f t="shared" si="3"/>
        <v>2.9300115502915247</v>
      </c>
      <c r="N225" s="317">
        <v>1.1526665438846859</v>
      </c>
      <c r="O225" s="315" t="s">
        <v>1148</v>
      </c>
      <c r="P225" s="318">
        <v>170</v>
      </c>
      <c r="R225" s="320">
        <v>76.666666666666671</v>
      </c>
      <c r="S225" s="318">
        <v>42.3</v>
      </c>
      <c r="T225" s="318">
        <v>145</v>
      </c>
      <c r="U225" s="318">
        <v>128</v>
      </c>
      <c r="V225" s="315">
        <v>0.20230000000000001</v>
      </c>
      <c r="W225" s="318">
        <v>553</v>
      </c>
      <c r="X225" s="315">
        <v>8</v>
      </c>
      <c r="Y225" s="315" t="s">
        <v>1149</v>
      </c>
      <c r="Z225" s="315">
        <v>0</v>
      </c>
      <c r="AA225" s="315" t="s">
        <v>1157</v>
      </c>
      <c r="AB225" s="315"/>
      <c r="AC225" s="315"/>
      <c r="AD225" s="315"/>
      <c r="AE225" s="315"/>
      <c r="AF225" s="315"/>
      <c r="AG225" s="315"/>
      <c r="AH225" s="315"/>
    </row>
    <row r="226" spans="1:34">
      <c r="A226" s="315" t="s">
        <v>1145</v>
      </c>
      <c r="B226" s="315" t="s">
        <v>1687</v>
      </c>
      <c r="C226" s="316" t="s">
        <v>1689</v>
      </c>
      <c r="D226" s="316" t="s">
        <v>1689</v>
      </c>
      <c r="E226" s="317">
        <v>173.25</v>
      </c>
      <c r="F226" s="317">
        <v>102.205039</v>
      </c>
      <c r="G226" s="317">
        <v>102.205039</v>
      </c>
      <c r="H226" s="317">
        <v>102.205039</v>
      </c>
      <c r="I226" s="318">
        <v>58.992807503607501</v>
      </c>
      <c r="J226" s="318">
        <v>46.2198377841937</v>
      </c>
      <c r="K226" s="319">
        <v>42.784290442867004</v>
      </c>
      <c r="L226" s="319">
        <v>-16.208517060740498</v>
      </c>
      <c r="M226" s="319">
        <f t="shared" si="3"/>
        <v>0</v>
      </c>
      <c r="N226" s="317">
        <v>0</v>
      </c>
      <c r="O226" s="315" t="s">
        <v>1148</v>
      </c>
      <c r="P226" s="318">
        <v>170</v>
      </c>
      <c r="R226" s="320">
        <v>76.666666666666671</v>
      </c>
      <c r="S226" s="318">
        <v>42.3</v>
      </c>
      <c r="T226" s="318">
        <v>158</v>
      </c>
      <c r="U226" s="318">
        <v>128</v>
      </c>
      <c r="V226" s="315">
        <v>0.156</v>
      </c>
      <c r="W226" s="318">
        <v>142</v>
      </c>
      <c r="X226" s="315">
        <v>18</v>
      </c>
      <c r="Y226" s="315" t="s">
        <v>1440</v>
      </c>
      <c r="Z226" s="315">
        <v>1</v>
      </c>
      <c r="AA226" s="315" t="s">
        <v>1190</v>
      </c>
      <c r="AB226" s="315"/>
      <c r="AC226" s="315"/>
      <c r="AD226" s="315"/>
      <c r="AE226" s="315"/>
      <c r="AF226" s="315"/>
      <c r="AG226" s="315"/>
      <c r="AH226" s="315"/>
    </row>
    <row r="227" spans="1:34">
      <c r="A227" s="315" t="s">
        <v>1525</v>
      </c>
      <c r="B227" s="315" t="s">
        <v>1080</v>
      </c>
      <c r="C227" s="316" t="s">
        <v>2005</v>
      </c>
      <c r="D227" s="316" t="s">
        <v>2005</v>
      </c>
      <c r="E227" s="317">
        <v>63.500048380178022</v>
      </c>
      <c r="F227" s="317">
        <v>39.177517799999997</v>
      </c>
      <c r="G227" s="317">
        <v>39.8748158</v>
      </c>
      <c r="H227" s="317">
        <v>41.349354699999999</v>
      </c>
      <c r="I227" s="318">
        <v>65.117044403555894</v>
      </c>
      <c r="J227" s="318">
        <v>36.7328220876499</v>
      </c>
      <c r="K227" s="319">
        <v>47.910691888250099</v>
      </c>
      <c r="L227" s="319">
        <v>-17.206352515305795</v>
      </c>
      <c r="M227" s="319">
        <f t="shared" si="3"/>
        <v>0</v>
      </c>
      <c r="N227" s="317">
        <v>0</v>
      </c>
      <c r="O227" s="315" t="s">
        <v>1148</v>
      </c>
      <c r="P227" s="318">
        <v>170</v>
      </c>
      <c r="R227" s="320">
        <v>76.666666666666671</v>
      </c>
      <c r="S227" s="318">
        <v>41</v>
      </c>
      <c r="T227" s="318">
        <v>20</v>
      </c>
      <c r="U227" s="318">
        <v>300</v>
      </c>
      <c r="V227" s="315">
        <v>0.2</v>
      </c>
      <c r="W227" s="318">
        <v>100</v>
      </c>
      <c r="X227" s="315">
        <v>20</v>
      </c>
      <c r="Y227" s="315" t="s">
        <v>1149</v>
      </c>
      <c r="Z227" s="315">
        <v>0</v>
      </c>
      <c r="AA227" s="315" t="s">
        <v>1150</v>
      </c>
      <c r="AB227" s="315"/>
      <c r="AC227" s="315"/>
      <c r="AD227" s="315"/>
      <c r="AE227" s="315"/>
      <c r="AF227" s="315"/>
      <c r="AG227" s="315"/>
      <c r="AH227" s="315"/>
    </row>
    <row r="228" spans="1:34">
      <c r="A228" s="315" t="s">
        <v>1145</v>
      </c>
      <c r="B228" s="315" t="s">
        <v>1066</v>
      </c>
      <c r="C228" s="316" t="s">
        <v>1269</v>
      </c>
      <c r="D228" s="316" t="s">
        <v>1270</v>
      </c>
      <c r="E228" s="317">
        <v>1.07</v>
      </c>
      <c r="F228" s="317">
        <v>2.9990000000000003E-4</v>
      </c>
      <c r="G228" s="317">
        <v>0.20583319999999999</v>
      </c>
      <c r="H228" s="317">
        <v>0.20583319999999999</v>
      </c>
      <c r="I228" s="318">
        <v>19.236747663551402</v>
      </c>
      <c r="J228" s="318">
        <v>66.438014237956693</v>
      </c>
      <c r="K228" s="319">
        <v>36.434859919355297</v>
      </c>
      <c r="L228" s="319">
        <v>17.198112255803895</v>
      </c>
      <c r="M228" s="319">
        <f t="shared" si="3"/>
        <v>17.198112255803895</v>
      </c>
      <c r="N228" s="317">
        <v>0.1840198011371017</v>
      </c>
      <c r="O228" s="315" t="s">
        <v>1148</v>
      </c>
      <c r="P228" s="318">
        <v>170.9</v>
      </c>
      <c r="R228" s="320">
        <v>77.166666666666671</v>
      </c>
      <c r="S228" s="318">
        <v>38.200000000000003</v>
      </c>
      <c r="T228" s="318">
        <v>209</v>
      </c>
      <c r="U228" s="318">
        <v>209</v>
      </c>
      <c r="V228" s="315">
        <v>0.2</v>
      </c>
      <c r="W228" s="318">
        <v>200</v>
      </c>
      <c r="X228" s="315">
        <v>0</v>
      </c>
      <c r="Y228" s="315" t="s">
        <v>1149</v>
      </c>
      <c r="Z228" s="315">
        <v>0</v>
      </c>
      <c r="AA228" s="315" t="s">
        <v>1190</v>
      </c>
      <c r="AB228" s="315"/>
      <c r="AC228" s="315"/>
      <c r="AD228" s="315"/>
      <c r="AE228" s="315"/>
      <c r="AF228" s="315"/>
      <c r="AG228" s="315"/>
      <c r="AH228" s="315"/>
    </row>
    <row r="229" spans="1:34">
      <c r="A229" s="315" t="s">
        <v>1145</v>
      </c>
      <c r="B229" s="315" t="s">
        <v>1066</v>
      </c>
      <c r="C229" s="316" t="s">
        <v>1271</v>
      </c>
      <c r="D229" s="316" t="s">
        <v>1272</v>
      </c>
      <c r="E229" s="317">
        <v>5.53</v>
      </c>
      <c r="F229" s="317">
        <v>2.2992946000000001</v>
      </c>
      <c r="G229" s="317">
        <v>2.5195286000000001</v>
      </c>
      <c r="H229" s="317">
        <v>2.6155723000000002</v>
      </c>
      <c r="I229" s="318">
        <v>47.297871609403259</v>
      </c>
      <c r="J229" s="318">
        <v>57.144092173545403</v>
      </c>
      <c r="K229" s="319">
        <v>38.460634363660901</v>
      </c>
      <c r="L229" s="319">
        <v>-8.837237245742358</v>
      </c>
      <c r="M229" s="319">
        <f t="shared" si="3"/>
        <v>0</v>
      </c>
      <c r="N229" s="317">
        <v>0</v>
      </c>
      <c r="O229" s="315" t="s">
        <v>1148</v>
      </c>
      <c r="P229" s="318">
        <v>171</v>
      </c>
      <c r="R229" s="320">
        <v>77.222222222222229</v>
      </c>
      <c r="S229" s="318">
        <v>41</v>
      </c>
      <c r="T229" s="318">
        <v>15.8</v>
      </c>
      <c r="U229" s="318">
        <v>108</v>
      </c>
      <c r="V229" s="315">
        <v>0.21</v>
      </c>
      <c r="W229" s="318">
        <v>139.1</v>
      </c>
      <c r="X229" s="315">
        <v>2</v>
      </c>
      <c r="Y229" s="315" t="s">
        <v>1149</v>
      </c>
      <c r="Z229" s="315">
        <v>0</v>
      </c>
      <c r="AA229" s="315" t="s">
        <v>1190</v>
      </c>
      <c r="AB229" s="316">
        <v>0</v>
      </c>
      <c r="AC229" s="316">
        <v>2344</v>
      </c>
      <c r="AD229" s="316">
        <v>2292</v>
      </c>
      <c r="AE229" s="316">
        <v>0.54</v>
      </c>
      <c r="AF229" s="316">
        <v>1.3360000000000001</v>
      </c>
      <c r="AG229" s="316">
        <v>0.38300000000000001</v>
      </c>
      <c r="AH229" s="316">
        <v>584</v>
      </c>
    </row>
    <row r="230" spans="1:34">
      <c r="A230" s="315" t="s">
        <v>1145</v>
      </c>
      <c r="B230" s="315" t="s">
        <v>1066</v>
      </c>
      <c r="C230" s="316" t="s">
        <v>1273</v>
      </c>
      <c r="D230" s="316" t="s">
        <v>1274</v>
      </c>
      <c r="E230" s="317">
        <v>8.0399999999999991</v>
      </c>
      <c r="F230" s="317">
        <v>1.0732306</v>
      </c>
      <c r="G230" s="317">
        <v>1.1700595</v>
      </c>
      <c r="H230" s="317">
        <v>1.2148897000000001</v>
      </c>
      <c r="I230" s="318">
        <v>15.110568407960201</v>
      </c>
      <c r="J230" s="318">
        <v>59.247852216566301</v>
      </c>
      <c r="K230" s="319">
        <v>37.533694934410903</v>
      </c>
      <c r="L230" s="319">
        <v>22.423126526450702</v>
      </c>
      <c r="M230" s="319">
        <f t="shared" si="3"/>
        <v>22.423126526450702</v>
      </c>
      <c r="N230" s="317">
        <v>1.8028193727266362</v>
      </c>
      <c r="O230" s="315" t="s">
        <v>1148</v>
      </c>
      <c r="P230" s="318">
        <v>171</v>
      </c>
      <c r="R230" s="320">
        <v>77.222222222222229</v>
      </c>
      <c r="S230" s="318">
        <v>41</v>
      </c>
      <c r="T230" s="318">
        <v>208.5</v>
      </c>
      <c r="U230" s="318">
        <v>108</v>
      </c>
      <c r="V230" s="315">
        <v>0.188</v>
      </c>
      <c r="W230" s="318">
        <v>51.8</v>
      </c>
      <c r="X230" s="315">
        <v>1</v>
      </c>
      <c r="Y230" s="315" t="s">
        <v>1149</v>
      </c>
      <c r="Z230" s="315">
        <v>0</v>
      </c>
      <c r="AA230" s="315" t="s">
        <v>1190</v>
      </c>
      <c r="AB230" s="316">
        <v>0</v>
      </c>
      <c r="AC230" s="316">
        <v>2344</v>
      </c>
      <c r="AD230" s="316">
        <v>2292</v>
      </c>
      <c r="AE230" s="316">
        <v>0.49</v>
      </c>
      <c r="AF230" s="316">
        <v>1.3360000000000001</v>
      </c>
      <c r="AG230" s="316">
        <v>0.38300000000000001</v>
      </c>
      <c r="AH230" s="316">
        <v>584</v>
      </c>
    </row>
    <row r="231" spans="1:34">
      <c r="A231" s="315" t="s">
        <v>1145</v>
      </c>
      <c r="B231" s="315" t="s">
        <v>1066</v>
      </c>
      <c r="C231" s="316" t="s">
        <v>1275</v>
      </c>
      <c r="D231" s="316" t="s">
        <v>1276</v>
      </c>
      <c r="E231" s="317">
        <v>17.600000000000001</v>
      </c>
      <c r="F231" s="317">
        <v>1.2370079</v>
      </c>
      <c r="G231" s="317">
        <v>1.3486131000000001</v>
      </c>
      <c r="H231" s="317">
        <v>1.4002845000000002</v>
      </c>
      <c r="I231" s="318">
        <v>7.9561619318181815</v>
      </c>
      <c r="J231" s="318">
        <v>59.239876242554701</v>
      </c>
      <c r="K231" s="319">
        <v>39.765917224253101</v>
      </c>
      <c r="L231" s="319">
        <v>31.809755292434922</v>
      </c>
      <c r="M231" s="319">
        <f t="shared" si="3"/>
        <v>31.809755292434922</v>
      </c>
      <c r="N231" s="317">
        <v>5.5985169314685468</v>
      </c>
      <c r="O231" s="315" t="s">
        <v>1148</v>
      </c>
      <c r="P231" s="318">
        <v>171</v>
      </c>
      <c r="R231" s="320">
        <v>77.222222222222229</v>
      </c>
      <c r="S231" s="318">
        <v>38.200000000000003</v>
      </c>
      <c r="T231" s="318">
        <v>217.9</v>
      </c>
      <c r="U231" s="318">
        <v>334</v>
      </c>
      <c r="V231" s="315">
        <v>0.22</v>
      </c>
      <c r="W231" s="318">
        <v>129.05000000000001</v>
      </c>
      <c r="X231" s="315">
        <v>3</v>
      </c>
      <c r="Y231" s="315" t="s">
        <v>1149</v>
      </c>
      <c r="Z231" s="315">
        <v>0</v>
      </c>
      <c r="AA231" s="315" t="s">
        <v>1190</v>
      </c>
      <c r="AB231" s="315"/>
      <c r="AC231" s="315"/>
      <c r="AD231" s="315"/>
      <c r="AE231" s="315"/>
      <c r="AF231" s="315"/>
      <c r="AG231" s="315"/>
      <c r="AH231" s="315"/>
    </row>
    <row r="232" spans="1:34">
      <c r="A232" s="315" t="s">
        <v>1145</v>
      </c>
      <c r="B232" s="315" t="s">
        <v>663</v>
      </c>
      <c r="C232" s="316" t="s">
        <v>1850</v>
      </c>
      <c r="D232" s="316" t="s">
        <v>1850</v>
      </c>
      <c r="E232" s="317">
        <v>4.5089185292393097</v>
      </c>
      <c r="F232" s="317">
        <v>0</v>
      </c>
      <c r="G232" s="317">
        <v>0</v>
      </c>
      <c r="H232" s="317">
        <v>0.29299999999999998</v>
      </c>
      <c r="I232" s="318">
        <v>6.4982322945061375</v>
      </c>
      <c r="J232" s="318">
        <v>84.266600454285907</v>
      </c>
      <c r="K232" s="319">
        <v>20.704824237048001</v>
      </c>
      <c r="L232" s="319">
        <v>14.206591942541863</v>
      </c>
      <c r="M232" s="319">
        <f t="shared" si="3"/>
        <v>14.206591942541863</v>
      </c>
      <c r="N232" s="317">
        <v>0.6405636564706888</v>
      </c>
      <c r="O232" s="315" t="s">
        <v>1168</v>
      </c>
      <c r="P232" s="318">
        <v>171</v>
      </c>
      <c r="R232" s="320">
        <v>77.222222222222229</v>
      </c>
      <c r="S232" s="318">
        <v>28</v>
      </c>
      <c r="T232" s="318">
        <v>25.59</v>
      </c>
      <c r="U232" s="318">
        <v>125</v>
      </c>
      <c r="V232" s="315">
        <v>0.22</v>
      </c>
      <c r="W232" s="318">
        <v>19.059999999999999</v>
      </c>
      <c r="X232" s="315">
        <v>0</v>
      </c>
      <c r="Y232" s="315" t="s">
        <v>1149</v>
      </c>
      <c r="Z232" s="315">
        <v>0</v>
      </c>
      <c r="AA232" s="315" t="s">
        <v>1150</v>
      </c>
      <c r="AB232" s="315"/>
      <c r="AC232" s="315"/>
      <c r="AD232" s="315"/>
      <c r="AE232" s="315"/>
      <c r="AF232" s="315"/>
      <c r="AG232" s="315"/>
      <c r="AH232" s="315"/>
    </row>
    <row r="233" spans="1:34">
      <c r="A233" s="315" t="s">
        <v>1145</v>
      </c>
      <c r="B233" s="315" t="s">
        <v>663</v>
      </c>
      <c r="C233" s="316" t="s">
        <v>1851</v>
      </c>
      <c r="D233" s="316" t="s">
        <v>1851</v>
      </c>
      <c r="E233" s="317">
        <v>3.27000031129697</v>
      </c>
      <c r="F233" s="317">
        <v>0</v>
      </c>
      <c r="G233" s="317">
        <v>0</v>
      </c>
      <c r="H233" s="317">
        <v>0</v>
      </c>
      <c r="I233" s="318">
        <v>0</v>
      </c>
      <c r="J233" s="318">
        <v>84.948860595734203</v>
      </c>
      <c r="K233" s="319">
        <v>20.786786186126101</v>
      </c>
      <c r="L233" s="319">
        <v>20.786786186126101</v>
      </c>
      <c r="M233" s="319">
        <f t="shared" si="3"/>
        <v>20.786786186126101</v>
      </c>
      <c r="N233" s="317">
        <v>0.67972797299495902</v>
      </c>
      <c r="O233" s="315" t="s">
        <v>1168</v>
      </c>
      <c r="P233" s="318">
        <v>171</v>
      </c>
      <c r="R233" s="320">
        <v>77.222222222222229</v>
      </c>
      <c r="S233" s="318">
        <v>42</v>
      </c>
      <c r="T233" s="318">
        <v>36.700000000000003</v>
      </c>
      <c r="U233" s="318">
        <v>213</v>
      </c>
      <c r="V233" s="315">
        <v>0.22</v>
      </c>
      <c r="W233" s="318">
        <v>236.02</v>
      </c>
      <c r="X233" s="315">
        <v>0</v>
      </c>
      <c r="Y233" s="315" t="s">
        <v>1149</v>
      </c>
      <c r="Z233" s="315">
        <v>0</v>
      </c>
      <c r="AA233" s="315" t="s">
        <v>1150</v>
      </c>
      <c r="AB233" s="315"/>
      <c r="AC233" s="315"/>
      <c r="AD233" s="315"/>
      <c r="AE233" s="315"/>
      <c r="AF233" s="315"/>
      <c r="AG233" s="315"/>
      <c r="AH233" s="315"/>
    </row>
    <row r="234" spans="1:34">
      <c r="A234" s="315" t="s">
        <v>1277</v>
      </c>
      <c r="B234" s="315" t="s">
        <v>663</v>
      </c>
      <c r="C234" s="316" t="s">
        <v>1853</v>
      </c>
      <c r="D234" s="316" t="s">
        <v>1853</v>
      </c>
      <c r="E234" s="317">
        <v>2.48</v>
      </c>
      <c r="F234" s="317">
        <v>0</v>
      </c>
      <c r="G234" s="317">
        <v>0</v>
      </c>
      <c r="H234" s="317">
        <v>0</v>
      </c>
      <c r="I234" s="318">
        <v>0</v>
      </c>
      <c r="J234" s="318">
        <v>71.391962154137204</v>
      </c>
      <c r="K234" s="319">
        <v>27.765307015313802</v>
      </c>
      <c r="L234" s="319">
        <v>27.765307015313802</v>
      </c>
      <c r="M234" s="319">
        <f t="shared" si="3"/>
        <v>27.765307015313802</v>
      </c>
      <c r="N234" s="317">
        <v>0.68857961397978229</v>
      </c>
      <c r="O234" s="315" t="s">
        <v>1168</v>
      </c>
      <c r="P234" s="318">
        <v>171</v>
      </c>
      <c r="R234" s="320">
        <v>77.222222222222229</v>
      </c>
      <c r="S234" s="318">
        <v>35</v>
      </c>
      <c r="T234" s="318">
        <v>47.66</v>
      </c>
      <c r="U234" s="318">
        <v>361</v>
      </c>
      <c r="V234" s="315">
        <v>0.21</v>
      </c>
      <c r="W234" s="318">
        <v>10</v>
      </c>
      <c r="X234" s="315">
        <v>0</v>
      </c>
      <c r="Y234" s="315" t="s">
        <v>1149</v>
      </c>
      <c r="Z234" s="315">
        <v>0</v>
      </c>
      <c r="AA234" s="315" t="s">
        <v>1150</v>
      </c>
      <c r="AB234" s="315"/>
      <c r="AC234" s="315"/>
      <c r="AD234" s="315"/>
      <c r="AE234" s="315"/>
      <c r="AF234" s="315"/>
      <c r="AG234" s="315"/>
      <c r="AH234" s="315"/>
    </row>
    <row r="235" spans="1:34">
      <c r="A235" s="315" t="s">
        <v>1334</v>
      </c>
      <c r="B235" s="315" t="s">
        <v>1916</v>
      </c>
      <c r="C235" s="316" t="s">
        <v>1942</v>
      </c>
      <c r="D235" s="316" t="s">
        <v>1942</v>
      </c>
      <c r="E235" s="317">
        <v>20.7</v>
      </c>
      <c r="F235" s="317">
        <v>6.7371999999999996</v>
      </c>
      <c r="G235" s="317">
        <v>6.7371999999999996</v>
      </c>
      <c r="H235" s="317">
        <v>6.7371999999999996</v>
      </c>
      <c r="I235" s="318">
        <v>32.546859903381645</v>
      </c>
      <c r="J235" s="318">
        <v>60.134762173715302</v>
      </c>
      <c r="K235" s="319">
        <v>37.245096689569898</v>
      </c>
      <c r="L235" s="319">
        <v>4.6982367861882537</v>
      </c>
      <c r="M235" s="319">
        <f t="shared" si="3"/>
        <v>4.6982367861882537</v>
      </c>
      <c r="N235" s="317">
        <v>0.97253501474096848</v>
      </c>
      <c r="O235" s="315" t="s">
        <v>1148</v>
      </c>
      <c r="P235" s="318">
        <v>171</v>
      </c>
      <c r="R235" s="320">
        <v>77.222222222222229</v>
      </c>
      <c r="S235" s="318">
        <v>38.200000000000003</v>
      </c>
      <c r="T235" s="318">
        <v>18.099090909090911</v>
      </c>
      <c r="U235" s="318">
        <v>6.875454545454545</v>
      </c>
      <c r="V235" s="315">
        <v>0.2</v>
      </c>
      <c r="W235" s="318">
        <v>343.65550000000002</v>
      </c>
      <c r="X235" s="315">
        <v>5</v>
      </c>
      <c r="Y235" s="315" t="s">
        <v>1149</v>
      </c>
      <c r="Z235" s="315">
        <v>0</v>
      </c>
      <c r="AA235" s="315" t="s">
        <v>1190</v>
      </c>
      <c r="AB235" s="315"/>
      <c r="AC235" s="315"/>
      <c r="AD235" s="315"/>
      <c r="AE235" s="315"/>
      <c r="AF235" s="315"/>
      <c r="AG235" s="315"/>
      <c r="AH235" s="315"/>
    </row>
    <row r="236" spans="1:34">
      <c r="B236" s="315" t="s">
        <v>663</v>
      </c>
      <c r="C236" s="316" t="s">
        <v>1854</v>
      </c>
      <c r="D236" s="316" t="s">
        <v>1854</v>
      </c>
      <c r="E236" s="317">
        <v>10.010000952930479</v>
      </c>
      <c r="F236" s="317">
        <v>2.9196542000000001</v>
      </c>
      <c r="G236" s="317">
        <v>2.9874668</v>
      </c>
      <c r="H236" s="317">
        <v>2.9874668</v>
      </c>
      <c r="I236" s="318">
        <v>29.844820335660444</v>
      </c>
      <c r="J236" s="318">
        <v>69.767287478676806</v>
      </c>
      <c r="K236" s="319">
        <v>32.160517394881197</v>
      </c>
      <c r="L236" s="319">
        <v>2.3156970592207529</v>
      </c>
      <c r="M236" s="319">
        <f t="shared" si="3"/>
        <v>2.3156970592207529</v>
      </c>
      <c r="N236" s="317">
        <v>0.23180129769498045</v>
      </c>
      <c r="O236" s="315" t="s">
        <v>1148</v>
      </c>
      <c r="P236" s="318">
        <v>171.33002825</v>
      </c>
      <c r="R236" s="320">
        <v>77.405571249999994</v>
      </c>
      <c r="S236" s="318">
        <v>32</v>
      </c>
      <c r="T236" s="318">
        <v>58.47</v>
      </c>
      <c r="U236" s="318">
        <v>410.125</v>
      </c>
      <c r="V236" s="315">
        <v>0.24</v>
      </c>
      <c r="W236" s="318">
        <v>53.43</v>
      </c>
      <c r="X236" s="315">
        <v>1</v>
      </c>
      <c r="Y236" s="315" t="s">
        <v>1149</v>
      </c>
      <c r="Z236" s="315">
        <v>0</v>
      </c>
      <c r="AA236" s="315" t="s">
        <v>1190</v>
      </c>
      <c r="AB236" s="315"/>
      <c r="AC236" s="315"/>
      <c r="AD236" s="315"/>
      <c r="AE236" s="315"/>
      <c r="AF236" s="315"/>
      <c r="AG236" s="315"/>
      <c r="AH236" s="315"/>
    </row>
    <row r="237" spans="1:34">
      <c r="A237" s="315" t="s">
        <v>1145</v>
      </c>
      <c r="B237" s="315" t="s">
        <v>663</v>
      </c>
      <c r="C237" s="316" t="s">
        <v>1855</v>
      </c>
      <c r="D237" s="316" t="s">
        <v>1855</v>
      </c>
      <c r="E237" s="317">
        <v>3.2600003103449913</v>
      </c>
      <c r="F237" s="317">
        <v>0.66169679999999997</v>
      </c>
      <c r="G237" s="317">
        <v>0.66357179999999993</v>
      </c>
      <c r="H237" s="317">
        <v>0.66357179999999993</v>
      </c>
      <c r="I237" s="318">
        <v>20.354961252435498</v>
      </c>
      <c r="J237" s="318">
        <v>79.473201806460096</v>
      </c>
      <c r="K237" s="319">
        <v>24.823773692645901</v>
      </c>
      <c r="L237" s="319">
        <v>4.468812440210403</v>
      </c>
      <c r="M237" s="319">
        <f t="shared" si="3"/>
        <v>4.468812440210403</v>
      </c>
      <c r="N237" s="317">
        <v>0.14568329941959474</v>
      </c>
      <c r="O237" s="315" t="s">
        <v>1148</v>
      </c>
      <c r="P237" s="318">
        <v>171.6136707</v>
      </c>
      <c r="R237" s="320">
        <v>77.5631503888889</v>
      </c>
      <c r="S237" s="318">
        <v>40</v>
      </c>
      <c r="T237" s="318">
        <v>31.11</v>
      </c>
      <c r="U237" s="318">
        <v>406.84399999999999</v>
      </c>
      <c r="V237" s="315">
        <v>0.23</v>
      </c>
      <c r="W237" s="318">
        <v>3.6259999999999999</v>
      </c>
      <c r="X237" s="315">
        <v>4</v>
      </c>
      <c r="Y237" s="315" t="s">
        <v>1149</v>
      </c>
      <c r="Z237" s="315">
        <v>0</v>
      </c>
      <c r="AA237" s="315" t="s">
        <v>1190</v>
      </c>
      <c r="AB237" s="315"/>
      <c r="AC237" s="315"/>
      <c r="AD237" s="315"/>
      <c r="AE237" s="315"/>
      <c r="AF237" s="315"/>
      <c r="AG237" s="315"/>
      <c r="AH237" s="315"/>
    </row>
    <row r="238" spans="1:34">
      <c r="A238" s="315" t="s">
        <v>1145</v>
      </c>
      <c r="B238" s="315" t="s">
        <v>1624</v>
      </c>
      <c r="C238" s="316" t="s">
        <v>1626</v>
      </c>
      <c r="D238" s="316" t="s">
        <v>1626</v>
      </c>
      <c r="E238" s="317">
        <v>2.9222593445830425</v>
      </c>
      <c r="F238" s="317">
        <v>1.3802057999999999</v>
      </c>
      <c r="G238" s="317">
        <v>1.3802057999999999</v>
      </c>
      <c r="H238" s="317">
        <v>1.3802057999999999</v>
      </c>
      <c r="I238" s="318">
        <v>47.230777191575108</v>
      </c>
      <c r="J238" s="318">
        <v>47.482761912781001</v>
      </c>
      <c r="K238" s="319">
        <v>45.091095087267902</v>
      </c>
      <c r="L238" s="319">
        <v>-2.1396821043072052</v>
      </c>
      <c r="M238" s="319">
        <f t="shared" si="3"/>
        <v>0</v>
      </c>
      <c r="N238" s="317">
        <v>0</v>
      </c>
      <c r="O238" s="315" t="s">
        <v>1148</v>
      </c>
      <c r="P238" s="318">
        <v>172.15200000000002</v>
      </c>
      <c r="R238" s="320">
        <v>77.862222222222229</v>
      </c>
      <c r="S238" s="318">
        <v>40</v>
      </c>
      <c r="T238" s="318">
        <v>31</v>
      </c>
      <c r="U238" s="318">
        <v>95</v>
      </c>
      <c r="V238" s="315">
        <v>0.25</v>
      </c>
      <c r="W238" s="318">
        <v>2000</v>
      </c>
      <c r="X238" s="315">
        <v>2</v>
      </c>
      <c r="Y238" s="315" t="s">
        <v>1149</v>
      </c>
      <c r="Z238" s="315">
        <v>0</v>
      </c>
      <c r="AA238" s="315" t="s">
        <v>1157</v>
      </c>
      <c r="AB238" s="315"/>
      <c r="AC238" s="315"/>
      <c r="AD238" s="315"/>
      <c r="AE238" s="315"/>
      <c r="AF238" s="315"/>
      <c r="AG238" s="315"/>
      <c r="AH238" s="315"/>
    </row>
    <row r="239" spans="1:34">
      <c r="A239" s="315" t="s">
        <v>1145</v>
      </c>
      <c r="B239" s="315" t="s">
        <v>663</v>
      </c>
      <c r="C239" s="316" t="s">
        <v>1856</v>
      </c>
      <c r="D239" s="316" t="s">
        <v>1856</v>
      </c>
      <c r="E239" s="317">
        <v>4.3800004169665829</v>
      </c>
      <c r="F239" s="317">
        <v>0.79396960000000005</v>
      </c>
      <c r="G239" s="317">
        <v>0.7962612</v>
      </c>
      <c r="H239" s="317">
        <v>0.7962612</v>
      </c>
      <c r="I239" s="318">
        <v>18.179477721407604</v>
      </c>
      <c r="J239" s="318">
        <v>80.657799651637106</v>
      </c>
      <c r="K239" s="319">
        <v>24.175096901381298</v>
      </c>
      <c r="L239" s="319">
        <v>5.9956191799736942</v>
      </c>
      <c r="M239" s="319">
        <f t="shared" si="3"/>
        <v>5.9956191799736942</v>
      </c>
      <c r="N239" s="317">
        <v>0.26260814508257624</v>
      </c>
      <c r="O239" s="315" t="s">
        <v>1148</v>
      </c>
      <c r="P239" s="318">
        <v>172.62667944999998</v>
      </c>
      <c r="R239" s="320">
        <v>78.125933027777762</v>
      </c>
      <c r="S239" s="318">
        <v>40</v>
      </c>
      <c r="T239" s="318">
        <v>41.91</v>
      </c>
      <c r="U239" s="318">
        <v>324.81900000000002</v>
      </c>
      <c r="V239" s="315">
        <v>0.24</v>
      </c>
      <c r="W239" s="318">
        <v>4.2480000000000002</v>
      </c>
      <c r="X239" s="315">
        <v>3</v>
      </c>
      <c r="Y239" s="315" t="s">
        <v>1149</v>
      </c>
      <c r="Z239" s="315">
        <v>0</v>
      </c>
      <c r="AA239" s="315" t="s">
        <v>1190</v>
      </c>
      <c r="AB239" s="315"/>
      <c r="AC239" s="315"/>
      <c r="AD239" s="315"/>
      <c r="AE239" s="315"/>
      <c r="AF239" s="315"/>
      <c r="AG239" s="315"/>
      <c r="AH239" s="315"/>
    </row>
    <row r="240" spans="1:34">
      <c r="A240" s="315" t="s">
        <v>1145</v>
      </c>
      <c r="B240" s="315" t="s">
        <v>663</v>
      </c>
      <c r="C240" s="316" t="s">
        <v>1857</v>
      </c>
      <c r="D240" s="316" t="s">
        <v>1857</v>
      </c>
      <c r="E240" s="317">
        <v>22.510002142903609</v>
      </c>
      <c r="F240" s="317">
        <v>5.4414958000000002</v>
      </c>
      <c r="G240" s="317">
        <v>5.4758686000000001</v>
      </c>
      <c r="H240" s="317">
        <v>5.4758686000000001</v>
      </c>
      <c r="I240" s="318">
        <v>24.326379736602092</v>
      </c>
      <c r="J240" s="318">
        <v>70.567639051808499</v>
      </c>
      <c r="K240" s="319">
        <v>36.471538143163897</v>
      </c>
      <c r="L240" s="319">
        <v>12.145158406561805</v>
      </c>
      <c r="M240" s="319">
        <f t="shared" si="3"/>
        <v>12.145158406561805</v>
      </c>
      <c r="N240" s="317">
        <v>2.7338754175761002</v>
      </c>
      <c r="O240" s="315" t="s">
        <v>1148</v>
      </c>
      <c r="P240" s="318">
        <v>172.69409809999999</v>
      </c>
      <c r="R240" s="320">
        <v>78.163387833333331</v>
      </c>
      <c r="S240" s="318">
        <v>44</v>
      </c>
      <c r="T240" s="318">
        <v>12</v>
      </c>
      <c r="U240" s="318">
        <v>317</v>
      </c>
      <c r="V240" s="315">
        <v>0.212673</v>
      </c>
      <c r="W240" s="318">
        <v>530.76179999999999</v>
      </c>
      <c r="X240" s="315">
        <v>0</v>
      </c>
      <c r="Y240" s="315" t="s">
        <v>1149</v>
      </c>
      <c r="Z240" s="315">
        <v>0</v>
      </c>
      <c r="AA240" s="315" t="s">
        <v>1190</v>
      </c>
      <c r="AB240" s="315"/>
      <c r="AC240" s="315"/>
      <c r="AD240" s="315"/>
      <c r="AE240" s="315"/>
      <c r="AF240" s="315"/>
      <c r="AG240" s="315"/>
      <c r="AH240" s="315"/>
    </row>
    <row r="241" spans="1:27" s="315" customFormat="1">
      <c r="A241" s="315" t="s">
        <v>1145</v>
      </c>
      <c r="B241" s="315" t="s">
        <v>1066</v>
      </c>
      <c r="C241" s="316" t="s">
        <v>1278</v>
      </c>
      <c r="D241" s="316" t="s">
        <v>1279</v>
      </c>
      <c r="E241" s="317">
        <v>5.45</v>
      </c>
      <c r="F241" s="317">
        <v>2.1378590000000002</v>
      </c>
      <c r="G241" s="317">
        <v>2.3307408000000001</v>
      </c>
      <c r="H241" s="317">
        <v>2.9013264000000003</v>
      </c>
      <c r="I241" s="318">
        <v>53.235346788990832</v>
      </c>
      <c r="J241" s="318">
        <v>64.316322051132104</v>
      </c>
      <c r="K241" s="319">
        <v>35.733663706523899</v>
      </c>
      <c r="L241" s="319">
        <v>-17.501683082466933</v>
      </c>
      <c r="M241" s="319">
        <f t="shared" si="3"/>
        <v>0</v>
      </c>
      <c r="N241" s="317">
        <v>0</v>
      </c>
      <c r="O241" s="315" t="s">
        <v>1148</v>
      </c>
      <c r="P241" s="318">
        <v>173.1</v>
      </c>
      <c r="R241" s="320">
        <v>78.388888888888886</v>
      </c>
      <c r="S241" s="318">
        <v>40</v>
      </c>
      <c r="T241" s="318">
        <v>157.9</v>
      </c>
      <c r="U241" s="318">
        <v>309</v>
      </c>
      <c r="V241" s="315">
        <v>0.22</v>
      </c>
      <c r="W241" s="318">
        <v>51.7</v>
      </c>
      <c r="X241" s="315">
        <v>0</v>
      </c>
      <c r="Y241" s="315" t="s">
        <v>1149</v>
      </c>
      <c r="Z241" s="315">
        <v>0</v>
      </c>
      <c r="AA241" s="315" t="s">
        <v>1190</v>
      </c>
    </row>
    <row r="242" spans="1:27" s="315" customFormat="1">
      <c r="A242" s="315" t="s">
        <v>1145</v>
      </c>
      <c r="B242" s="315" t="s">
        <v>1066</v>
      </c>
      <c r="C242" s="316" t="s">
        <v>1280</v>
      </c>
      <c r="D242" s="316" t="s">
        <v>1281</v>
      </c>
      <c r="E242" s="317">
        <v>2.2999999999999998</v>
      </c>
      <c r="F242" s="317">
        <v>0</v>
      </c>
      <c r="G242" s="317">
        <v>0</v>
      </c>
      <c r="H242" s="317">
        <v>0</v>
      </c>
      <c r="I242" s="318">
        <v>0</v>
      </c>
      <c r="J242" s="318">
        <v>63.0699599604729</v>
      </c>
      <c r="K242" s="319">
        <v>35.970703379863899</v>
      </c>
      <c r="L242" s="319">
        <v>35.970703379863899</v>
      </c>
      <c r="M242" s="319">
        <f t="shared" si="3"/>
        <v>35.970703379863899</v>
      </c>
      <c r="N242" s="317">
        <v>0.82732617773686967</v>
      </c>
      <c r="O242" s="315" t="s">
        <v>1168</v>
      </c>
      <c r="P242" s="318">
        <v>173.3</v>
      </c>
      <c r="R242" s="320">
        <v>78.5</v>
      </c>
      <c r="S242" s="318">
        <v>40</v>
      </c>
      <c r="T242" s="318">
        <v>84.27</v>
      </c>
      <c r="U242" s="318">
        <v>84.27</v>
      </c>
      <c r="V242" s="315">
        <v>0.189</v>
      </c>
      <c r="W242" s="318">
        <v>29.9</v>
      </c>
      <c r="X242" s="315">
        <v>0</v>
      </c>
      <c r="Y242" s="315" t="s">
        <v>1149</v>
      </c>
      <c r="Z242" s="315">
        <v>0</v>
      </c>
      <c r="AA242" s="315" t="s">
        <v>1157</v>
      </c>
    </row>
    <row r="243" spans="1:27" s="315" customFormat="1">
      <c r="A243" s="315" t="s">
        <v>1145</v>
      </c>
      <c r="B243" s="315" t="s">
        <v>663</v>
      </c>
      <c r="C243" s="316" t="s">
        <v>1858</v>
      </c>
      <c r="D243" s="316" t="s">
        <v>1858</v>
      </c>
      <c r="E243" s="317">
        <v>1.3600001294690762</v>
      </c>
      <c r="F243" s="317">
        <v>0</v>
      </c>
      <c r="G243" s="317">
        <v>0</v>
      </c>
      <c r="H243" s="317">
        <v>0</v>
      </c>
      <c r="I243" s="318">
        <v>0</v>
      </c>
      <c r="J243" s="318">
        <v>61.824336703963297</v>
      </c>
      <c r="K243" s="319">
        <v>30.7970669303111</v>
      </c>
      <c r="L243" s="319">
        <v>30.7970669303111</v>
      </c>
      <c r="M243" s="319">
        <f t="shared" si="3"/>
        <v>30.7970669303111</v>
      </c>
      <c r="N243" s="317">
        <v>0.41884015012490905</v>
      </c>
      <c r="O243" s="315" t="s">
        <v>1168</v>
      </c>
      <c r="P243" s="318">
        <v>173.31552540000001</v>
      </c>
      <c r="R243" s="320">
        <v>78.508625222222236</v>
      </c>
      <c r="S243" s="318">
        <v>40</v>
      </c>
      <c r="T243" s="318">
        <v>32.200000000000003</v>
      </c>
      <c r="U243" s="318">
        <v>393.72</v>
      </c>
      <c r="V243" s="315">
        <v>0.17499999999999999</v>
      </c>
      <c r="W243" s="318">
        <v>10</v>
      </c>
      <c r="X243" s="315">
        <v>0</v>
      </c>
      <c r="Y243" s="315" t="s">
        <v>1149</v>
      </c>
      <c r="Z243" s="315">
        <v>0</v>
      </c>
      <c r="AA243" s="315" t="s">
        <v>1190</v>
      </c>
    </row>
    <row r="244" spans="1:27" s="315" customFormat="1">
      <c r="A244" s="315" t="s">
        <v>1145</v>
      </c>
      <c r="B244" s="315" t="s">
        <v>1066</v>
      </c>
      <c r="C244" s="316" t="s">
        <v>1282</v>
      </c>
      <c r="D244" s="316" t="s">
        <v>1283</v>
      </c>
      <c r="E244" s="317">
        <v>7.21</v>
      </c>
      <c r="F244" s="317">
        <v>0.24759030000000001</v>
      </c>
      <c r="G244" s="317">
        <v>0.72497790000000006</v>
      </c>
      <c r="H244" s="317">
        <v>1.4636879999999999</v>
      </c>
      <c r="I244" s="318">
        <v>20.300804438280164</v>
      </c>
      <c r="J244" s="318">
        <v>69.572816860654399</v>
      </c>
      <c r="K244" s="319">
        <v>34.510048012481398</v>
      </c>
      <c r="L244" s="319">
        <v>14.209243574201235</v>
      </c>
      <c r="M244" s="319">
        <f t="shared" si="3"/>
        <v>14.209243574201235</v>
      </c>
      <c r="N244" s="317">
        <v>1.0244864616999092</v>
      </c>
      <c r="O244" s="315" t="s">
        <v>1148</v>
      </c>
      <c r="P244" s="318">
        <v>173.7</v>
      </c>
      <c r="R244" s="320">
        <v>78.722222222222229</v>
      </c>
      <c r="S244" s="318">
        <v>40</v>
      </c>
      <c r="T244" s="318">
        <v>84.1</v>
      </c>
      <c r="U244" s="318">
        <v>318</v>
      </c>
      <c r="V244" s="315">
        <v>0.19</v>
      </c>
      <c r="W244" s="318">
        <v>23.1</v>
      </c>
      <c r="X244" s="315">
        <v>2</v>
      </c>
      <c r="Y244" s="315" t="s">
        <v>1149</v>
      </c>
      <c r="Z244" s="315">
        <v>0</v>
      </c>
      <c r="AA244" s="315" t="s">
        <v>1190</v>
      </c>
    </row>
    <row r="245" spans="1:27" s="315" customFormat="1">
      <c r="A245" s="315" t="s">
        <v>1209</v>
      </c>
      <c r="B245" s="315" t="s">
        <v>1066</v>
      </c>
      <c r="C245" s="316" t="s">
        <v>1284</v>
      </c>
      <c r="D245" s="316" t="s">
        <v>1285</v>
      </c>
      <c r="E245" s="317">
        <v>23.55</v>
      </c>
      <c r="F245" s="317">
        <v>3.9698549000000001</v>
      </c>
      <c r="G245" s="317">
        <v>5.1206897000000007</v>
      </c>
      <c r="H245" s="317">
        <v>5.2864673000000009</v>
      </c>
      <c r="I245" s="318">
        <v>22.447844161358816</v>
      </c>
      <c r="J245" s="318">
        <v>65.780394725376098</v>
      </c>
      <c r="K245" s="319">
        <v>37.2916767240635</v>
      </c>
      <c r="L245" s="319">
        <v>14.843832562704684</v>
      </c>
      <c r="M245" s="319">
        <f t="shared" si="3"/>
        <v>14.843832562704684</v>
      </c>
      <c r="N245" s="317">
        <v>3.4957225685169533</v>
      </c>
      <c r="O245" s="315" t="s">
        <v>1148</v>
      </c>
      <c r="P245" s="318">
        <v>174</v>
      </c>
      <c r="R245" s="320">
        <v>78.888888888888886</v>
      </c>
      <c r="S245" s="318">
        <v>40</v>
      </c>
      <c r="T245" s="318">
        <v>203.5</v>
      </c>
      <c r="U245" s="318">
        <v>346</v>
      </c>
      <c r="V245" s="315">
        <v>0.21</v>
      </c>
      <c r="W245" s="318">
        <v>182.1</v>
      </c>
      <c r="X245" s="315">
        <v>9</v>
      </c>
      <c r="Y245" s="315" t="s">
        <v>1149</v>
      </c>
      <c r="Z245" s="315">
        <v>0</v>
      </c>
      <c r="AA245" s="315" t="s">
        <v>1190</v>
      </c>
    </row>
    <row r="246" spans="1:27" s="315" customFormat="1">
      <c r="A246" s="315" t="s">
        <v>1145</v>
      </c>
      <c r="B246" s="315" t="s">
        <v>663</v>
      </c>
      <c r="C246" s="316" t="s">
        <v>1859</v>
      </c>
      <c r="D246" s="316" t="s">
        <v>1859</v>
      </c>
      <c r="E246" s="317">
        <v>1.6700001589804097</v>
      </c>
      <c r="F246" s="317">
        <v>0</v>
      </c>
      <c r="G246" s="317">
        <v>0</v>
      </c>
      <c r="H246" s="317">
        <v>0</v>
      </c>
      <c r="I246" s="318">
        <v>0</v>
      </c>
      <c r="J246" s="318">
        <v>61.7251408318374</v>
      </c>
      <c r="K246" s="319">
        <v>30.8904768484397</v>
      </c>
      <c r="L246" s="319">
        <v>30.8904768484397</v>
      </c>
      <c r="M246" s="319">
        <f t="shared" si="3"/>
        <v>30.8904768484397</v>
      </c>
      <c r="N246" s="317">
        <v>0.51587101247874967</v>
      </c>
      <c r="O246" s="315" t="s">
        <v>1168</v>
      </c>
      <c r="P246" s="318">
        <v>174.04489169999999</v>
      </c>
      <c r="R246" s="320">
        <v>78.91382872222222</v>
      </c>
      <c r="S246" s="318">
        <v>40</v>
      </c>
      <c r="T246" s="318">
        <v>43.6</v>
      </c>
      <c r="U246" s="318">
        <v>334.66200000000003</v>
      </c>
      <c r="V246" s="315">
        <v>0.2</v>
      </c>
      <c r="W246" s="318">
        <v>13.81</v>
      </c>
      <c r="X246" s="315">
        <v>0</v>
      </c>
      <c r="Y246" s="315" t="s">
        <v>1149</v>
      </c>
      <c r="Z246" s="315">
        <v>0</v>
      </c>
      <c r="AA246" s="315" t="s">
        <v>1190</v>
      </c>
    </row>
    <row r="247" spans="1:27" s="315" customFormat="1">
      <c r="A247" s="315" t="s">
        <v>1145</v>
      </c>
      <c r="B247" s="315" t="s">
        <v>1066</v>
      </c>
      <c r="C247" s="316" t="s">
        <v>1286</v>
      </c>
      <c r="D247" s="316" t="s">
        <v>1287</v>
      </c>
      <c r="E247" s="317">
        <v>3.81</v>
      </c>
      <c r="F247" s="317">
        <v>0.99607590000000001</v>
      </c>
      <c r="G247" s="317">
        <v>1.5101673</v>
      </c>
      <c r="H247" s="317">
        <v>1.5517487999999999</v>
      </c>
      <c r="I247" s="318">
        <v>40.728314960629916</v>
      </c>
      <c r="J247" s="318">
        <v>71.294614748497395</v>
      </c>
      <c r="K247" s="319">
        <v>33.557594415488204</v>
      </c>
      <c r="L247" s="319">
        <v>-7.1707205451417124</v>
      </c>
      <c r="M247" s="319">
        <f t="shared" si="3"/>
        <v>0</v>
      </c>
      <c r="N247" s="317">
        <v>0</v>
      </c>
      <c r="O247" s="315" t="s">
        <v>1148</v>
      </c>
      <c r="P247" s="318">
        <v>174.3</v>
      </c>
      <c r="R247" s="320">
        <v>79.055555555555557</v>
      </c>
      <c r="S247" s="318">
        <v>40</v>
      </c>
      <c r="T247" s="318">
        <v>188.3</v>
      </c>
      <c r="U247" s="318">
        <v>200</v>
      </c>
      <c r="V247" s="315">
        <v>0.19</v>
      </c>
      <c r="W247" s="318">
        <v>36.9</v>
      </c>
      <c r="X247" s="315">
        <v>2</v>
      </c>
      <c r="Y247" s="315" t="s">
        <v>1149</v>
      </c>
      <c r="Z247" s="315">
        <v>0</v>
      </c>
      <c r="AA247" s="315" t="s">
        <v>1190</v>
      </c>
    </row>
    <row r="248" spans="1:27" s="315" customFormat="1">
      <c r="A248" s="315" t="s">
        <v>1209</v>
      </c>
      <c r="B248" s="315" t="s">
        <v>1066</v>
      </c>
      <c r="C248" s="316" t="s">
        <v>1288</v>
      </c>
      <c r="D248" s="316" t="s">
        <v>1289</v>
      </c>
      <c r="E248" s="317">
        <v>20.65</v>
      </c>
      <c r="F248" s="317">
        <v>0.52637820000000002</v>
      </c>
      <c r="G248" s="317">
        <v>0.57386910000000002</v>
      </c>
      <c r="H248" s="317">
        <v>4.5646313000000003</v>
      </c>
      <c r="I248" s="318">
        <v>22.104752058111384</v>
      </c>
      <c r="J248" s="318">
        <v>63.547597597929403</v>
      </c>
      <c r="K248" s="319">
        <v>38.214945731787296</v>
      </c>
      <c r="L248" s="319">
        <v>16.110193673675912</v>
      </c>
      <c r="M248" s="319">
        <f t="shared" si="3"/>
        <v>16.110193673675912</v>
      </c>
      <c r="N248" s="317">
        <v>3.3267549936140757</v>
      </c>
      <c r="O248" s="315" t="s">
        <v>1148</v>
      </c>
      <c r="P248" s="318">
        <v>175</v>
      </c>
      <c r="R248" s="320">
        <v>79.444444444444443</v>
      </c>
      <c r="S248" s="318">
        <v>40</v>
      </c>
      <c r="T248" s="318">
        <v>352.9</v>
      </c>
      <c r="U248" s="318">
        <v>704</v>
      </c>
      <c r="V248" s="315">
        <v>0.17</v>
      </c>
      <c r="W248" s="318">
        <v>88.1</v>
      </c>
      <c r="X248" s="315">
        <v>4</v>
      </c>
      <c r="Y248" s="315" t="s">
        <v>1149</v>
      </c>
      <c r="Z248" s="315">
        <v>0</v>
      </c>
      <c r="AA248" s="315" t="s">
        <v>1190</v>
      </c>
    </row>
    <row r="249" spans="1:27" s="315" customFormat="1">
      <c r="A249" s="315" t="s">
        <v>1145</v>
      </c>
      <c r="B249" s="315" t="s">
        <v>663</v>
      </c>
      <c r="C249" s="316" t="s">
        <v>1860</v>
      </c>
      <c r="D249" s="316" t="s">
        <v>1860</v>
      </c>
      <c r="E249" s="317">
        <v>5.0300004788451869</v>
      </c>
      <c r="F249" s="317">
        <v>0</v>
      </c>
      <c r="G249" s="317">
        <v>0</v>
      </c>
      <c r="H249" s="317">
        <v>0</v>
      </c>
      <c r="I249" s="318">
        <v>0</v>
      </c>
      <c r="J249" s="318">
        <v>52.572885872232703</v>
      </c>
      <c r="K249" s="319">
        <v>32.215198762749999</v>
      </c>
      <c r="L249" s="319">
        <v>32.215198762749999</v>
      </c>
      <c r="M249" s="319">
        <f t="shared" si="3"/>
        <v>32.215198762749999</v>
      </c>
      <c r="N249" s="317">
        <v>1.6204246520272536</v>
      </c>
      <c r="O249" s="315" t="s">
        <v>1168</v>
      </c>
      <c r="P249" s="318">
        <v>175</v>
      </c>
      <c r="R249" s="320">
        <v>79.444444444444443</v>
      </c>
      <c r="S249" s="318">
        <v>42</v>
      </c>
      <c r="T249" s="318">
        <v>59</v>
      </c>
      <c r="U249" s="318">
        <v>449.49700000000001</v>
      </c>
      <c r="V249" s="315">
        <v>0.21</v>
      </c>
      <c r="W249" s="318">
        <v>35</v>
      </c>
      <c r="X249" s="315">
        <v>0</v>
      </c>
      <c r="Y249" s="315" t="s">
        <v>1149</v>
      </c>
      <c r="Z249" s="315">
        <v>0</v>
      </c>
      <c r="AA249" s="315" t="s">
        <v>1190</v>
      </c>
    </row>
    <row r="250" spans="1:27" s="315" customFormat="1">
      <c r="A250" s="315" t="s">
        <v>1277</v>
      </c>
      <c r="B250" s="315" t="s">
        <v>663</v>
      </c>
      <c r="C250" s="316" t="s">
        <v>1861</v>
      </c>
      <c r="D250" s="316" t="s">
        <v>1861</v>
      </c>
      <c r="E250" s="317">
        <v>4.5199999999999996</v>
      </c>
      <c r="F250" s="317">
        <v>0</v>
      </c>
      <c r="G250" s="317">
        <v>0</v>
      </c>
      <c r="H250" s="317">
        <v>0</v>
      </c>
      <c r="I250" s="318">
        <v>0</v>
      </c>
      <c r="J250" s="318">
        <v>72.339509166573905</v>
      </c>
      <c r="K250" s="319">
        <v>26.719172012499698</v>
      </c>
      <c r="L250" s="319">
        <v>26.719172012499698</v>
      </c>
      <c r="M250" s="319">
        <f t="shared" si="3"/>
        <v>26.719172012499698</v>
      </c>
      <c r="N250" s="317">
        <v>1.2077065749649862</v>
      </c>
      <c r="O250" s="315" t="s">
        <v>1168</v>
      </c>
      <c r="P250" s="318">
        <v>175</v>
      </c>
      <c r="R250" s="320">
        <v>79.444444444444443</v>
      </c>
      <c r="S250" s="318">
        <v>34</v>
      </c>
      <c r="T250" s="318">
        <v>31.63</v>
      </c>
      <c r="U250" s="318">
        <v>584</v>
      </c>
      <c r="V250" s="315">
        <v>0.21</v>
      </c>
      <c r="W250" s="318">
        <v>10</v>
      </c>
      <c r="X250" s="315">
        <v>0</v>
      </c>
      <c r="Y250" s="315" t="s">
        <v>1149</v>
      </c>
      <c r="Z250" s="315">
        <v>0</v>
      </c>
      <c r="AA250" s="315" t="s">
        <v>1150</v>
      </c>
    </row>
    <row r="251" spans="1:27" s="315" customFormat="1">
      <c r="A251" s="315" t="s">
        <v>1239</v>
      </c>
      <c r="B251" s="315" t="s">
        <v>1066</v>
      </c>
      <c r="C251" s="316" t="s">
        <v>1290</v>
      </c>
      <c r="D251" s="316" t="s">
        <v>1291</v>
      </c>
      <c r="E251" s="317">
        <v>9.6999999999999993</v>
      </c>
      <c r="F251" s="317">
        <v>0</v>
      </c>
      <c r="G251" s="317">
        <v>0</v>
      </c>
      <c r="H251" s="317">
        <v>3.3073123</v>
      </c>
      <c r="I251" s="318">
        <v>34.096003092783505</v>
      </c>
      <c r="J251" s="318">
        <v>59.328548526251701</v>
      </c>
      <c r="K251" s="319">
        <v>38.606968631181097</v>
      </c>
      <c r="L251" s="319">
        <v>4.510965538397592</v>
      </c>
      <c r="M251" s="319">
        <f t="shared" si="3"/>
        <v>4.510965538397592</v>
      </c>
      <c r="N251" s="317">
        <v>0.43756365722456636</v>
      </c>
      <c r="O251" s="315" t="s">
        <v>1168</v>
      </c>
      <c r="P251" s="318">
        <v>175.13200000000001</v>
      </c>
      <c r="R251" s="320">
        <v>79.517777777777781</v>
      </c>
      <c r="S251" s="318">
        <v>40</v>
      </c>
      <c r="T251" s="318">
        <v>31</v>
      </c>
      <c r="U251" s="318">
        <v>31</v>
      </c>
      <c r="V251" s="315">
        <v>0.18</v>
      </c>
      <c r="W251" s="318">
        <v>136.4</v>
      </c>
      <c r="X251" s="315">
        <v>1</v>
      </c>
      <c r="Y251" s="315" t="s">
        <v>1149</v>
      </c>
      <c r="Z251" s="315">
        <v>0</v>
      </c>
      <c r="AA251" s="315" t="s">
        <v>1157</v>
      </c>
    </row>
    <row r="252" spans="1:27" s="315" customFormat="1">
      <c r="A252" s="315" t="s">
        <v>1145</v>
      </c>
      <c r="B252" s="315" t="s">
        <v>1753</v>
      </c>
      <c r="C252" s="316" t="s">
        <v>1759</v>
      </c>
      <c r="D252" s="316" t="s">
        <v>1759</v>
      </c>
      <c r="E252" s="317">
        <v>17.302835265542946</v>
      </c>
      <c r="F252" s="317">
        <v>0.57899999999999996</v>
      </c>
      <c r="G252" s="317">
        <v>0.57899999999999996</v>
      </c>
      <c r="H252" s="317">
        <v>0.57899999999999996</v>
      </c>
      <c r="I252" s="318">
        <v>3.3462723947503958</v>
      </c>
      <c r="J252" s="318">
        <v>57.152914868742499</v>
      </c>
      <c r="K252" s="319">
        <v>36.948212443431999</v>
      </c>
      <c r="L252" s="319">
        <v>33.601940048681605</v>
      </c>
      <c r="M252" s="319">
        <f t="shared" si="3"/>
        <v>33.601940048681605</v>
      </c>
      <c r="N252" s="317">
        <v>5.8140883326498791</v>
      </c>
      <c r="O252" s="315" t="s">
        <v>1148</v>
      </c>
      <c r="P252" s="318">
        <v>175.51249999999999</v>
      </c>
      <c r="R252" s="320">
        <v>79.729166666666671</v>
      </c>
      <c r="S252" s="318">
        <v>31</v>
      </c>
      <c r="T252" s="318">
        <v>70</v>
      </c>
      <c r="U252" s="318">
        <v>39</v>
      </c>
      <c r="V252" s="315">
        <v>0.19</v>
      </c>
      <c r="W252" s="318">
        <v>300</v>
      </c>
      <c r="X252" s="315">
        <v>3</v>
      </c>
      <c r="Y252" s="315" t="s">
        <v>1149</v>
      </c>
      <c r="Z252" s="315">
        <v>0</v>
      </c>
      <c r="AA252" s="315" t="s">
        <v>1190</v>
      </c>
    </row>
    <row r="253" spans="1:27" s="315" customFormat="1">
      <c r="A253" s="315" t="s">
        <v>1552</v>
      </c>
      <c r="B253" s="315" t="s">
        <v>1970</v>
      </c>
      <c r="C253" s="316" t="s">
        <v>1990</v>
      </c>
      <c r="D253" s="316" t="s">
        <v>1990</v>
      </c>
      <c r="E253" s="317">
        <v>14.343</v>
      </c>
      <c r="F253" s="317">
        <v>0.32159929999999998</v>
      </c>
      <c r="G253" s="317">
        <v>0.49011319999999997</v>
      </c>
      <c r="H253" s="317">
        <v>2.7192271000000003</v>
      </c>
      <c r="I253" s="318">
        <v>18.958565850937742</v>
      </c>
      <c r="J253" s="318">
        <v>57.380362574379397</v>
      </c>
      <c r="K253" s="319">
        <v>35.173230104844301</v>
      </c>
      <c r="L253" s="319">
        <v>16.214664253906559</v>
      </c>
      <c r="M253" s="319">
        <f t="shared" si="3"/>
        <v>16.214664253906559</v>
      </c>
      <c r="N253" s="317">
        <v>2.3256692939378176</v>
      </c>
      <c r="O253" s="315" t="s">
        <v>1148</v>
      </c>
      <c r="P253" s="318">
        <v>176</v>
      </c>
      <c r="R253" s="320">
        <v>80</v>
      </c>
      <c r="S253" s="318">
        <v>32</v>
      </c>
      <c r="T253" s="318">
        <v>40</v>
      </c>
      <c r="U253" s="318">
        <v>82</v>
      </c>
      <c r="V253" s="315">
        <v>0.21</v>
      </c>
      <c r="W253" s="318">
        <v>1168</v>
      </c>
      <c r="X253" s="315">
        <v>4</v>
      </c>
      <c r="Y253" s="315" t="s">
        <v>1149</v>
      </c>
      <c r="Z253" s="315">
        <v>0</v>
      </c>
      <c r="AA253" s="315" t="s">
        <v>1150</v>
      </c>
    </row>
    <row r="254" spans="1:27" s="315" customFormat="1">
      <c r="A254" s="315" t="s">
        <v>1145</v>
      </c>
      <c r="B254" s="315" t="s">
        <v>663</v>
      </c>
      <c r="C254" s="316" t="s">
        <v>1862</v>
      </c>
      <c r="D254" s="316" t="s">
        <v>1862</v>
      </c>
      <c r="E254" s="317">
        <v>2.290000218003077</v>
      </c>
      <c r="F254" s="317">
        <v>0.34194790000000003</v>
      </c>
      <c r="G254" s="317">
        <v>0.35331420000000002</v>
      </c>
      <c r="H254" s="317">
        <v>0.35331420000000002</v>
      </c>
      <c r="I254" s="318">
        <v>15.428566216823187</v>
      </c>
      <c r="J254" s="318">
        <v>87.917907973063294</v>
      </c>
      <c r="K254" s="319">
        <v>18.817265671249299</v>
      </c>
      <c r="L254" s="319">
        <v>3.3886994544261118</v>
      </c>
      <c r="M254" s="319">
        <f t="shared" si="3"/>
        <v>3.3886994544261118</v>
      </c>
      <c r="N254" s="317">
        <v>7.7601224893827037E-2</v>
      </c>
      <c r="O254" s="315" t="s">
        <v>1148</v>
      </c>
      <c r="P254" s="318">
        <v>176</v>
      </c>
      <c r="R254" s="320">
        <v>80</v>
      </c>
      <c r="S254" s="318">
        <v>40</v>
      </c>
      <c r="T254" s="318">
        <v>20.84</v>
      </c>
      <c r="U254" s="318">
        <v>249.35600000000002</v>
      </c>
      <c r="V254" s="315">
        <v>0.2</v>
      </c>
      <c r="W254" s="318">
        <v>10</v>
      </c>
      <c r="X254" s="315">
        <v>1</v>
      </c>
      <c r="Y254" s="315" t="s">
        <v>1149</v>
      </c>
      <c r="Z254" s="315">
        <v>0</v>
      </c>
      <c r="AA254" s="315" t="s">
        <v>1190</v>
      </c>
    </row>
    <row r="255" spans="1:27" s="315" customFormat="1">
      <c r="A255" s="315" t="s">
        <v>1145</v>
      </c>
      <c r="B255" s="315" t="s">
        <v>663</v>
      </c>
      <c r="C255" s="316" t="s">
        <v>1863</v>
      </c>
      <c r="D255" s="316" t="s">
        <v>1863</v>
      </c>
      <c r="E255" s="317">
        <v>31.630003011108002</v>
      </c>
      <c r="F255" s="317">
        <v>0</v>
      </c>
      <c r="G255" s="317">
        <v>0</v>
      </c>
      <c r="H255" s="317">
        <v>0</v>
      </c>
      <c r="I255" s="318">
        <v>0</v>
      </c>
      <c r="J255" s="318">
        <v>58.6918039752154</v>
      </c>
      <c r="K255" s="319">
        <v>41.982402717567901</v>
      </c>
      <c r="L255" s="319">
        <v>41.982402717567901</v>
      </c>
      <c r="M255" s="319">
        <f t="shared" si="3"/>
        <v>41.982402717567901</v>
      </c>
      <c r="N255" s="317">
        <v>13.279035243702214</v>
      </c>
      <c r="O255" s="315" t="s">
        <v>1168</v>
      </c>
      <c r="P255" s="318">
        <v>176.21575000000001</v>
      </c>
      <c r="R255" s="320">
        <v>80.119861111111121</v>
      </c>
      <c r="S255" s="318">
        <v>46</v>
      </c>
      <c r="T255" s="318">
        <v>17</v>
      </c>
      <c r="U255" s="318">
        <v>429</v>
      </c>
      <c r="V255" s="315">
        <v>0.21274299999999999</v>
      </c>
      <c r="W255" s="318">
        <v>530.82299999999998</v>
      </c>
      <c r="X255" s="315">
        <v>0</v>
      </c>
      <c r="Y255" s="315" t="s">
        <v>1149</v>
      </c>
      <c r="Z255" s="315">
        <v>0</v>
      </c>
      <c r="AA255" s="315" t="s">
        <v>1157</v>
      </c>
    </row>
    <row r="256" spans="1:27" s="315" customFormat="1">
      <c r="A256" s="315" t="s">
        <v>1158</v>
      </c>
      <c r="B256" s="315" t="s">
        <v>1659</v>
      </c>
      <c r="C256" s="316" t="s">
        <v>1667</v>
      </c>
      <c r="D256" s="316" t="s">
        <v>1667</v>
      </c>
      <c r="E256" s="317">
        <v>10.36</v>
      </c>
      <c r="F256" s="317">
        <v>0</v>
      </c>
      <c r="G256" s="317">
        <v>0</v>
      </c>
      <c r="H256" s="317">
        <v>0</v>
      </c>
      <c r="I256" s="318">
        <v>0</v>
      </c>
      <c r="J256" s="318">
        <v>51.354672788981901</v>
      </c>
      <c r="K256" s="319">
        <v>38.534086400256101</v>
      </c>
      <c r="L256" s="319">
        <v>38.534086400256101</v>
      </c>
      <c r="M256" s="319">
        <f t="shared" si="3"/>
        <v>38.534086400256101</v>
      </c>
      <c r="N256" s="317">
        <v>3.9921313510665319</v>
      </c>
      <c r="O256" s="315" t="s">
        <v>1168</v>
      </c>
      <c r="P256" s="318">
        <v>176.4</v>
      </c>
      <c r="R256" s="320">
        <v>80.222222222222229</v>
      </c>
      <c r="S256" s="318">
        <v>31.6</v>
      </c>
      <c r="T256" s="318">
        <v>198.40207000000001</v>
      </c>
      <c r="U256" s="318">
        <v>18.3736</v>
      </c>
      <c r="V256" s="315">
        <v>0.17899999999999999</v>
      </c>
      <c r="W256" s="318">
        <v>4.79</v>
      </c>
      <c r="X256" s="315">
        <v>3</v>
      </c>
      <c r="Y256" s="315" t="s">
        <v>1149</v>
      </c>
      <c r="Z256" s="315">
        <v>0</v>
      </c>
      <c r="AA256" s="315" t="s">
        <v>1157</v>
      </c>
    </row>
    <row r="257" spans="1:34">
      <c r="A257" s="315" t="s">
        <v>1158</v>
      </c>
      <c r="B257" s="315" t="s">
        <v>1659</v>
      </c>
      <c r="C257" s="316" t="s">
        <v>1668</v>
      </c>
      <c r="D257" s="316" t="s">
        <v>1668</v>
      </c>
      <c r="E257" s="317">
        <v>9.2200000000000006</v>
      </c>
      <c r="F257" s="317">
        <v>0</v>
      </c>
      <c r="G257" s="317">
        <v>0</v>
      </c>
      <c r="H257" s="317">
        <v>0</v>
      </c>
      <c r="I257" s="318">
        <v>0</v>
      </c>
      <c r="J257" s="318">
        <v>52.259339951854699</v>
      </c>
      <c r="K257" s="319">
        <v>37.905919388152697</v>
      </c>
      <c r="L257" s="319">
        <v>37.905919388152697</v>
      </c>
      <c r="M257" s="319">
        <f t="shared" si="3"/>
        <v>37.905919388152697</v>
      </c>
      <c r="N257" s="317">
        <v>3.494925767587679</v>
      </c>
      <c r="O257" s="315" t="s">
        <v>1168</v>
      </c>
      <c r="P257" s="318">
        <v>176.4</v>
      </c>
      <c r="R257" s="320">
        <v>80.222222222222229</v>
      </c>
      <c r="S257" s="318">
        <v>31.6</v>
      </c>
      <c r="T257" s="318">
        <v>177.37086000000002</v>
      </c>
      <c r="U257" s="318">
        <v>20.47344</v>
      </c>
      <c r="V257" s="315">
        <v>0.17499999999999999</v>
      </c>
      <c r="W257" s="318">
        <v>8.83</v>
      </c>
      <c r="X257" s="315">
        <v>3</v>
      </c>
      <c r="Y257" s="315" t="s">
        <v>1149</v>
      </c>
      <c r="Z257" s="315">
        <v>0</v>
      </c>
      <c r="AA257" s="315" t="s">
        <v>1157</v>
      </c>
      <c r="AB257" s="315"/>
      <c r="AC257" s="315"/>
      <c r="AD257" s="315"/>
      <c r="AE257" s="315"/>
      <c r="AF257" s="315"/>
      <c r="AG257" s="315"/>
      <c r="AH257" s="315"/>
    </row>
    <row r="258" spans="1:34">
      <c r="A258" s="315" t="s">
        <v>1158</v>
      </c>
      <c r="B258" s="315" t="s">
        <v>1659</v>
      </c>
      <c r="C258" s="316" t="s">
        <v>1669</v>
      </c>
      <c r="D258" s="316" t="s">
        <v>1669</v>
      </c>
      <c r="E258" s="317">
        <v>11.99</v>
      </c>
      <c r="F258" s="317">
        <v>0</v>
      </c>
      <c r="G258" s="317">
        <v>0</v>
      </c>
      <c r="H258" s="317">
        <v>0</v>
      </c>
      <c r="I258" s="318">
        <v>0</v>
      </c>
      <c r="J258" s="318">
        <v>0</v>
      </c>
      <c r="K258" s="319">
        <v>0</v>
      </c>
      <c r="L258" s="319">
        <v>0</v>
      </c>
      <c r="M258" s="319">
        <f t="shared" si="3"/>
        <v>0</v>
      </c>
      <c r="N258" s="317">
        <v>0</v>
      </c>
      <c r="O258" s="315" t="s">
        <v>1168</v>
      </c>
      <c r="P258" s="318">
        <v>176.4</v>
      </c>
      <c r="R258" s="320">
        <v>80.222222222222229</v>
      </c>
      <c r="S258" s="318">
        <v>31.6</v>
      </c>
      <c r="T258" s="318">
        <v>236.19918999999999</v>
      </c>
      <c r="U258" s="318">
        <v>6.3585780000000005</v>
      </c>
      <c r="V258" s="315">
        <v>0.16800000000000001</v>
      </c>
      <c r="W258" s="318">
        <v>2.1230000000000002</v>
      </c>
      <c r="X258" s="315">
        <v>3</v>
      </c>
      <c r="Y258" s="315" t="s">
        <v>1149</v>
      </c>
      <c r="Z258" s="315">
        <v>0</v>
      </c>
      <c r="AA258" s="315" t="s">
        <v>1157</v>
      </c>
      <c r="AB258" s="315"/>
      <c r="AC258" s="315"/>
      <c r="AD258" s="315"/>
      <c r="AE258" s="315"/>
      <c r="AF258" s="315"/>
      <c r="AG258" s="315"/>
      <c r="AH258" s="315"/>
    </row>
    <row r="259" spans="1:34">
      <c r="A259" s="315" t="s">
        <v>1158</v>
      </c>
      <c r="B259" s="315" t="s">
        <v>1659</v>
      </c>
      <c r="C259" s="316" t="s">
        <v>1670</v>
      </c>
      <c r="D259" s="316" t="s">
        <v>1670</v>
      </c>
      <c r="E259" s="317">
        <v>11.5</v>
      </c>
      <c r="F259" s="317">
        <v>0</v>
      </c>
      <c r="G259" s="317">
        <v>0</v>
      </c>
      <c r="H259" s="317">
        <v>0</v>
      </c>
      <c r="I259" s="318">
        <v>0</v>
      </c>
      <c r="J259" s="318">
        <v>51.5351045146502</v>
      </c>
      <c r="K259" s="319">
        <v>38.7427063832804</v>
      </c>
      <c r="L259" s="319">
        <v>38.7427063832804</v>
      </c>
      <c r="M259" s="319">
        <f t="shared" ref="M259:M322" si="4">IF(L259&lt;0,0,L259)</f>
        <v>38.7427063832804</v>
      </c>
      <c r="N259" s="317">
        <v>4.4554112340772463</v>
      </c>
      <c r="O259" s="315" t="s">
        <v>1168</v>
      </c>
      <c r="P259" s="318">
        <v>176.4</v>
      </c>
      <c r="R259" s="320">
        <v>80.222222222222229</v>
      </c>
      <c r="S259" s="318">
        <v>31.6</v>
      </c>
      <c r="T259" s="318">
        <v>190.36362000000003</v>
      </c>
      <c r="U259" s="318">
        <v>19.495702000000001</v>
      </c>
      <c r="V259" s="315">
        <v>0.17899999999999999</v>
      </c>
      <c r="W259" s="318">
        <v>90.731999999999999</v>
      </c>
      <c r="X259" s="315">
        <v>3</v>
      </c>
      <c r="Y259" s="315" t="s">
        <v>1149</v>
      </c>
      <c r="Z259" s="315">
        <v>0</v>
      </c>
      <c r="AA259" s="315" t="s">
        <v>1157</v>
      </c>
      <c r="AB259" s="315"/>
      <c r="AC259" s="315"/>
      <c r="AD259" s="315"/>
      <c r="AE259" s="315"/>
      <c r="AF259" s="315"/>
      <c r="AG259" s="315"/>
      <c r="AH259" s="315"/>
    </row>
    <row r="260" spans="1:34">
      <c r="A260" s="315" t="s">
        <v>1145</v>
      </c>
      <c r="B260" s="315" t="s">
        <v>1066</v>
      </c>
      <c r="C260" s="316" t="s">
        <v>1292</v>
      </c>
      <c r="D260" s="316" t="s">
        <v>1293</v>
      </c>
      <c r="E260" s="317">
        <v>6.39</v>
      </c>
      <c r="F260" s="317">
        <v>2.2265247000000001</v>
      </c>
      <c r="G260" s="317">
        <v>2.427406</v>
      </c>
      <c r="H260" s="317">
        <v>2.5204108000000001</v>
      </c>
      <c r="I260" s="318">
        <v>39.443048513302038</v>
      </c>
      <c r="J260" s="318">
        <v>71.390644068277197</v>
      </c>
      <c r="K260" s="319">
        <v>32.460567153315402</v>
      </c>
      <c r="L260" s="319">
        <v>-6.982481359986636</v>
      </c>
      <c r="M260" s="319">
        <f t="shared" si="4"/>
        <v>0</v>
      </c>
      <c r="N260" s="317">
        <v>0</v>
      </c>
      <c r="O260" s="315" t="s">
        <v>1148</v>
      </c>
      <c r="P260" s="318">
        <v>177</v>
      </c>
      <c r="R260" s="320">
        <v>80.555555555555557</v>
      </c>
      <c r="S260" s="318">
        <v>40</v>
      </c>
      <c r="T260" s="318">
        <v>122.8</v>
      </c>
      <c r="U260" s="318">
        <v>175</v>
      </c>
      <c r="V260" s="315">
        <v>0.2</v>
      </c>
      <c r="W260" s="318">
        <v>36.9</v>
      </c>
      <c r="X260" s="315">
        <v>5</v>
      </c>
      <c r="Y260" s="315" t="s">
        <v>1149</v>
      </c>
      <c r="Z260" s="315">
        <v>0</v>
      </c>
      <c r="AA260" s="315" t="s">
        <v>1190</v>
      </c>
      <c r="AB260" s="315"/>
      <c r="AC260" s="315"/>
      <c r="AD260" s="315"/>
      <c r="AE260" s="315"/>
      <c r="AF260" s="315"/>
      <c r="AG260" s="315"/>
      <c r="AH260" s="315"/>
    </row>
    <row r="261" spans="1:34">
      <c r="A261" s="315" t="s">
        <v>1145</v>
      </c>
      <c r="B261" s="315" t="s">
        <v>663</v>
      </c>
      <c r="C261" s="316" t="s">
        <v>1864</v>
      </c>
      <c r="D261" s="316" t="s">
        <v>1864</v>
      </c>
      <c r="E261" s="317">
        <v>10.43</v>
      </c>
      <c r="F261" s="317">
        <v>0</v>
      </c>
      <c r="G261" s="317">
        <v>0</v>
      </c>
      <c r="H261" s="317">
        <v>0</v>
      </c>
      <c r="I261" s="318">
        <v>0</v>
      </c>
      <c r="J261" s="318">
        <v>79.017783098267103</v>
      </c>
      <c r="K261" s="319">
        <v>23.969560092661698</v>
      </c>
      <c r="L261" s="319">
        <v>23.969560092661698</v>
      </c>
      <c r="M261" s="319">
        <f t="shared" si="4"/>
        <v>23.969560092661698</v>
      </c>
      <c r="N261" s="317">
        <v>2.5000251176646149</v>
      </c>
      <c r="O261" s="315" t="s">
        <v>1168</v>
      </c>
      <c r="P261" s="318">
        <v>177</v>
      </c>
      <c r="R261" s="320">
        <v>80.555555555555557</v>
      </c>
      <c r="S261" s="318">
        <v>41</v>
      </c>
      <c r="T261" s="318">
        <v>68.55</v>
      </c>
      <c r="U261" s="318">
        <v>545</v>
      </c>
      <c r="V261" s="315">
        <v>0.2</v>
      </c>
      <c r="W261" s="318">
        <v>62.66</v>
      </c>
      <c r="X261" s="315">
        <v>0</v>
      </c>
      <c r="Y261" s="315" t="s">
        <v>1149</v>
      </c>
      <c r="Z261" s="315">
        <v>0</v>
      </c>
      <c r="AA261" s="315" t="s">
        <v>1150</v>
      </c>
      <c r="AB261" s="315"/>
      <c r="AC261" s="315"/>
      <c r="AD261" s="315"/>
      <c r="AE261" s="315"/>
      <c r="AF261" s="315"/>
      <c r="AG261" s="315"/>
      <c r="AH261" s="315"/>
    </row>
    <row r="262" spans="1:34">
      <c r="A262" s="315" t="s">
        <v>1562</v>
      </c>
      <c r="B262" s="315" t="s">
        <v>663</v>
      </c>
      <c r="C262" s="316" t="s">
        <v>1865</v>
      </c>
      <c r="D262" s="316" t="s">
        <v>1865</v>
      </c>
      <c r="E262" s="317">
        <v>7.48</v>
      </c>
      <c r="F262" s="317">
        <v>0</v>
      </c>
      <c r="G262" s="317">
        <v>0</v>
      </c>
      <c r="H262" s="317">
        <v>0</v>
      </c>
      <c r="I262" s="318">
        <v>0</v>
      </c>
      <c r="J262" s="318">
        <v>83.423707463901096</v>
      </c>
      <c r="K262" s="319">
        <v>21.691631627440199</v>
      </c>
      <c r="L262" s="319">
        <v>21.691631627440199</v>
      </c>
      <c r="M262" s="319">
        <f t="shared" si="4"/>
        <v>21.691631627440199</v>
      </c>
      <c r="N262" s="317">
        <v>1.622534045732527</v>
      </c>
      <c r="O262" s="315" t="s">
        <v>1168</v>
      </c>
      <c r="P262" s="318">
        <v>177</v>
      </c>
      <c r="R262" s="320">
        <v>80.555555555555557</v>
      </c>
      <c r="S262" s="318">
        <v>34</v>
      </c>
      <c r="T262" s="318">
        <v>88.47</v>
      </c>
      <c r="U262" s="318">
        <v>164</v>
      </c>
      <c r="V262" s="315">
        <v>0.22</v>
      </c>
      <c r="W262" s="318">
        <v>17.72</v>
      </c>
      <c r="X262" s="315">
        <v>0</v>
      </c>
      <c r="Y262" s="315" t="s">
        <v>1149</v>
      </c>
      <c r="Z262" s="315">
        <v>0</v>
      </c>
      <c r="AA262" s="315" t="s">
        <v>1150</v>
      </c>
      <c r="AB262" s="315"/>
      <c r="AC262" s="315"/>
      <c r="AD262" s="315"/>
      <c r="AE262" s="315"/>
      <c r="AF262" s="315"/>
      <c r="AG262" s="315"/>
      <c r="AH262" s="315"/>
    </row>
    <row r="263" spans="1:34">
      <c r="A263" s="315" t="s">
        <v>1145</v>
      </c>
      <c r="B263" s="315" t="s">
        <v>1066</v>
      </c>
      <c r="C263" s="316" t="s">
        <v>1294</v>
      </c>
      <c r="D263" s="316" t="s">
        <v>1295</v>
      </c>
      <c r="E263" s="317">
        <v>12.33</v>
      </c>
      <c r="F263" s="317">
        <v>4.7508841999999998</v>
      </c>
      <c r="G263" s="317">
        <v>5.1795181000000001</v>
      </c>
      <c r="H263" s="317">
        <v>6.8998778999999999</v>
      </c>
      <c r="I263" s="318">
        <v>55.960080291970804</v>
      </c>
      <c r="J263" s="318">
        <v>67.844447262212498</v>
      </c>
      <c r="K263" s="319">
        <v>37.005581195248098</v>
      </c>
      <c r="L263" s="319">
        <v>-18.954499096722706</v>
      </c>
      <c r="M263" s="319">
        <f t="shared" si="4"/>
        <v>0</v>
      </c>
      <c r="N263" s="317">
        <v>0</v>
      </c>
      <c r="O263" s="315" t="s">
        <v>1148</v>
      </c>
      <c r="P263" s="318">
        <v>178</v>
      </c>
      <c r="R263" s="320">
        <v>81.111111111111114</v>
      </c>
      <c r="S263" s="318">
        <v>40</v>
      </c>
      <c r="T263" s="318">
        <v>371.5</v>
      </c>
      <c r="U263" s="318">
        <v>548</v>
      </c>
      <c r="V263" s="315">
        <v>0.22</v>
      </c>
      <c r="W263" s="318">
        <v>176.1</v>
      </c>
      <c r="X263" s="315">
        <v>38</v>
      </c>
      <c r="Y263" s="315" t="s">
        <v>1149</v>
      </c>
      <c r="Z263" s="315">
        <v>0</v>
      </c>
      <c r="AA263" s="315" t="s">
        <v>1190</v>
      </c>
      <c r="AB263" s="316">
        <v>0</v>
      </c>
      <c r="AC263" s="316">
        <v>2625</v>
      </c>
      <c r="AD263" s="316">
        <v>2597</v>
      </c>
      <c r="AE263" s="316">
        <v>0.38</v>
      </c>
      <c r="AF263" s="316">
        <v>1.3959999999999999</v>
      </c>
      <c r="AG263" s="316">
        <v>0.34</v>
      </c>
      <c r="AH263" s="316">
        <v>729</v>
      </c>
    </row>
    <row r="264" spans="1:34">
      <c r="A264" s="315" t="s">
        <v>1145</v>
      </c>
      <c r="B264" s="315" t="s">
        <v>1066</v>
      </c>
      <c r="C264" s="316" t="s">
        <v>1296</v>
      </c>
      <c r="D264" s="316" t="s">
        <v>1297</v>
      </c>
      <c r="E264" s="317">
        <v>7.63</v>
      </c>
      <c r="F264" s="317">
        <v>0</v>
      </c>
      <c r="G264" s="317">
        <v>0</v>
      </c>
      <c r="H264" s="317">
        <v>1.2382728000000001</v>
      </c>
      <c r="I264" s="318">
        <v>16.229001310615988</v>
      </c>
      <c r="J264" s="318">
        <v>80.777773116338693</v>
      </c>
      <c r="K264" s="319">
        <v>28.316764352610701</v>
      </c>
      <c r="L264" s="319">
        <v>12.087763041994712</v>
      </c>
      <c r="M264" s="319">
        <f t="shared" si="4"/>
        <v>12.087763041994712</v>
      </c>
      <c r="N264" s="317">
        <v>0.92229632010419649</v>
      </c>
      <c r="O264" s="315" t="s">
        <v>1168</v>
      </c>
      <c r="P264" s="318">
        <v>178</v>
      </c>
      <c r="R264" s="320">
        <v>81.111111111111114</v>
      </c>
      <c r="S264" s="318">
        <v>40</v>
      </c>
      <c r="T264" s="318">
        <v>115.7</v>
      </c>
      <c r="U264" s="318">
        <v>175</v>
      </c>
      <c r="V264" s="315">
        <v>0.22</v>
      </c>
      <c r="W264" s="318">
        <v>332.2</v>
      </c>
      <c r="X264" s="315">
        <v>1</v>
      </c>
      <c r="Y264" s="315" t="s">
        <v>1149</v>
      </c>
      <c r="Z264" s="315">
        <v>0</v>
      </c>
      <c r="AA264" s="315" t="s">
        <v>1190</v>
      </c>
      <c r="AB264" s="315"/>
      <c r="AC264" s="315"/>
      <c r="AD264" s="315"/>
      <c r="AE264" s="315"/>
      <c r="AF264" s="315"/>
      <c r="AG264" s="315"/>
      <c r="AH264" s="315"/>
    </row>
    <row r="265" spans="1:34">
      <c r="B265" s="315" t="s">
        <v>663</v>
      </c>
      <c r="C265" s="316" t="s">
        <v>1866</v>
      </c>
      <c r="D265" s="316" t="s">
        <v>1866</v>
      </c>
      <c r="E265" s="317">
        <v>1.0200000971018073</v>
      </c>
      <c r="F265" s="317">
        <v>1.4101499999999999E-2</v>
      </c>
      <c r="G265" s="317">
        <v>1.4101499999999999E-2</v>
      </c>
      <c r="H265" s="317">
        <v>1.4101499999999999E-2</v>
      </c>
      <c r="I265" s="318">
        <v>1.3824998683889844</v>
      </c>
      <c r="J265" s="318">
        <v>67.064013273092897</v>
      </c>
      <c r="K265" s="319">
        <v>31.351549878982997</v>
      </c>
      <c r="L265" s="319">
        <v>29.969050010594014</v>
      </c>
      <c r="M265" s="319">
        <f t="shared" si="4"/>
        <v>29.969050010594014</v>
      </c>
      <c r="N265" s="317">
        <v>0.30568433920854809</v>
      </c>
      <c r="O265" s="315" t="s">
        <v>1148</v>
      </c>
      <c r="P265" s="318">
        <v>178</v>
      </c>
      <c r="R265" s="320">
        <v>81.111111111111114</v>
      </c>
      <c r="S265" s="318">
        <v>42</v>
      </c>
      <c r="T265" s="318">
        <v>66.78</v>
      </c>
      <c r="U265" s="318">
        <v>141.083</v>
      </c>
      <c r="V265" s="315">
        <v>0.22</v>
      </c>
      <c r="W265" s="318">
        <v>21.47</v>
      </c>
      <c r="X265" s="315">
        <v>0</v>
      </c>
      <c r="Y265" s="315" t="s">
        <v>1149</v>
      </c>
      <c r="Z265" s="315">
        <v>0</v>
      </c>
      <c r="AA265" s="315" t="s">
        <v>1190</v>
      </c>
      <c r="AB265" s="315"/>
      <c r="AC265" s="315"/>
      <c r="AD265" s="315"/>
      <c r="AE265" s="315"/>
      <c r="AF265" s="315"/>
      <c r="AG265" s="315"/>
      <c r="AH265" s="315"/>
    </row>
    <row r="266" spans="1:34">
      <c r="A266" s="315" t="s">
        <v>1145</v>
      </c>
      <c r="B266" s="315" t="s">
        <v>663</v>
      </c>
      <c r="C266" s="316" t="s">
        <v>1867</v>
      </c>
      <c r="D266" s="316" t="s">
        <v>1867</v>
      </c>
      <c r="E266" s="317">
        <v>0.38000003617518302</v>
      </c>
      <c r="F266" s="317">
        <v>0</v>
      </c>
      <c r="G266" s="317">
        <v>0</v>
      </c>
      <c r="H266" s="317">
        <v>0</v>
      </c>
      <c r="I266" s="318">
        <v>0</v>
      </c>
      <c r="J266" s="318">
        <v>88.467003949836894</v>
      </c>
      <c r="K266" s="319">
        <v>18.426493716258499</v>
      </c>
      <c r="L266" s="319">
        <v>18.426493716258499</v>
      </c>
      <c r="M266" s="319">
        <f t="shared" si="4"/>
        <v>18.426493716258499</v>
      </c>
      <c r="N266" s="317">
        <v>7.0020682787600125E-2</v>
      </c>
      <c r="O266" s="315" t="s">
        <v>1168</v>
      </c>
      <c r="P266" s="318">
        <v>178.70473195</v>
      </c>
      <c r="R266" s="320">
        <v>81.502628861111106</v>
      </c>
      <c r="S266" s="318">
        <v>40</v>
      </c>
      <c r="T266" s="318">
        <v>19.88</v>
      </c>
      <c r="U266" s="318">
        <v>488.86900000000003</v>
      </c>
      <c r="V266" s="315">
        <v>0.18</v>
      </c>
      <c r="W266" s="318">
        <v>10</v>
      </c>
      <c r="X266" s="315">
        <v>1</v>
      </c>
      <c r="Y266" s="315" t="s">
        <v>1149</v>
      </c>
      <c r="Z266" s="315">
        <v>0</v>
      </c>
      <c r="AA266" s="315" t="s">
        <v>1190</v>
      </c>
      <c r="AB266" s="315"/>
      <c r="AC266" s="315"/>
      <c r="AD266" s="315"/>
      <c r="AE266" s="315"/>
      <c r="AF266" s="315"/>
      <c r="AG266" s="315"/>
      <c r="AH266" s="315"/>
    </row>
    <row r="267" spans="1:34">
      <c r="A267" s="315" t="s">
        <v>1239</v>
      </c>
      <c r="B267" s="315" t="s">
        <v>1066</v>
      </c>
      <c r="C267" s="316" t="s">
        <v>1299</v>
      </c>
      <c r="D267" s="316" t="s">
        <v>1300</v>
      </c>
      <c r="E267" s="317">
        <v>14.35</v>
      </c>
      <c r="F267" s="317">
        <v>0</v>
      </c>
      <c r="G267" s="317">
        <v>0</v>
      </c>
      <c r="H267" s="317">
        <v>1.6403088000000001</v>
      </c>
      <c r="I267" s="318">
        <v>11.430723344947737</v>
      </c>
      <c r="J267" s="318">
        <v>60.978714422491599</v>
      </c>
      <c r="K267" s="319">
        <v>39.1759988348714</v>
      </c>
      <c r="L267" s="319">
        <v>27.745275489923664</v>
      </c>
      <c r="M267" s="319">
        <f t="shared" si="4"/>
        <v>27.745275489923664</v>
      </c>
      <c r="N267" s="317">
        <v>3.9814470328040459</v>
      </c>
      <c r="O267" s="315" t="s">
        <v>1168</v>
      </c>
      <c r="P267" s="318">
        <v>179</v>
      </c>
      <c r="R267" s="320">
        <v>81.666666666666671</v>
      </c>
      <c r="S267" s="318">
        <v>40</v>
      </c>
      <c r="T267" s="318">
        <v>416.2</v>
      </c>
      <c r="U267" s="318">
        <v>503</v>
      </c>
      <c r="V267" s="315">
        <v>0.22</v>
      </c>
      <c r="W267" s="318">
        <v>224.4</v>
      </c>
      <c r="X267" s="315">
        <v>3</v>
      </c>
      <c r="Y267" s="315" t="s">
        <v>1149</v>
      </c>
      <c r="Z267" s="315">
        <v>0</v>
      </c>
      <c r="AA267" s="315" t="s">
        <v>1190</v>
      </c>
      <c r="AB267" s="315"/>
      <c r="AC267" s="315"/>
      <c r="AD267" s="315"/>
      <c r="AE267" s="315"/>
      <c r="AF267" s="315"/>
      <c r="AG267" s="315"/>
      <c r="AH267" s="315"/>
    </row>
    <row r="268" spans="1:34">
      <c r="A268" s="315" t="s">
        <v>1569</v>
      </c>
      <c r="B268" s="315" t="s">
        <v>1066</v>
      </c>
      <c r="C268" s="316" t="s">
        <v>1301</v>
      </c>
      <c r="D268" s="316" t="s">
        <v>1302</v>
      </c>
      <c r="E268" s="317">
        <v>1.26</v>
      </c>
      <c r="F268" s="317">
        <v>0</v>
      </c>
      <c r="G268" s="317">
        <v>0</v>
      </c>
      <c r="H268" s="317">
        <v>0</v>
      </c>
      <c r="I268" s="318">
        <v>0</v>
      </c>
      <c r="J268" s="318">
        <v>66.4725451450592</v>
      </c>
      <c r="K268" s="319">
        <v>34.270756641423297</v>
      </c>
      <c r="L268" s="319">
        <v>34.270756641423297</v>
      </c>
      <c r="M268" s="319">
        <f t="shared" si="4"/>
        <v>34.270756641423297</v>
      </c>
      <c r="N268" s="317">
        <v>0.43181153368193353</v>
      </c>
      <c r="O268" s="315" t="s">
        <v>1168</v>
      </c>
      <c r="P268" s="318">
        <v>179</v>
      </c>
      <c r="R268" s="320">
        <v>81.666666666666671</v>
      </c>
      <c r="S268" s="318">
        <v>38</v>
      </c>
      <c r="T268" s="318">
        <v>62.9</v>
      </c>
      <c r="U268" s="318">
        <v>62.9</v>
      </c>
      <c r="V268" s="315">
        <v>0.21</v>
      </c>
      <c r="W268" s="318">
        <v>37.4</v>
      </c>
      <c r="X268" s="315">
        <v>1</v>
      </c>
      <c r="Y268" s="315" t="s">
        <v>1149</v>
      </c>
      <c r="Z268" s="315">
        <v>0</v>
      </c>
      <c r="AA268" s="315" t="s">
        <v>1190</v>
      </c>
      <c r="AB268" s="315"/>
      <c r="AC268" s="315"/>
      <c r="AD268" s="315"/>
      <c r="AE268" s="315"/>
      <c r="AF268" s="315"/>
      <c r="AG268" s="315"/>
      <c r="AH268" s="315"/>
    </row>
    <row r="269" spans="1:34">
      <c r="A269" s="315" t="s">
        <v>1571</v>
      </c>
      <c r="B269" s="315" t="s">
        <v>1068</v>
      </c>
      <c r="C269" s="316" t="s">
        <v>1418</v>
      </c>
      <c r="D269" s="316" t="s">
        <v>1419</v>
      </c>
      <c r="E269" s="317">
        <v>338.41999999999996</v>
      </c>
      <c r="F269" s="317">
        <v>117.5983619266663</v>
      </c>
      <c r="G269" s="317">
        <v>125.99388936732589</v>
      </c>
      <c r="H269" s="317">
        <v>136.83097221728093</v>
      </c>
      <c r="I269" s="318">
        <v>40.432294845836815</v>
      </c>
      <c r="J269" s="318">
        <v>46.355290111713799</v>
      </c>
      <c r="K269" s="319">
        <v>44.126475570581199</v>
      </c>
      <c r="L269" s="319">
        <v>3.6941807247443847</v>
      </c>
      <c r="M269" s="319">
        <f t="shared" si="4"/>
        <v>3.6941807247443847</v>
      </c>
      <c r="N269" s="317">
        <v>12.501846408679945</v>
      </c>
      <c r="O269" s="315" t="s">
        <v>1148</v>
      </c>
      <c r="P269" s="318">
        <v>179</v>
      </c>
      <c r="R269" s="320">
        <v>81.666666666666671</v>
      </c>
      <c r="S269" s="318">
        <v>44</v>
      </c>
      <c r="T269" s="318">
        <v>247</v>
      </c>
      <c r="U269" s="318">
        <v>76</v>
      </c>
      <c r="V269" s="315">
        <v>0.23</v>
      </c>
      <c r="W269" s="318">
        <v>325</v>
      </c>
      <c r="X269" s="315">
        <v>41</v>
      </c>
      <c r="Y269" s="315" t="s">
        <v>1420</v>
      </c>
      <c r="Z269" s="315">
        <v>3</v>
      </c>
      <c r="AA269" s="315" t="s">
        <v>1190</v>
      </c>
      <c r="AB269" s="315"/>
      <c r="AC269" s="315"/>
      <c r="AD269" s="315"/>
      <c r="AE269" s="315"/>
      <c r="AF269" s="315"/>
      <c r="AG269" s="315"/>
      <c r="AH269" s="315"/>
    </row>
    <row r="270" spans="1:34">
      <c r="A270" s="315" t="s">
        <v>1145</v>
      </c>
      <c r="B270" s="315" t="s">
        <v>663</v>
      </c>
      <c r="C270" s="316" t="s">
        <v>1868</v>
      </c>
      <c r="D270" s="316" t="s">
        <v>1868</v>
      </c>
      <c r="E270" s="317">
        <v>2.430000231330776</v>
      </c>
      <c r="F270" s="317">
        <v>0.10795159999999999</v>
      </c>
      <c r="G270" s="317">
        <v>0.1186709</v>
      </c>
      <c r="H270" s="317">
        <v>0.1186709</v>
      </c>
      <c r="I270" s="318">
        <v>4.8835756667813373</v>
      </c>
      <c r="J270" s="318">
        <v>83.902127951186202</v>
      </c>
      <c r="K270" s="319">
        <v>22.395865991414901</v>
      </c>
      <c r="L270" s="319">
        <v>17.512290324633565</v>
      </c>
      <c r="M270" s="319">
        <f t="shared" si="4"/>
        <v>17.512290324633565</v>
      </c>
      <c r="N270" s="317">
        <v>0.42554869539991275</v>
      </c>
      <c r="O270" s="315" t="s">
        <v>1148</v>
      </c>
      <c r="P270" s="318">
        <v>179.79725000000002</v>
      </c>
      <c r="R270" s="320">
        <v>82.109583333333347</v>
      </c>
      <c r="S270" s="318">
        <v>40</v>
      </c>
      <c r="T270" s="318">
        <v>27.95</v>
      </c>
      <c r="U270" s="318">
        <v>305.13300000000004</v>
      </c>
      <c r="V270" s="315">
        <v>0.23</v>
      </c>
      <c r="W270" s="318">
        <v>46.67</v>
      </c>
      <c r="X270" s="315">
        <v>1</v>
      </c>
      <c r="Y270" s="315" t="s">
        <v>1149</v>
      </c>
      <c r="Z270" s="315">
        <v>1</v>
      </c>
      <c r="AA270" s="315" t="s">
        <v>1190</v>
      </c>
      <c r="AB270" s="315"/>
      <c r="AC270" s="315"/>
      <c r="AD270" s="315"/>
      <c r="AE270" s="315"/>
      <c r="AF270" s="315"/>
      <c r="AG270" s="315"/>
      <c r="AH270" s="315"/>
    </row>
    <row r="271" spans="1:34">
      <c r="A271" s="315" t="s">
        <v>1145</v>
      </c>
      <c r="B271" s="315" t="s">
        <v>663</v>
      </c>
      <c r="C271" s="316" t="s">
        <v>1869</v>
      </c>
      <c r="D271" s="316" t="s">
        <v>1869</v>
      </c>
      <c r="E271" s="317">
        <v>3.5900003417602817</v>
      </c>
      <c r="F271" s="317">
        <v>0</v>
      </c>
      <c r="G271" s="317">
        <v>0</v>
      </c>
      <c r="H271" s="317">
        <v>0</v>
      </c>
      <c r="I271" s="318">
        <v>0</v>
      </c>
      <c r="J271" s="318">
        <v>50.197970612116798</v>
      </c>
      <c r="K271" s="319">
        <v>33.737373604526802</v>
      </c>
      <c r="L271" s="319">
        <v>33.737373604526802</v>
      </c>
      <c r="M271" s="319">
        <f t="shared" si="4"/>
        <v>33.737373604526802</v>
      </c>
      <c r="N271" s="317">
        <v>1.2111718277034551</v>
      </c>
      <c r="O271" s="315" t="s">
        <v>1168</v>
      </c>
      <c r="P271" s="318">
        <v>179.79725000000002</v>
      </c>
      <c r="R271" s="320">
        <v>82.109583333333347</v>
      </c>
      <c r="S271" s="318">
        <v>40</v>
      </c>
      <c r="T271" s="318">
        <v>41.79</v>
      </c>
      <c r="U271" s="318">
        <v>298.57100000000003</v>
      </c>
      <c r="V271" s="315">
        <v>0.2</v>
      </c>
      <c r="W271" s="318">
        <v>10</v>
      </c>
      <c r="X271" s="315">
        <v>0</v>
      </c>
      <c r="Y271" s="315" t="s">
        <v>1149</v>
      </c>
      <c r="Z271" s="315">
        <v>0</v>
      </c>
      <c r="AA271" s="315" t="s">
        <v>1190</v>
      </c>
      <c r="AB271" s="315"/>
      <c r="AC271" s="315"/>
      <c r="AD271" s="315"/>
      <c r="AE271" s="315"/>
      <c r="AF271" s="315"/>
      <c r="AG271" s="315"/>
      <c r="AH271" s="315"/>
    </row>
    <row r="272" spans="1:34">
      <c r="A272" s="315" t="s">
        <v>1575</v>
      </c>
      <c r="B272" s="315" t="s">
        <v>1610</v>
      </c>
      <c r="C272" s="316" t="s">
        <v>1611</v>
      </c>
      <c r="D272" s="316" t="s">
        <v>1611</v>
      </c>
      <c r="E272" s="317">
        <v>28.58</v>
      </c>
      <c r="F272" s="317">
        <v>11.605791999999999</v>
      </c>
      <c r="G272" s="317">
        <v>11.605791999999999</v>
      </c>
      <c r="H272" s="317">
        <v>11.605791999999999</v>
      </c>
      <c r="I272" s="318">
        <v>40.608089573128062</v>
      </c>
      <c r="J272" s="318">
        <v>45.375587951553698</v>
      </c>
      <c r="K272" s="319">
        <v>43.398288079265001</v>
      </c>
      <c r="L272" s="319">
        <v>2.7901985061369388</v>
      </c>
      <c r="M272" s="319">
        <f t="shared" si="4"/>
        <v>2.7901985061369388</v>
      </c>
      <c r="N272" s="317">
        <v>0.79743873305393698</v>
      </c>
      <c r="O272" s="315" t="s">
        <v>1148</v>
      </c>
      <c r="P272" s="318">
        <v>180</v>
      </c>
      <c r="R272" s="320">
        <v>82.222222222222229</v>
      </c>
      <c r="S272" s="318">
        <v>35</v>
      </c>
      <c r="T272" s="318">
        <v>65</v>
      </c>
      <c r="U272" s="318">
        <v>137</v>
      </c>
      <c r="V272" s="315">
        <v>0.21</v>
      </c>
      <c r="W272" s="318">
        <v>500</v>
      </c>
      <c r="X272" s="315">
        <v>2</v>
      </c>
      <c r="Y272" s="315" t="s">
        <v>1149</v>
      </c>
      <c r="Z272" s="315">
        <v>0</v>
      </c>
      <c r="AA272" s="315" t="s">
        <v>1157</v>
      </c>
      <c r="AB272" s="315"/>
      <c r="AC272" s="315"/>
      <c r="AD272" s="315"/>
      <c r="AE272" s="315"/>
      <c r="AF272" s="315"/>
      <c r="AG272" s="315"/>
      <c r="AH272" s="315"/>
    </row>
    <row r="273" spans="1:27" s="315" customFormat="1">
      <c r="A273" s="315" t="s">
        <v>1575</v>
      </c>
      <c r="B273" s="315" t="s">
        <v>1610</v>
      </c>
      <c r="C273" s="316" t="s">
        <v>1612</v>
      </c>
      <c r="D273" s="316" t="s">
        <v>1612</v>
      </c>
      <c r="E273" s="317">
        <v>4.71</v>
      </c>
      <c r="F273" s="317">
        <v>1.2435510000000001</v>
      </c>
      <c r="G273" s="317">
        <v>1.2435510000000001</v>
      </c>
      <c r="H273" s="317">
        <v>1.2435510000000001</v>
      </c>
      <c r="I273" s="318">
        <v>26.402356687898092</v>
      </c>
      <c r="J273" s="318">
        <v>45.5732382486947</v>
      </c>
      <c r="K273" s="319">
        <v>43.038739111987802</v>
      </c>
      <c r="L273" s="319">
        <v>16.63638242408971</v>
      </c>
      <c r="M273" s="319">
        <f t="shared" si="4"/>
        <v>16.63638242408971</v>
      </c>
      <c r="N273" s="317">
        <v>0.78357361217462529</v>
      </c>
      <c r="O273" s="315" t="s">
        <v>1148</v>
      </c>
      <c r="P273" s="318">
        <v>180</v>
      </c>
      <c r="R273" s="320">
        <v>82.222222222222229</v>
      </c>
      <c r="S273" s="318">
        <v>35</v>
      </c>
      <c r="T273" s="318">
        <v>48</v>
      </c>
      <c r="U273" s="318">
        <v>137</v>
      </c>
      <c r="V273" s="315">
        <v>0.21</v>
      </c>
      <c r="W273" s="318">
        <v>500</v>
      </c>
      <c r="X273" s="315">
        <v>1</v>
      </c>
      <c r="Y273" s="315" t="s">
        <v>1149</v>
      </c>
      <c r="Z273" s="315">
        <v>0</v>
      </c>
      <c r="AA273" s="315" t="s">
        <v>1157</v>
      </c>
    </row>
    <row r="274" spans="1:27" s="315" customFormat="1">
      <c r="A274" s="315" t="s">
        <v>1575</v>
      </c>
      <c r="B274" s="315" t="s">
        <v>1610</v>
      </c>
      <c r="C274" s="316" t="s">
        <v>1613</v>
      </c>
      <c r="D274" s="316" t="s">
        <v>1613</v>
      </c>
      <c r="E274" s="317">
        <v>2.92</v>
      </c>
      <c r="F274" s="317">
        <v>1.0206010000000001</v>
      </c>
      <c r="G274" s="317">
        <v>1.0206010000000001</v>
      </c>
      <c r="H274" s="317">
        <v>1.0206010000000001</v>
      </c>
      <c r="I274" s="318">
        <v>34.952089041095896</v>
      </c>
      <c r="J274" s="318">
        <v>45.5732382486947</v>
      </c>
      <c r="K274" s="319">
        <v>43.445525112446397</v>
      </c>
      <c r="L274" s="319">
        <v>8.4934360713505015</v>
      </c>
      <c r="M274" s="319">
        <f t="shared" si="4"/>
        <v>8.4934360713505015</v>
      </c>
      <c r="N274" s="317">
        <v>0.24800833328343466</v>
      </c>
      <c r="O274" s="315" t="s">
        <v>1148</v>
      </c>
      <c r="P274" s="318">
        <v>180</v>
      </c>
      <c r="R274" s="320">
        <v>82.222222222222229</v>
      </c>
      <c r="S274" s="318">
        <v>35</v>
      </c>
      <c r="T274" s="318">
        <v>38</v>
      </c>
      <c r="U274" s="318">
        <v>137</v>
      </c>
      <c r="V274" s="315">
        <v>0.21</v>
      </c>
      <c r="W274" s="318">
        <v>500</v>
      </c>
      <c r="X274" s="315">
        <v>1</v>
      </c>
      <c r="Y274" s="315" t="s">
        <v>1149</v>
      </c>
      <c r="Z274" s="315">
        <v>0</v>
      </c>
      <c r="AA274" s="315" t="s">
        <v>1157</v>
      </c>
    </row>
    <row r="275" spans="1:27" s="315" customFormat="1">
      <c r="A275" s="315" t="s">
        <v>1575</v>
      </c>
      <c r="B275" s="315" t="s">
        <v>1610</v>
      </c>
      <c r="C275" s="316" t="s">
        <v>1614</v>
      </c>
      <c r="D275" s="316" t="s">
        <v>1614</v>
      </c>
      <c r="E275" s="317">
        <v>0.75</v>
      </c>
      <c r="F275" s="317">
        <v>0</v>
      </c>
      <c r="G275" s="317">
        <v>0</v>
      </c>
      <c r="H275" s="317">
        <v>0</v>
      </c>
      <c r="I275" s="318">
        <v>0</v>
      </c>
      <c r="J275" s="318">
        <v>45.5732382486947</v>
      </c>
      <c r="K275" s="319">
        <v>43.038739111987802</v>
      </c>
      <c r="L275" s="319">
        <v>43.038739111987802</v>
      </c>
      <c r="M275" s="319">
        <f t="shared" si="4"/>
        <v>43.038739111987802</v>
      </c>
      <c r="N275" s="317">
        <v>0.32279054333990853</v>
      </c>
      <c r="O275" s="315" t="s">
        <v>1168</v>
      </c>
      <c r="P275" s="318">
        <v>180</v>
      </c>
      <c r="R275" s="320">
        <v>82.222222222222229</v>
      </c>
      <c r="S275" s="318">
        <v>35</v>
      </c>
      <c r="T275" s="318">
        <v>36</v>
      </c>
      <c r="U275" s="318">
        <v>137</v>
      </c>
      <c r="V275" s="315">
        <v>0.21</v>
      </c>
      <c r="W275" s="318">
        <v>500</v>
      </c>
      <c r="X275" s="315">
        <v>1</v>
      </c>
      <c r="Y275" s="315" t="s">
        <v>1149</v>
      </c>
      <c r="Z275" s="315">
        <v>0</v>
      </c>
      <c r="AA275" s="315" t="s">
        <v>1157</v>
      </c>
    </row>
    <row r="276" spans="1:27" s="315" customFormat="1">
      <c r="A276" s="315" t="s">
        <v>1575</v>
      </c>
      <c r="B276" s="315" t="s">
        <v>1610</v>
      </c>
      <c r="C276" s="316" t="s">
        <v>1616</v>
      </c>
      <c r="D276" s="316" t="s">
        <v>1616</v>
      </c>
      <c r="E276" s="317">
        <v>202.76</v>
      </c>
      <c r="F276" s="317">
        <v>104.811348</v>
      </c>
      <c r="G276" s="317">
        <v>104.811348</v>
      </c>
      <c r="H276" s="317">
        <v>104.811348</v>
      </c>
      <c r="I276" s="318">
        <v>51.692319984217797</v>
      </c>
      <c r="J276" s="318">
        <v>42.7902029335986</v>
      </c>
      <c r="K276" s="319">
        <v>45.952986214716702</v>
      </c>
      <c r="L276" s="319">
        <v>-5.7393337695010942</v>
      </c>
      <c r="M276" s="319">
        <f t="shared" si="4"/>
        <v>0</v>
      </c>
      <c r="N276" s="317">
        <v>0</v>
      </c>
      <c r="O276" s="315" t="s">
        <v>1148</v>
      </c>
      <c r="P276" s="318">
        <v>180</v>
      </c>
      <c r="R276" s="320">
        <v>82.222222222222229</v>
      </c>
      <c r="S276" s="318">
        <v>35</v>
      </c>
      <c r="T276" s="318">
        <v>488</v>
      </c>
      <c r="U276" s="318">
        <v>137</v>
      </c>
      <c r="V276" s="315">
        <v>0.21</v>
      </c>
      <c r="W276" s="318">
        <v>1000</v>
      </c>
      <c r="X276" s="315">
        <v>9</v>
      </c>
      <c r="Y276" s="315" t="s">
        <v>1440</v>
      </c>
      <c r="Z276" s="315">
        <v>2</v>
      </c>
      <c r="AA276" s="315" t="s">
        <v>1157</v>
      </c>
    </row>
    <row r="277" spans="1:27" s="315" customFormat="1">
      <c r="A277" s="315" t="s">
        <v>1575</v>
      </c>
      <c r="B277" s="315" t="s">
        <v>1610</v>
      </c>
      <c r="C277" s="316" t="s">
        <v>1617</v>
      </c>
      <c r="D277" s="316" t="s">
        <v>1617</v>
      </c>
      <c r="E277" s="317">
        <v>45.93</v>
      </c>
      <c r="F277" s="317">
        <v>6.7283169999999997</v>
      </c>
      <c r="G277" s="317">
        <v>6.7283169999999997</v>
      </c>
      <c r="H277" s="317">
        <v>6.7283169999999997</v>
      </c>
      <c r="I277" s="318">
        <v>14.649068147180492</v>
      </c>
      <c r="J277" s="318">
        <v>44.306615050333697</v>
      </c>
      <c r="K277" s="319">
        <v>43.954561897268505</v>
      </c>
      <c r="L277" s="319">
        <v>29.305493750088011</v>
      </c>
      <c r="M277" s="319">
        <f t="shared" si="4"/>
        <v>29.305493750088011</v>
      </c>
      <c r="N277" s="317">
        <v>13.460013279415424</v>
      </c>
      <c r="O277" s="315" t="s">
        <v>1148</v>
      </c>
      <c r="P277" s="318">
        <v>180</v>
      </c>
      <c r="R277" s="320">
        <v>82.222222222222229</v>
      </c>
      <c r="S277" s="318">
        <v>35</v>
      </c>
      <c r="T277" s="318">
        <v>360</v>
      </c>
      <c r="U277" s="318">
        <v>137</v>
      </c>
      <c r="V277" s="315">
        <v>0.21</v>
      </c>
      <c r="W277" s="318">
        <v>1000</v>
      </c>
      <c r="X277" s="315">
        <v>4</v>
      </c>
      <c r="Y277" s="315" t="s">
        <v>1149</v>
      </c>
      <c r="Z277" s="315">
        <v>0</v>
      </c>
      <c r="AA277" s="315" t="s">
        <v>1157</v>
      </c>
    </row>
    <row r="278" spans="1:27" s="315" customFormat="1">
      <c r="A278" s="315" t="s">
        <v>1575</v>
      </c>
      <c r="B278" s="315" t="s">
        <v>1610</v>
      </c>
      <c r="C278" s="316" t="s">
        <v>1619</v>
      </c>
      <c r="D278" s="316" t="s">
        <v>1619</v>
      </c>
      <c r="E278" s="317">
        <v>33.880000000000003</v>
      </c>
      <c r="F278" s="317">
        <v>10.894485</v>
      </c>
      <c r="G278" s="317">
        <v>10.894485</v>
      </c>
      <c r="H278" s="317">
        <v>10.894485</v>
      </c>
      <c r="I278" s="318">
        <v>32.15609504132231</v>
      </c>
      <c r="J278" s="318">
        <v>44.306615050333697</v>
      </c>
      <c r="K278" s="319">
        <v>43.954561897268505</v>
      </c>
      <c r="L278" s="319">
        <v>11.798466855946195</v>
      </c>
      <c r="M278" s="319">
        <f t="shared" si="4"/>
        <v>11.798466855946195</v>
      </c>
      <c r="N278" s="317">
        <v>3.9973205707945714</v>
      </c>
      <c r="O278" s="315" t="s">
        <v>1148</v>
      </c>
      <c r="P278" s="318">
        <v>180</v>
      </c>
      <c r="R278" s="320">
        <v>82.222222222222229</v>
      </c>
      <c r="S278" s="318">
        <v>35</v>
      </c>
      <c r="T278" s="318">
        <v>321</v>
      </c>
      <c r="U278" s="318">
        <v>137</v>
      </c>
      <c r="V278" s="315">
        <v>0.21</v>
      </c>
      <c r="W278" s="318">
        <v>1000</v>
      </c>
      <c r="X278" s="315">
        <v>5</v>
      </c>
      <c r="Y278" s="315" t="s">
        <v>1149</v>
      </c>
      <c r="Z278" s="315">
        <v>0</v>
      </c>
      <c r="AA278" s="315" t="s">
        <v>1157</v>
      </c>
    </row>
    <row r="279" spans="1:27" s="315" customFormat="1">
      <c r="A279" s="315" t="s">
        <v>1575</v>
      </c>
      <c r="B279" s="315" t="s">
        <v>1610</v>
      </c>
      <c r="C279" s="316" t="s">
        <v>1620</v>
      </c>
      <c r="D279" s="316" t="s">
        <v>1620</v>
      </c>
      <c r="E279" s="317">
        <v>23.95</v>
      </c>
      <c r="F279" s="317">
        <v>2.8388610000000001</v>
      </c>
      <c r="G279" s="317">
        <v>2.8388610000000001</v>
      </c>
      <c r="H279" s="317">
        <v>2.8388610000000001</v>
      </c>
      <c r="I279" s="318">
        <v>11.853281837160752</v>
      </c>
      <c r="J279" s="318">
        <v>44.306615050333697</v>
      </c>
      <c r="K279" s="319">
        <v>43.954561897268505</v>
      </c>
      <c r="L279" s="319">
        <v>32.101280060107754</v>
      </c>
      <c r="M279" s="319">
        <f t="shared" si="4"/>
        <v>32.101280060107754</v>
      </c>
      <c r="N279" s="317">
        <v>7.6882565743958073</v>
      </c>
      <c r="O279" s="315" t="s">
        <v>1148</v>
      </c>
      <c r="P279" s="318">
        <v>180</v>
      </c>
      <c r="R279" s="320">
        <v>82.222222222222229</v>
      </c>
      <c r="S279" s="318">
        <v>35</v>
      </c>
      <c r="T279" s="318">
        <v>342</v>
      </c>
      <c r="U279" s="318">
        <v>137</v>
      </c>
      <c r="V279" s="315">
        <v>0.21</v>
      </c>
      <c r="W279" s="318">
        <v>1000</v>
      </c>
      <c r="X279" s="315">
        <v>2</v>
      </c>
      <c r="Y279" s="315" t="s">
        <v>1149</v>
      </c>
      <c r="Z279" s="315">
        <v>0</v>
      </c>
      <c r="AA279" s="315" t="s">
        <v>1157</v>
      </c>
    </row>
    <row r="280" spans="1:27" s="315" customFormat="1">
      <c r="A280" s="315" t="s">
        <v>1145</v>
      </c>
      <c r="B280" s="315" t="s">
        <v>663</v>
      </c>
      <c r="C280" s="316" t="s">
        <v>1870</v>
      </c>
      <c r="D280" s="316" t="s">
        <v>1870</v>
      </c>
      <c r="E280" s="317">
        <v>2.780000264650023</v>
      </c>
      <c r="F280" s="317">
        <v>9.3099999999999997E-4</v>
      </c>
      <c r="G280" s="317">
        <v>1.4090000000000001E-3</v>
      </c>
      <c r="H280" s="317">
        <v>1.4090000000000001E-3</v>
      </c>
      <c r="I280" s="318">
        <v>5.0683448412454757E-2</v>
      </c>
      <c r="J280" s="318">
        <v>81.456828243992305</v>
      </c>
      <c r="K280" s="319">
        <v>22.745048628350101</v>
      </c>
      <c r="L280" s="319">
        <v>22.694365179937648</v>
      </c>
      <c r="M280" s="319">
        <f t="shared" si="4"/>
        <v>22.694365179937648</v>
      </c>
      <c r="N280" s="317">
        <v>0.63090341206290923</v>
      </c>
      <c r="O280" s="315" t="s">
        <v>1148</v>
      </c>
      <c r="P280" s="318">
        <v>180</v>
      </c>
      <c r="R280" s="320">
        <v>82.222222222222229</v>
      </c>
      <c r="S280" s="318">
        <v>40</v>
      </c>
      <c r="T280" s="318">
        <v>24.07</v>
      </c>
      <c r="U280" s="318">
        <v>849.779</v>
      </c>
      <c r="V280" s="315">
        <v>0.2</v>
      </c>
      <c r="W280" s="318">
        <v>10</v>
      </c>
      <c r="X280" s="315">
        <v>1</v>
      </c>
      <c r="Y280" s="315" t="s">
        <v>1149</v>
      </c>
      <c r="Z280" s="315">
        <v>0</v>
      </c>
      <c r="AA280" s="315" t="s">
        <v>1190</v>
      </c>
    </row>
    <row r="281" spans="1:27" s="315" customFormat="1">
      <c r="A281" s="315" t="s">
        <v>1145</v>
      </c>
      <c r="B281" s="315" t="s">
        <v>663</v>
      </c>
      <c r="C281" s="316" t="s">
        <v>1871</v>
      </c>
      <c r="D281" s="316" t="s">
        <v>1871</v>
      </c>
      <c r="E281" s="317">
        <v>1.5800001504126033</v>
      </c>
      <c r="F281" s="317">
        <v>0</v>
      </c>
      <c r="G281" s="317">
        <v>0</v>
      </c>
      <c r="H281" s="317">
        <v>0</v>
      </c>
      <c r="I281" s="318">
        <v>0</v>
      </c>
      <c r="J281" s="318">
        <v>77.835991140621203</v>
      </c>
      <c r="K281" s="319">
        <v>28.4625712560252</v>
      </c>
      <c r="L281" s="319">
        <v>28.4625712560252</v>
      </c>
      <c r="M281" s="319">
        <f t="shared" si="4"/>
        <v>28.4625712560252</v>
      </c>
      <c r="N281" s="317">
        <v>0.44970866865649256</v>
      </c>
      <c r="O281" s="315" t="s">
        <v>1168</v>
      </c>
      <c r="P281" s="318">
        <v>180.10599999999999</v>
      </c>
      <c r="R281" s="320">
        <v>82.281111111111102</v>
      </c>
      <c r="S281" s="318">
        <v>40</v>
      </c>
      <c r="T281" s="318">
        <v>22.6</v>
      </c>
      <c r="U281" s="318">
        <v>180.45500000000001</v>
      </c>
      <c r="V281" s="315">
        <v>0.2</v>
      </c>
      <c r="W281" s="318">
        <v>112</v>
      </c>
      <c r="X281" s="315">
        <v>0</v>
      </c>
      <c r="Y281" s="315" t="s">
        <v>1149</v>
      </c>
      <c r="Z281" s="315">
        <v>0</v>
      </c>
      <c r="AA281" s="315" t="s">
        <v>1190</v>
      </c>
    </row>
    <row r="282" spans="1:27" s="315" customFormat="1">
      <c r="A282" s="315" t="s">
        <v>1145</v>
      </c>
      <c r="B282" s="315" t="s">
        <v>663</v>
      </c>
      <c r="C282" s="316" t="s">
        <v>1873</v>
      </c>
      <c r="D282" s="316" t="s">
        <v>1873</v>
      </c>
      <c r="E282" s="317">
        <v>0.99000009424587165</v>
      </c>
      <c r="F282" s="317">
        <v>0.25971519999999998</v>
      </c>
      <c r="G282" s="317">
        <v>0.25971519999999998</v>
      </c>
      <c r="H282" s="317">
        <v>0.25971519999999998</v>
      </c>
      <c r="I282" s="318">
        <v>26.233856088451883</v>
      </c>
      <c r="J282" s="318">
        <v>87.435241614639594</v>
      </c>
      <c r="K282" s="319">
        <v>19.916714765895101</v>
      </c>
      <c r="L282" s="319">
        <v>-6.3171413225567825</v>
      </c>
      <c r="M282" s="319">
        <f t="shared" si="4"/>
        <v>0</v>
      </c>
      <c r="N282" s="317">
        <v>0</v>
      </c>
      <c r="O282" s="315" t="s">
        <v>1148</v>
      </c>
      <c r="P282" s="318">
        <v>180.16346455000001</v>
      </c>
      <c r="R282" s="320">
        <v>82.313035861111132</v>
      </c>
      <c r="S282" s="318">
        <v>40</v>
      </c>
      <c r="T282" s="318">
        <v>19.690000000000001</v>
      </c>
      <c r="U282" s="318">
        <v>370.75300000000004</v>
      </c>
      <c r="V282" s="315">
        <v>0.19</v>
      </c>
      <c r="W282" s="318">
        <v>10.98</v>
      </c>
      <c r="X282" s="315">
        <v>1</v>
      </c>
      <c r="Y282" s="315" t="s">
        <v>1149</v>
      </c>
      <c r="Z282" s="315">
        <v>0</v>
      </c>
      <c r="AA282" s="315" t="s">
        <v>1190</v>
      </c>
    </row>
    <row r="283" spans="1:27" s="315" customFormat="1">
      <c r="A283" s="315" t="s">
        <v>1145</v>
      </c>
      <c r="B283" s="315" t="s">
        <v>1624</v>
      </c>
      <c r="C283" s="316" t="s">
        <v>1627</v>
      </c>
      <c r="D283" s="316" t="s">
        <v>1627</v>
      </c>
      <c r="E283" s="317">
        <v>3.2576249070299323</v>
      </c>
      <c r="F283" s="317">
        <v>0</v>
      </c>
      <c r="G283" s="317">
        <v>0.55913310000000005</v>
      </c>
      <c r="H283" s="317">
        <v>0.55913310000000005</v>
      </c>
      <c r="I283" s="318">
        <v>17.163826897117428</v>
      </c>
      <c r="J283" s="318">
        <v>49.681230881313198</v>
      </c>
      <c r="K283" s="319">
        <v>38.895165089143504</v>
      </c>
      <c r="L283" s="319">
        <v>21.731338192026076</v>
      </c>
      <c r="M283" s="319">
        <f t="shared" si="4"/>
        <v>21.731338192026076</v>
      </c>
      <c r="N283" s="317">
        <v>0.70792548557434964</v>
      </c>
      <c r="O283" s="315" t="s">
        <v>1168</v>
      </c>
      <c r="P283" s="318">
        <v>180.48</v>
      </c>
      <c r="R283" s="320">
        <v>82.48888888888888</v>
      </c>
      <c r="S283" s="318">
        <v>39.9</v>
      </c>
      <c r="T283" s="318">
        <v>41</v>
      </c>
      <c r="U283" s="318">
        <v>52</v>
      </c>
      <c r="V283" s="315">
        <v>0.22</v>
      </c>
      <c r="W283" s="318">
        <v>600</v>
      </c>
      <c r="X283" s="315">
        <v>2</v>
      </c>
      <c r="Y283" s="315" t="s">
        <v>1149</v>
      </c>
      <c r="Z283" s="315">
        <v>0</v>
      </c>
      <c r="AA283" s="315" t="s">
        <v>1157</v>
      </c>
    </row>
    <row r="284" spans="1:27" s="315" customFormat="1">
      <c r="A284" s="315" t="s">
        <v>1575</v>
      </c>
      <c r="B284" s="315" t="s">
        <v>1610</v>
      </c>
      <c r="C284" s="316" t="s">
        <v>1621</v>
      </c>
      <c r="D284" s="316" t="s">
        <v>1621</v>
      </c>
      <c r="E284" s="317">
        <v>6.16</v>
      </c>
      <c r="F284" s="317">
        <v>1.2811730000000001</v>
      </c>
      <c r="G284" s="317">
        <v>1.2811730000000001</v>
      </c>
      <c r="H284" s="317">
        <v>1.2811730000000001</v>
      </c>
      <c r="I284" s="318">
        <v>20.79826298701299</v>
      </c>
      <c r="J284" s="318">
        <v>71.459646644162902</v>
      </c>
      <c r="K284" s="319">
        <v>35.740907639910901</v>
      </c>
      <c r="L284" s="319">
        <v>14.942644652897911</v>
      </c>
      <c r="M284" s="319">
        <f t="shared" si="4"/>
        <v>14.942644652897911</v>
      </c>
      <c r="N284" s="317">
        <v>0.92046691061851127</v>
      </c>
      <c r="O284" s="315" t="s">
        <v>1148</v>
      </c>
      <c r="P284" s="318">
        <v>181</v>
      </c>
      <c r="R284" s="320">
        <v>82.777777777777771</v>
      </c>
      <c r="S284" s="318">
        <v>41</v>
      </c>
      <c r="T284" s="318">
        <v>45</v>
      </c>
      <c r="U284" s="318">
        <v>169</v>
      </c>
      <c r="V284" s="315">
        <v>0.21199999999999999</v>
      </c>
      <c r="W284" s="318">
        <v>140</v>
      </c>
      <c r="X284" s="315">
        <v>1</v>
      </c>
      <c r="Y284" s="315" t="s">
        <v>1149</v>
      </c>
      <c r="Z284" s="315">
        <v>0</v>
      </c>
      <c r="AA284" s="315" t="s">
        <v>1157</v>
      </c>
    </row>
    <row r="285" spans="1:27" s="315" customFormat="1">
      <c r="A285" s="315" t="s">
        <v>1575</v>
      </c>
      <c r="B285" s="315" t="s">
        <v>1610</v>
      </c>
      <c r="C285" s="316" t="s">
        <v>1622</v>
      </c>
      <c r="D285" s="316" t="s">
        <v>1622</v>
      </c>
      <c r="E285" s="317">
        <v>14.190000000000001</v>
      </c>
      <c r="F285" s="317">
        <v>1.4919889999999998</v>
      </c>
      <c r="G285" s="317">
        <v>1.4919889999999998</v>
      </c>
      <c r="H285" s="317">
        <v>1.4919889999999998</v>
      </c>
      <c r="I285" s="318">
        <v>10.514369274136714</v>
      </c>
      <c r="J285" s="318">
        <v>71.459646644162902</v>
      </c>
      <c r="K285" s="319">
        <v>35.429522752696101</v>
      </c>
      <c r="L285" s="319">
        <v>24.91515347855939</v>
      </c>
      <c r="M285" s="319">
        <f t="shared" si="4"/>
        <v>24.91515347855939</v>
      </c>
      <c r="N285" s="317">
        <v>3.5354602786075779</v>
      </c>
      <c r="O285" s="315" t="s">
        <v>1148</v>
      </c>
      <c r="P285" s="318">
        <v>181</v>
      </c>
      <c r="R285" s="320">
        <v>82.777777777777771</v>
      </c>
      <c r="S285" s="318">
        <v>41</v>
      </c>
      <c r="T285" s="318">
        <v>27</v>
      </c>
      <c r="U285" s="318">
        <v>169</v>
      </c>
      <c r="V285" s="315">
        <v>0.21199999999999999</v>
      </c>
      <c r="W285" s="318">
        <v>140</v>
      </c>
      <c r="X285" s="315">
        <v>1</v>
      </c>
      <c r="Y285" s="315" t="s">
        <v>1149</v>
      </c>
      <c r="Z285" s="315">
        <v>0</v>
      </c>
      <c r="AA285" s="315" t="s">
        <v>1157</v>
      </c>
    </row>
    <row r="286" spans="1:27" s="315" customFormat="1">
      <c r="A286" s="315" t="s">
        <v>1575</v>
      </c>
      <c r="B286" s="315" t="s">
        <v>1610</v>
      </c>
      <c r="C286" s="316" t="s">
        <v>1623</v>
      </c>
      <c r="D286" s="316" t="s">
        <v>1623</v>
      </c>
      <c r="E286" s="317">
        <v>5.09</v>
      </c>
      <c r="F286" s="317">
        <v>1.6632830000000001</v>
      </c>
      <c r="G286" s="317">
        <v>1.6632830000000001</v>
      </c>
      <c r="H286" s="317">
        <v>1.6632830000000001</v>
      </c>
      <c r="I286" s="318">
        <v>32.677465618860509</v>
      </c>
      <c r="J286" s="318">
        <v>71.520028419345707</v>
      </c>
      <c r="K286" s="319">
        <v>36.066574682970696</v>
      </c>
      <c r="L286" s="319">
        <v>3.3891090641101869</v>
      </c>
      <c r="M286" s="319">
        <f t="shared" si="4"/>
        <v>3.3891090641101869</v>
      </c>
      <c r="N286" s="317">
        <v>0.17250565136320853</v>
      </c>
      <c r="O286" s="315" t="s">
        <v>1148</v>
      </c>
      <c r="P286" s="318">
        <v>181</v>
      </c>
      <c r="R286" s="320">
        <v>82.777777777777771</v>
      </c>
      <c r="S286" s="318">
        <v>41</v>
      </c>
      <c r="T286" s="318">
        <v>23</v>
      </c>
      <c r="U286" s="318">
        <v>169</v>
      </c>
      <c r="V286" s="315">
        <v>0.21199999999999999</v>
      </c>
      <c r="W286" s="318">
        <v>140</v>
      </c>
      <c r="X286" s="315">
        <v>1</v>
      </c>
      <c r="Y286" s="315" t="s">
        <v>1149</v>
      </c>
      <c r="Z286" s="315">
        <v>0</v>
      </c>
      <c r="AA286" s="315" t="s">
        <v>1157</v>
      </c>
    </row>
    <row r="287" spans="1:27" s="315" customFormat="1">
      <c r="A287" s="315" t="s">
        <v>1145</v>
      </c>
      <c r="B287" s="315" t="s">
        <v>663</v>
      </c>
      <c r="C287" s="316" t="s">
        <v>1875</v>
      </c>
      <c r="D287" s="316" t="s">
        <v>1875</v>
      </c>
      <c r="E287" s="317">
        <v>2.4764545357531254</v>
      </c>
      <c r="F287" s="317">
        <v>0</v>
      </c>
      <c r="G287" s="317">
        <v>0</v>
      </c>
      <c r="H287" s="317">
        <v>0</v>
      </c>
      <c r="I287" s="318">
        <v>0</v>
      </c>
      <c r="J287" s="318">
        <v>87.092332850413797</v>
      </c>
      <c r="K287" s="319">
        <v>19.3247518870829</v>
      </c>
      <c r="L287" s="319">
        <v>19.3247518870829</v>
      </c>
      <c r="M287" s="319">
        <f t="shared" si="4"/>
        <v>19.3247518870829</v>
      </c>
      <c r="N287" s="317">
        <v>0.47856869463070217</v>
      </c>
      <c r="O287" s="315" t="s">
        <v>1168</v>
      </c>
      <c r="P287" s="318">
        <v>181</v>
      </c>
      <c r="R287" s="320">
        <v>82.777777777777771</v>
      </c>
      <c r="S287" s="318">
        <v>41</v>
      </c>
      <c r="T287" s="318">
        <v>21.62</v>
      </c>
      <c r="U287" s="318">
        <v>433</v>
      </c>
      <c r="V287" s="315">
        <v>0.18</v>
      </c>
      <c r="W287" s="318">
        <v>10</v>
      </c>
      <c r="X287" s="315">
        <v>0</v>
      </c>
      <c r="Y287" s="315" t="s">
        <v>1149</v>
      </c>
      <c r="Z287" s="315">
        <v>0</v>
      </c>
      <c r="AA287" s="315" t="s">
        <v>1157</v>
      </c>
    </row>
    <row r="288" spans="1:27" s="315" customFormat="1">
      <c r="A288" s="315" t="s">
        <v>1145</v>
      </c>
      <c r="B288" s="315" t="s">
        <v>663</v>
      </c>
      <c r="C288" s="316" t="s">
        <v>1876</v>
      </c>
      <c r="D288" s="316" t="s">
        <v>1876</v>
      </c>
      <c r="E288" s="317">
        <v>12.960001233764139</v>
      </c>
      <c r="F288" s="317">
        <v>0</v>
      </c>
      <c r="G288" s="317">
        <v>0</v>
      </c>
      <c r="H288" s="317">
        <v>3.8479999999999999</v>
      </c>
      <c r="I288" s="318">
        <v>29.691355198138169</v>
      </c>
      <c r="J288" s="318">
        <v>63.149583364344402</v>
      </c>
      <c r="K288" s="319">
        <v>39.964945737278597</v>
      </c>
      <c r="L288" s="319">
        <v>10.273590539140429</v>
      </c>
      <c r="M288" s="319">
        <f t="shared" si="4"/>
        <v>10.273590539140429</v>
      </c>
      <c r="N288" s="317">
        <v>1.3314574606244753</v>
      </c>
      <c r="O288" s="315" t="s">
        <v>1168</v>
      </c>
      <c r="P288" s="318">
        <v>181.09543260000001</v>
      </c>
      <c r="R288" s="320">
        <v>82.830795888888886</v>
      </c>
      <c r="S288" s="318">
        <v>32</v>
      </c>
      <c r="T288" s="318">
        <v>10</v>
      </c>
      <c r="U288" s="318">
        <v>106</v>
      </c>
      <c r="V288" s="315">
        <v>0.21204400000000001</v>
      </c>
      <c r="W288" s="318">
        <v>539.89490000000001</v>
      </c>
      <c r="X288" s="315">
        <v>0</v>
      </c>
      <c r="Y288" s="315" t="s">
        <v>1149</v>
      </c>
      <c r="Z288" s="315">
        <v>0</v>
      </c>
      <c r="AA288" s="315" t="s">
        <v>1157</v>
      </c>
    </row>
    <row r="289" spans="1:27" s="315" customFormat="1">
      <c r="A289" s="315" t="s">
        <v>1145</v>
      </c>
      <c r="B289" s="315" t="s">
        <v>663</v>
      </c>
      <c r="C289" s="316" t="s">
        <v>1878</v>
      </c>
      <c r="D289" s="316" t="s">
        <v>1878</v>
      </c>
      <c r="E289" s="317">
        <v>37.220003543263978</v>
      </c>
      <c r="F289" s="317">
        <v>9.8125914999999999</v>
      </c>
      <c r="G289" s="317">
        <v>10.582183799999999</v>
      </c>
      <c r="H289" s="317">
        <v>12.7951838</v>
      </c>
      <c r="I289" s="318">
        <v>34.377169752622585</v>
      </c>
      <c r="J289" s="318">
        <v>63.0208185656235</v>
      </c>
      <c r="K289" s="319">
        <v>40.191610016979403</v>
      </c>
      <c r="L289" s="319">
        <v>5.8144402643568185</v>
      </c>
      <c r="M289" s="319">
        <f t="shared" si="4"/>
        <v>5.8144402643568185</v>
      </c>
      <c r="N289" s="317">
        <v>2.164134872414575</v>
      </c>
      <c r="O289" s="315" t="s">
        <v>1148</v>
      </c>
      <c r="P289" s="318">
        <v>181.09543260000001</v>
      </c>
      <c r="R289" s="320">
        <v>82.830795888888886</v>
      </c>
      <c r="S289" s="318">
        <v>32</v>
      </c>
      <c r="T289" s="318">
        <v>10</v>
      </c>
      <c r="U289" s="318">
        <v>192</v>
      </c>
      <c r="V289" s="315">
        <v>0.21205499999999999</v>
      </c>
      <c r="W289" s="318">
        <v>539.90049999999997</v>
      </c>
      <c r="X289" s="315">
        <v>0</v>
      </c>
      <c r="Y289" s="315" t="s">
        <v>1149</v>
      </c>
      <c r="Z289" s="315">
        <v>0</v>
      </c>
      <c r="AA289" s="315" t="s">
        <v>1150</v>
      </c>
    </row>
    <row r="290" spans="1:27" s="315" customFormat="1">
      <c r="A290" s="315" t="s">
        <v>1145</v>
      </c>
      <c r="B290" s="315" t="s">
        <v>1066</v>
      </c>
      <c r="C290" s="316" t="s">
        <v>1303</v>
      </c>
      <c r="D290" s="316" t="s">
        <v>1304</v>
      </c>
      <c r="E290" s="317">
        <v>6.91</v>
      </c>
      <c r="F290" s="317">
        <v>1.2079647</v>
      </c>
      <c r="G290" s="317">
        <v>1.3169496000000001</v>
      </c>
      <c r="H290" s="317">
        <v>1.3674078000000001</v>
      </c>
      <c r="I290" s="318">
        <v>19.788824891461651</v>
      </c>
      <c r="J290" s="318">
        <v>59.508063691540201</v>
      </c>
      <c r="K290" s="319">
        <v>39.126028952830801</v>
      </c>
      <c r="L290" s="319">
        <v>19.33720406136915</v>
      </c>
      <c r="M290" s="319">
        <f t="shared" si="4"/>
        <v>19.33720406136915</v>
      </c>
      <c r="N290" s="317">
        <v>1.3362008006406083</v>
      </c>
      <c r="O290" s="315" t="s">
        <v>1148</v>
      </c>
      <c r="P290" s="318">
        <v>182</v>
      </c>
      <c r="R290" s="320">
        <v>83.333333333333329</v>
      </c>
      <c r="S290" s="318">
        <v>40</v>
      </c>
      <c r="T290" s="318">
        <v>192.3</v>
      </c>
      <c r="U290" s="318">
        <v>245</v>
      </c>
      <c r="V290" s="315">
        <v>0.2</v>
      </c>
      <c r="W290" s="318">
        <v>298</v>
      </c>
      <c r="X290" s="315">
        <v>2</v>
      </c>
      <c r="Y290" s="315" t="s">
        <v>1149</v>
      </c>
      <c r="Z290" s="315">
        <v>0</v>
      </c>
      <c r="AA290" s="315" t="s">
        <v>1190</v>
      </c>
    </row>
    <row r="291" spans="1:27" s="315" customFormat="1">
      <c r="A291" s="315" t="s">
        <v>1145</v>
      </c>
      <c r="B291" s="315" t="s">
        <v>1066</v>
      </c>
      <c r="C291" s="316" t="s">
        <v>1306</v>
      </c>
      <c r="D291" s="316" t="s">
        <v>1307</v>
      </c>
      <c r="E291" s="317">
        <v>5.3848010000000004</v>
      </c>
      <c r="F291" s="317">
        <v>2.6827122999999999</v>
      </c>
      <c r="G291" s="317">
        <v>2.9247518000000001</v>
      </c>
      <c r="H291" s="317">
        <v>3.6401195</v>
      </c>
      <c r="I291" s="318">
        <v>67.599889020968462</v>
      </c>
      <c r="J291" s="318">
        <v>54.111056103687197</v>
      </c>
      <c r="K291" s="319">
        <v>40.062392918240803</v>
      </c>
      <c r="L291" s="319">
        <v>-27.537496102727658</v>
      </c>
      <c r="M291" s="319">
        <f t="shared" si="4"/>
        <v>0</v>
      </c>
      <c r="N291" s="317">
        <v>0</v>
      </c>
      <c r="O291" s="315" t="s">
        <v>1148</v>
      </c>
      <c r="P291" s="318">
        <v>182</v>
      </c>
      <c r="R291" s="320">
        <v>83.333333333333329</v>
      </c>
      <c r="S291" s="318">
        <v>38</v>
      </c>
      <c r="T291" s="318">
        <v>37.4</v>
      </c>
      <c r="U291" s="318">
        <v>86</v>
      </c>
      <c r="V291" s="315">
        <v>0.23</v>
      </c>
      <c r="W291" s="318">
        <v>97.2</v>
      </c>
      <c r="X291" s="315">
        <v>2</v>
      </c>
      <c r="Y291" s="315" t="s">
        <v>1149</v>
      </c>
      <c r="Z291" s="315">
        <v>0</v>
      </c>
      <c r="AA291" s="315" t="s">
        <v>1190</v>
      </c>
    </row>
    <row r="292" spans="1:27" s="315" customFormat="1">
      <c r="A292" s="315" t="s">
        <v>1596</v>
      </c>
      <c r="B292" s="315" t="s">
        <v>660</v>
      </c>
      <c r="C292" s="316" t="s">
        <v>1516</v>
      </c>
      <c r="D292" s="316" t="s">
        <v>1516</v>
      </c>
      <c r="E292" s="317">
        <v>34.69</v>
      </c>
      <c r="F292" s="317">
        <v>6.7205589999999997</v>
      </c>
      <c r="G292" s="317">
        <v>8.2724499999999992</v>
      </c>
      <c r="H292" s="317">
        <v>8.2724499999999992</v>
      </c>
      <c r="I292" s="318">
        <v>23.846785817238398</v>
      </c>
      <c r="J292" s="318">
        <v>55.1851656863047</v>
      </c>
      <c r="K292" s="319">
        <v>38.573043705912305</v>
      </c>
      <c r="L292" s="319">
        <v>14.726257888673906</v>
      </c>
      <c r="M292" s="319">
        <f t="shared" si="4"/>
        <v>14.726257888673906</v>
      </c>
      <c r="N292" s="317">
        <v>5.1085388615809784</v>
      </c>
      <c r="O292" s="315" t="s">
        <v>1148</v>
      </c>
      <c r="P292" s="318">
        <v>182</v>
      </c>
      <c r="R292" s="320">
        <v>83.333333333333329</v>
      </c>
      <c r="S292" s="318">
        <v>36</v>
      </c>
      <c r="T292" s="318">
        <v>95.149000000000001</v>
      </c>
      <c r="U292" s="318">
        <v>300</v>
      </c>
      <c r="V292" s="315">
        <v>0.28000000000000003</v>
      </c>
      <c r="W292" s="318">
        <v>4406</v>
      </c>
      <c r="X292" s="315">
        <v>2</v>
      </c>
      <c r="Y292" s="315" t="s">
        <v>1149</v>
      </c>
      <c r="Z292" s="315">
        <v>0</v>
      </c>
      <c r="AA292" s="315" t="s">
        <v>1190</v>
      </c>
    </row>
    <row r="293" spans="1:27" s="315" customFormat="1">
      <c r="A293" s="315" t="s">
        <v>1598</v>
      </c>
      <c r="B293" s="315" t="s">
        <v>660</v>
      </c>
      <c r="C293" s="316" t="s">
        <v>1518</v>
      </c>
      <c r="D293" s="316" t="s">
        <v>1518</v>
      </c>
      <c r="E293" s="317">
        <v>0</v>
      </c>
      <c r="F293" s="317">
        <v>0</v>
      </c>
      <c r="G293" s="317">
        <v>0</v>
      </c>
      <c r="H293" s="317">
        <v>0</v>
      </c>
      <c r="I293" s="318">
        <v>0</v>
      </c>
      <c r="J293" s="318">
        <v>61.657133361172498</v>
      </c>
      <c r="K293" s="319">
        <v>32.853841637349404</v>
      </c>
      <c r="L293" s="319">
        <v>0</v>
      </c>
      <c r="M293" s="319">
        <f t="shared" si="4"/>
        <v>0</v>
      </c>
      <c r="N293" s="317">
        <v>0</v>
      </c>
      <c r="O293" s="315" t="s">
        <v>1168</v>
      </c>
      <c r="P293" s="318">
        <v>182</v>
      </c>
      <c r="R293" s="320">
        <v>83.333333333333329</v>
      </c>
      <c r="S293" s="318">
        <v>36</v>
      </c>
      <c r="T293" s="318">
        <v>31.497599999999998</v>
      </c>
      <c r="U293" s="318">
        <v>200</v>
      </c>
      <c r="V293" s="315">
        <v>0.28000000000000003</v>
      </c>
      <c r="W293" s="318">
        <v>3448</v>
      </c>
      <c r="X293" s="315">
        <v>2</v>
      </c>
      <c r="Y293" s="315" t="s">
        <v>1149</v>
      </c>
      <c r="Z293" s="315">
        <v>0</v>
      </c>
      <c r="AA293" s="315" t="s">
        <v>1190</v>
      </c>
    </row>
    <row r="294" spans="1:27" s="315" customFormat="1">
      <c r="A294" s="315" t="s">
        <v>1145</v>
      </c>
      <c r="B294" s="315" t="s">
        <v>663</v>
      </c>
      <c r="C294" s="316" t="s">
        <v>1879</v>
      </c>
      <c r="D294" s="316" t="s">
        <v>1879</v>
      </c>
      <c r="E294" s="317">
        <v>2.390000227522862</v>
      </c>
      <c r="F294" s="317">
        <v>0</v>
      </c>
      <c r="G294" s="317">
        <v>0.22101460000000001</v>
      </c>
      <c r="H294" s="317">
        <v>0.37401459999999997</v>
      </c>
      <c r="I294" s="318">
        <v>15.649144953749685</v>
      </c>
      <c r="J294" s="318">
        <v>86.278811281243193</v>
      </c>
      <c r="K294" s="319">
        <v>20.8675497958241</v>
      </c>
      <c r="L294" s="319">
        <v>5.2184048420744151</v>
      </c>
      <c r="M294" s="319">
        <f t="shared" si="4"/>
        <v>5.2184048420744151</v>
      </c>
      <c r="N294" s="317">
        <v>0.12471988759864257</v>
      </c>
      <c r="O294" s="315" t="s">
        <v>1168</v>
      </c>
      <c r="P294" s="318">
        <v>182.32900000000001</v>
      </c>
      <c r="R294" s="320">
        <v>83.516111111111115</v>
      </c>
      <c r="S294" s="318">
        <v>40</v>
      </c>
      <c r="T294" s="318">
        <v>40.31</v>
      </c>
      <c r="U294" s="318">
        <v>180</v>
      </c>
      <c r="V294" s="315">
        <v>0.22</v>
      </c>
      <c r="W294" s="318">
        <v>28.56</v>
      </c>
      <c r="X294" s="315">
        <v>1</v>
      </c>
      <c r="Y294" s="315" t="s">
        <v>1149</v>
      </c>
      <c r="Z294" s="315">
        <v>0</v>
      </c>
      <c r="AA294" s="315" t="s">
        <v>1190</v>
      </c>
    </row>
    <row r="295" spans="1:27" s="315" customFormat="1">
      <c r="A295" s="315" t="s">
        <v>1145</v>
      </c>
      <c r="B295" s="315" t="s">
        <v>663</v>
      </c>
      <c r="C295" s="316" t="s">
        <v>1880</v>
      </c>
      <c r="D295" s="316" t="s">
        <v>1880</v>
      </c>
      <c r="E295" s="317">
        <v>11.600001104295062</v>
      </c>
      <c r="F295" s="317">
        <v>1.9241588000000001</v>
      </c>
      <c r="G295" s="317">
        <v>1.9241588000000001</v>
      </c>
      <c r="H295" s="317">
        <v>1.9241588000000001</v>
      </c>
      <c r="I295" s="318">
        <v>16.587574282967555</v>
      </c>
      <c r="J295" s="318">
        <v>77.178441298941195</v>
      </c>
      <c r="K295" s="319">
        <v>28.641591985674296</v>
      </c>
      <c r="L295" s="319">
        <v>12.054017702706741</v>
      </c>
      <c r="M295" s="319">
        <f t="shared" si="4"/>
        <v>12.054017702706741</v>
      </c>
      <c r="N295" s="317">
        <v>1.3982661866259041</v>
      </c>
      <c r="O295" s="315" t="s">
        <v>1148</v>
      </c>
      <c r="P295" s="318">
        <v>182.45249999999999</v>
      </c>
      <c r="R295" s="320">
        <v>83.584722222222211</v>
      </c>
      <c r="S295" s="318">
        <v>42</v>
      </c>
      <c r="T295" s="318">
        <v>31.5</v>
      </c>
      <c r="U295" s="318">
        <v>354.34800000000001</v>
      </c>
      <c r="V295" s="315">
        <v>0.22</v>
      </c>
      <c r="W295" s="318">
        <v>69</v>
      </c>
      <c r="X295" s="315">
        <v>0</v>
      </c>
      <c r="Y295" s="315" t="s">
        <v>1149</v>
      </c>
      <c r="Z295" s="315">
        <v>0</v>
      </c>
      <c r="AA295" s="315" t="s">
        <v>1190</v>
      </c>
    </row>
    <row r="296" spans="1:27" s="315" customFormat="1">
      <c r="B296" s="315" t="s">
        <v>663</v>
      </c>
      <c r="C296" s="316" t="s">
        <v>1881</v>
      </c>
      <c r="D296" s="316" t="s">
        <v>1881</v>
      </c>
      <c r="E296" s="317">
        <v>2.1531449049747464</v>
      </c>
      <c r="F296" s="317">
        <v>1.5393071</v>
      </c>
      <c r="G296" s="317">
        <v>1.5393071</v>
      </c>
      <c r="H296" s="317">
        <v>1.5393071</v>
      </c>
      <c r="I296" s="318">
        <v>71.491105705124568</v>
      </c>
      <c r="J296" s="318">
        <v>83.756578223378895</v>
      </c>
      <c r="K296" s="319">
        <v>24.707466815224301</v>
      </c>
      <c r="L296" s="319">
        <v>-46.783638889900267</v>
      </c>
      <c r="M296" s="319">
        <f t="shared" si="4"/>
        <v>0</v>
      </c>
      <c r="N296" s="317">
        <v>0</v>
      </c>
      <c r="O296" s="315" t="s">
        <v>1148</v>
      </c>
      <c r="P296" s="318">
        <v>182.79728729999999</v>
      </c>
      <c r="R296" s="320">
        <v>83.776270722222222</v>
      </c>
      <c r="S296" s="318">
        <v>40</v>
      </c>
      <c r="T296" s="318">
        <v>24.513999999999999</v>
      </c>
      <c r="U296" s="318">
        <v>400.28200000000004</v>
      </c>
      <c r="V296" s="315">
        <v>0.23</v>
      </c>
      <c r="W296" s="318">
        <v>219.35</v>
      </c>
      <c r="X296" s="315">
        <v>1</v>
      </c>
      <c r="Y296" s="315" t="s">
        <v>1149</v>
      </c>
      <c r="Z296" s="315">
        <v>0</v>
      </c>
      <c r="AA296" s="315" t="s">
        <v>1190</v>
      </c>
    </row>
    <row r="297" spans="1:27" s="315" customFormat="1">
      <c r="A297" s="315" t="s">
        <v>1145</v>
      </c>
      <c r="B297" s="315" t="s">
        <v>1066</v>
      </c>
      <c r="C297" s="316" t="s">
        <v>1308</v>
      </c>
      <c r="D297" s="316" t="s">
        <v>1309</v>
      </c>
      <c r="E297" s="317">
        <v>1.2</v>
      </c>
      <c r="F297" s="317">
        <v>0</v>
      </c>
      <c r="G297" s="317">
        <v>0</v>
      </c>
      <c r="H297" s="317">
        <v>0.88194989999999995</v>
      </c>
      <c r="I297" s="318">
        <v>73.495824999999996</v>
      </c>
      <c r="J297" s="318">
        <v>65.408807636189096</v>
      </c>
      <c r="K297" s="319">
        <v>36.561350356722599</v>
      </c>
      <c r="L297" s="319">
        <v>-36.934474643277397</v>
      </c>
      <c r="M297" s="319">
        <f t="shared" si="4"/>
        <v>0</v>
      </c>
      <c r="N297" s="317">
        <v>0</v>
      </c>
      <c r="O297" s="315" t="s">
        <v>1168</v>
      </c>
      <c r="P297" s="318">
        <v>182.971</v>
      </c>
      <c r="R297" s="320">
        <v>83.872777777777785</v>
      </c>
      <c r="S297" s="318">
        <v>40</v>
      </c>
      <c r="T297" s="318">
        <v>93.8</v>
      </c>
      <c r="U297" s="318">
        <v>93.8</v>
      </c>
      <c r="V297" s="315">
        <v>0.23</v>
      </c>
      <c r="W297" s="318">
        <v>130.1</v>
      </c>
      <c r="X297" s="315">
        <v>0</v>
      </c>
      <c r="Y297" s="315" t="s">
        <v>1149</v>
      </c>
      <c r="Z297" s="315">
        <v>0</v>
      </c>
      <c r="AA297" s="315" t="s">
        <v>1157</v>
      </c>
    </row>
    <row r="298" spans="1:27" s="315" customFormat="1">
      <c r="A298" s="315" t="s">
        <v>1145</v>
      </c>
      <c r="B298" s="315" t="s">
        <v>1066</v>
      </c>
      <c r="C298" s="316" t="s">
        <v>1311</v>
      </c>
      <c r="D298" s="316" t="s">
        <v>1312</v>
      </c>
      <c r="E298" s="317">
        <v>21.31</v>
      </c>
      <c r="F298" s="317">
        <v>9.7357133000000005</v>
      </c>
      <c r="G298" s="317">
        <v>10.6140881</v>
      </c>
      <c r="H298" s="317">
        <v>11.0207614</v>
      </c>
      <c r="I298" s="318">
        <v>51.71638385734397</v>
      </c>
      <c r="J298" s="318">
        <v>67.607666494640796</v>
      </c>
      <c r="K298" s="319">
        <v>35.807711895117201</v>
      </c>
      <c r="L298" s="319">
        <v>-15.908671962226769</v>
      </c>
      <c r="M298" s="319">
        <f t="shared" si="4"/>
        <v>0</v>
      </c>
      <c r="N298" s="317">
        <v>0</v>
      </c>
      <c r="O298" s="315" t="s">
        <v>1148</v>
      </c>
      <c r="P298" s="318">
        <v>183</v>
      </c>
      <c r="R298" s="320">
        <v>83.888888888888886</v>
      </c>
      <c r="S298" s="318">
        <v>38</v>
      </c>
      <c r="T298" s="318">
        <v>558.79999999999995</v>
      </c>
      <c r="U298" s="318">
        <v>558.79999999999995</v>
      </c>
      <c r="V298" s="315">
        <v>0.19</v>
      </c>
      <c r="W298" s="318">
        <v>76.599999999999994</v>
      </c>
      <c r="X298" s="315">
        <v>1</v>
      </c>
      <c r="Y298" s="315" t="s">
        <v>1149</v>
      </c>
      <c r="Z298" s="315">
        <v>0</v>
      </c>
      <c r="AA298" s="315" t="s">
        <v>1190</v>
      </c>
    </row>
    <row r="299" spans="1:27" s="315" customFormat="1">
      <c r="A299" s="315" t="s">
        <v>1145</v>
      </c>
      <c r="B299" s="315" t="s">
        <v>1066</v>
      </c>
      <c r="C299" s="316" t="s">
        <v>1313</v>
      </c>
      <c r="D299" s="316" t="s">
        <v>1314</v>
      </c>
      <c r="E299" s="317">
        <v>4.72</v>
      </c>
      <c r="F299" s="317">
        <v>0.76000599999999996</v>
      </c>
      <c r="G299" s="317">
        <v>0.98270489999999999</v>
      </c>
      <c r="H299" s="317">
        <v>1.0144419</v>
      </c>
      <c r="I299" s="318">
        <v>21.492413135593221</v>
      </c>
      <c r="J299" s="318">
        <v>67.876745794276104</v>
      </c>
      <c r="K299" s="319">
        <v>35.580310849698499</v>
      </c>
      <c r="L299" s="319">
        <v>14.087897714105278</v>
      </c>
      <c r="M299" s="319">
        <f t="shared" si="4"/>
        <v>14.087897714105278</v>
      </c>
      <c r="N299" s="317">
        <v>0.66494877210576908</v>
      </c>
      <c r="O299" s="315" t="s">
        <v>1148</v>
      </c>
      <c r="P299" s="318">
        <v>183</v>
      </c>
      <c r="R299" s="320">
        <v>83.888888888888886</v>
      </c>
      <c r="S299" s="318">
        <v>38</v>
      </c>
      <c r="T299" s="318">
        <v>558.79999999999995</v>
      </c>
      <c r="U299" s="318">
        <v>558.79999999999995</v>
      </c>
      <c r="V299" s="315">
        <v>0.19</v>
      </c>
      <c r="W299" s="318">
        <v>76.599999999999994</v>
      </c>
      <c r="X299" s="315">
        <v>3</v>
      </c>
      <c r="Y299" s="315" t="s">
        <v>1149</v>
      </c>
      <c r="Z299" s="315">
        <v>0</v>
      </c>
      <c r="AA299" s="315" t="s">
        <v>1190</v>
      </c>
    </row>
    <row r="300" spans="1:27" s="315" customFormat="1">
      <c r="A300" s="315" t="s">
        <v>1209</v>
      </c>
      <c r="B300" s="315" t="s">
        <v>1066</v>
      </c>
      <c r="C300" s="316" t="s">
        <v>1315</v>
      </c>
      <c r="D300" s="316" t="s">
        <v>1316</v>
      </c>
      <c r="E300" s="317">
        <v>11.118131999999999</v>
      </c>
      <c r="F300" s="317">
        <v>0</v>
      </c>
      <c r="G300" s="317">
        <v>0</v>
      </c>
      <c r="H300" s="317">
        <v>0</v>
      </c>
      <c r="I300" s="318">
        <v>0</v>
      </c>
      <c r="J300" s="318">
        <v>73.132331126580596</v>
      </c>
      <c r="K300" s="319">
        <v>31.832938043231401</v>
      </c>
      <c r="L300" s="319">
        <v>31.832938043231401</v>
      </c>
      <c r="M300" s="319">
        <f t="shared" si="4"/>
        <v>31.832938043231401</v>
      </c>
      <c r="N300" s="317">
        <v>3.539228071124684</v>
      </c>
      <c r="O300" s="315" t="s">
        <v>1168</v>
      </c>
      <c r="P300" s="318">
        <v>183</v>
      </c>
      <c r="R300" s="320">
        <v>83.888888888888886</v>
      </c>
      <c r="S300" s="318">
        <v>38</v>
      </c>
      <c r="T300" s="318">
        <v>334.9</v>
      </c>
      <c r="U300" s="318">
        <v>1321</v>
      </c>
      <c r="V300" s="315">
        <v>0.17399999999999999</v>
      </c>
      <c r="W300" s="318">
        <v>29.58</v>
      </c>
      <c r="X300" s="315">
        <v>1</v>
      </c>
      <c r="Y300" s="315" t="s">
        <v>1149</v>
      </c>
      <c r="Z300" s="315">
        <v>0</v>
      </c>
      <c r="AA300" s="315" t="s">
        <v>1157</v>
      </c>
    </row>
    <row r="301" spans="1:27" s="315" customFormat="1">
      <c r="A301" s="315" t="s">
        <v>1277</v>
      </c>
      <c r="B301" s="315" t="s">
        <v>663</v>
      </c>
      <c r="C301" s="316" t="s">
        <v>1882</v>
      </c>
      <c r="D301" s="316" t="s">
        <v>1882</v>
      </c>
      <c r="E301" s="317">
        <v>2.4900000000000002</v>
      </c>
      <c r="F301" s="317">
        <v>0</v>
      </c>
      <c r="G301" s="317">
        <v>0</v>
      </c>
      <c r="H301" s="317">
        <v>0</v>
      </c>
      <c r="I301" s="318">
        <v>0</v>
      </c>
      <c r="J301" s="318">
        <v>83.196875633733498</v>
      </c>
      <c r="K301" s="319">
        <v>21.296142828400701</v>
      </c>
      <c r="L301" s="319">
        <v>21.296142828400701</v>
      </c>
      <c r="M301" s="319">
        <f t="shared" si="4"/>
        <v>21.296142828400701</v>
      </c>
      <c r="N301" s="317">
        <v>0.53027395642717745</v>
      </c>
      <c r="O301" s="315" t="s">
        <v>1168</v>
      </c>
      <c r="P301" s="318">
        <v>183</v>
      </c>
      <c r="R301" s="320">
        <v>83.888888888888886</v>
      </c>
      <c r="S301" s="318">
        <v>34</v>
      </c>
      <c r="T301" s="318">
        <v>30.46</v>
      </c>
      <c r="U301" s="318">
        <v>492</v>
      </c>
      <c r="V301" s="315">
        <v>0.17</v>
      </c>
      <c r="W301" s="318">
        <v>10</v>
      </c>
      <c r="X301" s="315">
        <v>0</v>
      </c>
      <c r="Y301" s="315" t="s">
        <v>1149</v>
      </c>
      <c r="Z301" s="315">
        <v>0</v>
      </c>
      <c r="AA301" s="315" t="s">
        <v>1150</v>
      </c>
    </row>
    <row r="302" spans="1:27" s="315" customFormat="1">
      <c r="A302" s="315" t="s">
        <v>1277</v>
      </c>
      <c r="B302" s="315" t="s">
        <v>663</v>
      </c>
      <c r="C302" s="316" t="s">
        <v>1884</v>
      </c>
      <c r="D302" s="316" t="s">
        <v>1884</v>
      </c>
      <c r="E302" s="317">
        <v>12.69</v>
      </c>
      <c r="F302" s="317">
        <v>0</v>
      </c>
      <c r="G302" s="317">
        <v>0</v>
      </c>
      <c r="H302" s="317">
        <v>0</v>
      </c>
      <c r="I302" s="318">
        <v>0</v>
      </c>
      <c r="J302" s="318">
        <v>80.222041669796894</v>
      </c>
      <c r="K302" s="319">
        <v>23.165460194654202</v>
      </c>
      <c r="L302" s="319">
        <v>23.165460194654202</v>
      </c>
      <c r="M302" s="319">
        <f t="shared" si="4"/>
        <v>23.165460194654202</v>
      </c>
      <c r="N302" s="317">
        <v>2.9396968987016181</v>
      </c>
      <c r="O302" s="315" t="s">
        <v>1168</v>
      </c>
      <c r="P302" s="318">
        <v>183</v>
      </c>
      <c r="R302" s="320">
        <v>83.888888888888886</v>
      </c>
      <c r="S302" s="318">
        <v>34</v>
      </c>
      <c r="T302" s="318">
        <v>15.45</v>
      </c>
      <c r="U302" s="318">
        <v>591</v>
      </c>
      <c r="V302" s="315">
        <v>0.13</v>
      </c>
      <c r="W302" s="318">
        <v>10</v>
      </c>
      <c r="X302" s="315">
        <v>0</v>
      </c>
      <c r="Y302" s="315" t="s">
        <v>1149</v>
      </c>
      <c r="Z302" s="315">
        <v>0</v>
      </c>
      <c r="AA302" s="315" t="s">
        <v>1150</v>
      </c>
    </row>
    <row r="303" spans="1:27" s="315" customFormat="1">
      <c r="A303" s="315" t="s">
        <v>1145</v>
      </c>
      <c r="B303" s="315" t="s">
        <v>1624</v>
      </c>
      <c r="C303" s="316" t="s">
        <v>1628</v>
      </c>
      <c r="D303" s="316" t="s">
        <v>1628</v>
      </c>
      <c r="E303" s="317">
        <v>0.14559702320999737</v>
      </c>
      <c r="F303" s="317">
        <v>0.13788400000000001</v>
      </c>
      <c r="G303" s="317">
        <v>0.1391878</v>
      </c>
      <c r="H303" s="317">
        <v>0.1391878</v>
      </c>
      <c r="I303" s="318">
        <v>95.59797098272179</v>
      </c>
      <c r="J303" s="318">
        <v>48.005183277037503</v>
      </c>
      <c r="K303" s="319">
        <v>44.160885044207596</v>
      </c>
      <c r="L303" s="319">
        <v>-51.437085938514194</v>
      </c>
      <c r="M303" s="319">
        <f t="shared" si="4"/>
        <v>0</v>
      </c>
      <c r="N303" s="317">
        <v>0</v>
      </c>
      <c r="O303" s="315" t="s">
        <v>1148</v>
      </c>
      <c r="P303" s="318">
        <v>183.21600000000001</v>
      </c>
      <c r="R303" s="320">
        <v>84.00888888888889</v>
      </c>
      <c r="S303" s="318">
        <v>39.9</v>
      </c>
      <c r="T303" s="318">
        <v>14</v>
      </c>
      <c r="U303" s="318">
        <v>54</v>
      </c>
      <c r="V303" s="315">
        <v>0.24</v>
      </c>
      <c r="W303" s="318">
        <v>1000</v>
      </c>
      <c r="X303" s="315">
        <v>1</v>
      </c>
      <c r="Y303" s="315" t="s">
        <v>1149</v>
      </c>
      <c r="Z303" s="315">
        <v>0</v>
      </c>
      <c r="AA303" s="315" t="s">
        <v>1157</v>
      </c>
    </row>
    <row r="304" spans="1:27" s="315" customFormat="1">
      <c r="A304" s="315" t="s">
        <v>1145</v>
      </c>
      <c r="B304" s="315" t="s">
        <v>1066</v>
      </c>
      <c r="C304" s="316" t="s">
        <v>1317</v>
      </c>
      <c r="D304" s="316" t="s">
        <v>1318</v>
      </c>
      <c r="E304" s="317">
        <v>4.1100000000000003</v>
      </c>
      <c r="F304" s="317">
        <v>3.5980000000000002E-4</v>
      </c>
      <c r="G304" s="317">
        <v>3.9229999999999999E-4</v>
      </c>
      <c r="H304" s="317">
        <v>4.0729999999999998E-4</v>
      </c>
      <c r="I304" s="318">
        <v>9.9099756690997545E-3</v>
      </c>
      <c r="J304" s="318">
        <v>59.250099168456799</v>
      </c>
      <c r="K304" s="319">
        <v>39.4335082117395</v>
      </c>
      <c r="L304" s="319">
        <v>39.423598236070397</v>
      </c>
      <c r="M304" s="319">
        <f t="shared" si="4"/>
        <v>39.423598236070397</v>
      </c>
      <c r="N304" s="317">
        <v>1.6203098875024933</v>
      </c>
      <c r="O304" s="315" t="s">
        <v>1148</v>
      </c>
      <c r="P304" s="318">
        <v>183.3</v>
      </c>
      <c r="R304" s="320">
        <v>84.055555555555557</v>
      </c>
      <c r="S304" s="318">
        <v>40</v>
      </c>
      <c r="T304" s="318">
        <v>304.89999999999998</v>
      </c>
      <c r="U304" s="318">
        <v>498</v>
      </c>
      <c r="V304" s="315">
        <v>0.18</v>
      </c>
      <c r="W304" s="318">
        <v>136.4</v>
      </c>
      <c r="X304" s="315">
        <v>8</v>
      </c>
      <c r="Y304" s="315" t="s">
        <v>1149</v>
      </c>
      <c r="Z304" s="315">
        <v>0</v>
      </c>
      <c r="AA304" s="315" t="s">
        <v>1190</v>
      </c>
    </row>
    <row r="305" spans="1:27" s="315" customFormat="1">
      <c r="A305" s="315" t="s">
        <v>1145</v>
      </c>
      <c r="B305" s="315" t="s">
        <v>1066</v>
      </c>
      <c r="C305" s="316" t="s">
        <v>1319</v>
      </c>
      <c r="D305" s="316" t="s">
        <v>1320</v>
      </c>
      <c r="E305" s="317">
        <v>15.91</v>
      </c>
      <c r="F305" s="317">
        <v>2.6935679000000001</v>
      </c>
      <c r="G305" s="317">
        <v>2.9365868000000002</v>
      </c>
      <c r="H305" s="317">
        <v>3.9598179</v>
      </c>
      <c r="I305" s="318">
        <v>24.888861722187304</v>
      </c>
      <c r="J305" s="318">
        <v>59.8809602762894</v>
      </c>
      <c r="K305" s="319">
        <v>39.5032450304723</v>
      </c>
      <c r="L305" s="319">
        <v>14.614383308284996</v>
      </c>
      <c r="M305" s="319">
        <f t="shared" si="4"/>
        <v>14.614383308284996</v>
      </c>
      <c r="N305" s="317">
        <v>2.3251483843481426</v>
      </c>
      <c r="O305" s="315" t="s">
        <v>1148</v>
      </c>
      <c r="P305" s="318">
        <v>183.8</v>
      </c>
      <c r="R305" s="320">
        <v>84.333333333333329</v>
      </c>
      <c r="S305" s="318">
        <v>40</v>
      </c>
      <c r="T305" s="318">
        <v>196.1</v>
      </c>
      <c r="U305" s="318">
        <v>704</v>
      </c>
      <c r="V305" s="315">
        <v>0.21</v>
      </c>
      <c r="W305" s="318">
        <v>246.3</v>
      </c>
      <c r="X305" s="315">
        <v>3</v>
      </c>
      <c r="Y305" s="315" t="s">
        <v>1149</v>
      </c>
      <c r="Z305" s="315">
        <v>0</v>
      </c>
      <c r="AA305" s="315" t="s">
        <v>1190</v>
      </c>
    </row>
    <row r="306" spans="1:27" s="315" customFormat="1">
      <c r="A306" s="315" t="s">
        <v>1145</v>
      </c>
      <c r="B306" s="315" t="s">
        <v>768</v>
      </c>
      <c r="C306" s="316" t="s">
        <v>1522</v>
      </c>
      <c r="D306" s="316" t="s">
        <v>1522</v>
      </c>
      <c r="E306" s="317">
        <v>20.763608399999999</v>
      </c>
      <c r="F306" s="317">
        <v>8.3959083999999997</v>
      </c>
      <c r="G306" s="317">
        <v>8.7383069999999989</v>
      </c>
      <c r="H306" s="317">
        <v>8.7383069999999989</v>
      </c>
      <c r="I306" s="318">
        <v>42.084722614976691</v>
      </c>
      <c r="J306" s="318">
        <v>61.709081174776699</v>
      </c>
      <c r="K306" s="319">
        <v>37.575565180148104</v>
      </c>
      <c r="L306" s="319">
        <v>-4.5091574348285874</v>
      </c>
      <c r="M306" s="319">
        <f t="shared" si="4"/>
        <v>0</v>
      </c>
      <c r="N306" s="317">
        <v>0</v>
      </c>
      <c r="O306" s="315" t="s">
        <v>1148</v>
      </c>
      <c r="P306" s="318">
        <v>184</v>
      </c>
      <c r="R306" s="320">
        <v>84.444444444444443</v>
      </c>
      <c r="S306" s="318">
        <v>40</v>
      </c>
      <c r="T306" s="318">
        <v>47.4</v>
      </c>
      <c r="U306" s="318">
        <v>40</v>
      </c>
      <c r="V306" s="315">
        <v>0.19600000000000001</v>
      </c>
      <c r="W306" s="318">
        <v>310</v>
      </c>
      <c r="X306" s="315">
        <v>3</v>
      </c>
      <c r="Y306" s="315" t="s">
        <v>1149</v>
      </c>
      <c r="Z306" s="315">
        <v>0</v>
      </c>
      <c r="AA306" s="315" t="s">
        <v>1157</v>
      </c>
    </row>
    <row r="307" spans="1:27" s="315" customFormat="1">
      <c r="A307" s="315" t="s">
        <v>1145</v>
      </c>
      <c r="B307" s="315" t="s">
        <v>768</v>
      </c>
      <c r="C307" s="316" t="s">
        <v>1523</v>
      </c>
      <c r="D307" s="316" t="s">
        <v>1523</v>
      </c>
      <c r="E307" s="317">
        <v>19.0869699</v>
      </c>
      <c r="F307" s="317">
        <v>0</v>
      </c>
      <c r="G307" s="317">
        <v>0</v>
      </c>
      <c r="H307" s="317">
        <v>0</v>
      </c>
      <c r="I307" s="318">
        <v>0</v>
      </c>
      <c r="J307" s="318">
        <v>70.369153149812902</v>
      </c>
      <c r="K307" s="319">
        <v>33.045031230482202</v>
      </c>
      <c r="L307" s="319">
        <v>33.045031230482202</v>
      </c>
      <c r="M307" s="319">
        <f t="shared" si="4"/>
        <v>33.045031230482202</v>
      </c>
      <c r="N307" s="317">
        <v>6.3072951644077371</v>
      </c>
      <c r="O307" s="315" t="s">
        <v>1168</v>
      </c>
      <c r="P307" s="318">
        <v>184</v>
      </c>
      <c r="R307" s="320">
        <v>84.444444444444443</v>
      </c>
      <c r="S307" s="318">
        <v>40</v>
      </c>
      <c r="T307" s="318">
        <v>117</v>
      </c>
      <c r="U307" s="318">
        <v>38</v>
      </c>
      <c r="V307" s="315">
        <v>0.22</v>
      </c>
      <c r="W307" s="318">
        <v>550</v>
      </c>
      <c r="X307" s="315">
        <v>1</v>
      </c>
      <c r="Y307" s="315" t="s">
        <v>1149</v>
      </c>
      <c r="Z307" s="315">
        <v>0</v>
      </c>
      <c r="AA307" s="315" t="s">
        <v>1157</v>
      </c>
    </row>
    <row r="308" spans="1:27" s="315" customFormat="1">
      <c r="A308" s="315" t="s">
        <v>1615</v>
      </c>
      <c r="B308" s="315" t="s">
        <v>768</v>
      </c>
      <c r="C308" s="316" t="s">
        <v>1524</v>
      </c>
      <c r="D308" s="316" t="s">
        <v>1524</v>
      </c>
      <c r="E308" s="317">
        <v>55.9</v>
      </c>
      <c r="F308" s="317">
        <v>13.004777000000001</v>
      </c>
      <c r="G308" s="317">
        <v>13.004777000000001</v>
      </c>
      <c r="H308" s="317">
        <v>13.004777000000001</v>
      </c>
      <c r="I308" s="318">
        <v>23.264359570661899</v>
      </c>
      <c r="J308" s="318">
        <v>69.481321999706793</v>
      </c>
      <c r="K308" s="319">
        <v>34.418715822108794</v>
      </c>
      <c r="L308" s="319">
        <v>11.154356251446895</v>
      </c>
      <c r="M308" s="319">
        <f t="shared" si="4"/>
        <v>11.154356251446895</v>
      </c>
      <c r="N308" s="317">
        <v>6.235285144558814</v>
      </c>
      <c r="O308" s="315" t="s">
        <v>1148</v>
      </c>
      <c r="P308" s="318">
        <v>184</v>
      </c>
      <c r="R308" s="320">
        <v>84.444444444444443</v>
      </c>
      <c r="S308" s="318">
        <v>40</v>
      </c>
      <c r="T308" s="318">
        <v>200</v>
      </c>
      <c r="U308" s="318">
        <v>40</v>
      </c>
      <c r="V308" s="315">
        <v>0.19600000000000001</v>
      </c>
      <c r="W308" s="318">
        <v>310</v>
      </c>
      <c r="X308" s="315">
        <v>10</v>
      </c>
      <c r="Y308" s="315" t="s">
        <v>1149</v>
      </c>
      <c r="Z308" s="315">
        <v>0</v>
      </c>
      <c r="AA308" s="315" t="s">
        <v>1157</v>
      </c>
    </row>
    <row r="309" spans="1:27" s="315" customFormat="1">
      <c r="A309" s="315" t="s">
        <v>1615</v>
      </c>
      <c r="B309" s="315" t="s">
        <v>768</v>
      </c>
      <c r="C309" s="316" t="s">
        <v>1526</v>
      </c>
      <c r="D309" s="316" t="s">
        <v>1526</v>
      </c>
      <c r="E309" s="317">
        <v>90</v>
      </c>
      <c r="F309" s="317">
        <v>17.315297000000001</v>
      </c>
      <c r="G309" s="317">
        <v>17.315297000000001</v>
      </c>
      <c r="H309" s="317">
        <v>17.315297000000001</v>
      </c>
      <c r="I309" s="318">
        <v>19.239218888888889</v>
      </c>
      <c r="J309" s="318">
        <v>66.304732146783806</v>
      </c>
      <c r="K309" s="319">
        <v>35.804453479082298</v>
      </c>
      <c r="L309" s="319">
        <v>16.565234590193409</v>
      </c>
      <c r="M309" s="319">
        <f t="shared" si="4"/>
        <v>16.565234590193409</v>
      </c>
      <c r="N309" s="317">
        <v>14.908711131174067</v>
      </c>
      <c r="O309" s="315" t="s">
        <v>1148</v>
      </c>
      <c r="P309" s="318">
        <v>184</v>
      </c>
      <c r="R309" s="320">
        <v>84.444444444444443</v>
      </c>
      <c r="S309" s="318">
        <v>40</v>
      </c>
      <c r="T309" s="318">
        <v>200</v>
      </c>
      <c r="U309" s="318">
        <v>50</v>
      </c>
      <c r="V309" s="315">
        <v>0.19600000000000001</v>
      </c>
      <c r="W309" s="318">
        <v>310</v>
      </c>
      <c r="X309" s="315">
        <v>7</v>
      </c>
      <c r="Y309" s="315" t="s">
        <v>1440</v>
      </c>
      <c r="Z309" s="315">
        <v>4</v>
      </c>
      <c r="AA309" s="315" t="s">
        <v>1157</v>
      </c>
    </row>
    <row r="310" spans="1:27" s="315" customFormat="1">
      <c r="A310" s="315" t="s">
        <v>1618</v>
      </c>
      <c r="B310" s="315" t="s">
        <v>663</v>
      </c>
      <c r="C310" s="316" t="s">
        <v>1885</v>
      </c>
      <c r="D310" s="316" t="s">
        <v>1885</v>
      </c>
      <c r="E310" s="317">
        <v>7.47</v>
      </c>
      <c r="F310" s="317">
        <v>0</v>
      </c>
      <c r="G310" s="317">
        <v>0</v>
      </c>
      <c r="H310" s="317">
        <v>0</v>
      </c>
      <c r="I310" s="318">
        <v>0</v>
      </c>
      <c r="J310" s="318">
        <v>88.629228011304505</v>
      </c>
      <c r="K310" s="319">
        <v>18.3344525820205</v>
      </c>
      <c r="L310" s="319">
        <v>18.3344525820205</v>
      </c>
      <c r="M310" s="319">
        <f t="shared" si="4"/>
        <v>18.3344525820205</v>
      </c>
      <c r="N310" s="317">
        <v>1.3695836078769312</v>
      </c>
      <c r="O310" s="315" t="s">
        <v>1168</v>
      </c>
      <c r="P310" s="318">
        <v>184</v>
      </c>
      <c r="R310" s="320">
        <v>84.444444444444443</v>
      </c>
      <c r="S310" s="318">
        <v>34</v>
      </c>
      <c r="T310" s="318">
        <v>37.729999999999997</v>
      </c>
      <c r="U310" s="318">
        <v>613</v>
      </c>
      <c r="V310" s="315">
        <v>0.19</v>
      </c>
      <c r="W310" s="318">
        <v>10</v>
      </c>
      <c r="X310" s="315">
        <v>0</v>
      </c>
      <c r="Y310" s="315" t="s">
        <v>1149</v>
      </c>
      <c r="Z310" s="315">
        <v>0</v>
      </c>
      <c r="AA310" s="315" t="s">
        <v>1150</v>
      </c>
    </row>
    <row r="311" spans="1:27" s="315" customFormat="1">
      <c r="A311" s="315" t="s">
        <v>1145</v>
      </c>
      <c r="B311" s="315" t="s">
        <v>1624</v>
      </c>
      <c r="C311" s="316" t="s">
        <v>1629</v>
      </c>
      <c r="D311" s="316" t="s">
        <v>1629</v>
      </c>
      <c r="E311" s="317">
        <v>5.170685470169599</v>
      </c>
      <c r="F311" s="317">
        <v>1.2370683</v>
      </c>
      <c r="G311" s="317">
        <v>1.5092732</v>
      </c>
      <c r="H311" s="317">
        <v>1.5628815542272725</v>
      </c>
      <c r="I311" s="318">
        <v>30.225809774037749</v>
      </c>
      <c r="J311" s="318">
        <v>47.234096304432903</v>
      </c>
      <c r="K311" s="319">
        <v>44.499612827671399</v>
      </c>
      <c r="L311" s="319">
        <v>14.27380305363365</v>
      </c>
      <c r="M311" s="319">
        <f t="shared" si="4"/>
        <v>14.27380305363365</v>
      </c>
      <c r="N311" s="317">
        <v>0.73805346053485965</v>
      </c>
      <c r="O311" s="315" t="s">
        <v>1148</v>
      </c>
      <c r="P311" s="318">
        <v>184.24799999999999</v>
      </c>
      <c r="R311" s="320">
        <v>84.582222222222228</v>
      </c>
      <c r="S311" s="318">
        <v>39.9</v>
      </c>
      <c r="T311" s="318">
        <v>16</v>
      </c>
      <c r="U311" s="318">
        <v>87</v>
      </c>
      <c r="V311" s="315">
        <v>0.22</v>
      </c>
      <c r="W311" s="318">
        <v>750</v>
      </c>
      <c r="X311" s="315">
        <v>5</v>
      </c>
      <c r="Y311" s="315" t="s">
        <v>1149</v>
      </c>
      <c r="Z311" s="315">
        <v>0</v>
      </c>
      <c r="AA311" s="315" t="s">
        <v>1157</v>
      </c>
    </row>
    <row r="312" spans="1:27" s="315" customFormat="1">
      <c r="A312" s="315" t="s">
        <v>1145</v>
      </c>
      <c r="B312" s="315" t="s">
        <v>663</v>
      </c>
      <c r="C312" s="316" t="s">
        <v>1886</v>
      </c>
      <c r="D312" s="316" t="s">
        <v>1886</v>
      </c>
      <c r="E312" s="317">
        <v>3.7328700553611704</v>
      </c>
      <c r="F312" s="317">
        <v>0</v>
      </c>
      <c r="G312" s="317">
        <v>0</v>
      </c>
      <c r="H312" s="317">
        <v>0</v>
      </c>
      <c r="I312" s="318">
        <v>0</v>
      </c>
      <c r="J312" s="318">
        <v>89.485959757162703</v>
      </c>
      <c r="K312" s="319">
        <v>17.515183509053699</v>
      </c>
      <c r="L312" s="319">
        <v>17.515183509053699</v>
      </c>
      <c r="M312" s="319">
        <f t="shared" si="4"/>
        <v>17.515183509053699</v>
      </c>
      <c r="N312" s="317">
        <v>0.65381904035102345</v>
      </c>
      <c r="O312" s="315" t="s">
        <v>1168</v>
      </c>
      <c r="P312" s="318">
        <v>184.36675</v>
      </c>
      <c r="R312" s="320">
        <v>84.648194444444442</v>
      </c>
      <c r="S312" s="318">
        <v>18</v>
      </c>
      <c r="T312" s="318">
        <v>26.83</v>
      </c>
      <c r="U312" s="318">
        <v>259</v>
      </c>
      <c r="V312" s="315">
        <v>0.24</v>
      </c>
      <c r="W312" s="318">
        <v>26.27</v>
      </c>
      <c r="X312" s="315">
        <v>0</v>
      </c>
      <c r="Y312" s="315" t="s">
        <v>1149</v>
      </c>
      <c r="Z312" s="315">
        <v>0</v>
      </c>
      <c r="AA312" s="315" t="s">
        <v>1150</v>
      </c>
    </row>
    <row r="313" spans="1:27" s="315" customFormat="1">
      <c r="A313" s="315" t="s">
        <v>1145</v>
      </c>
      <c r="B313" s="315" t="s">
        <v>663</v>
      </c>
      <c r="C313" s="316" t="s">
        <v>1887</v>
      </c>
      <c r="D313" s="316" t="s">
        <v>1887</v>
      </c>
      <c r="E313" s="317">
        <v>38.700003684156805</v>
      </c>
      <c r="F313" s="317">
        <v>12.266476000000001</v>
      </c>
      <c r="G313" s="317">
        <v>13.273937200000001</v>
      </c>
      <c r="H313" s="317">
        <v>15.8359372</v>
      </c>
      <c r="I313" s="318">
        <v>40.919730471454692</v>
      </c>
      <c r="J313" s="318">
        <v>53.136223202272198</v>
      </c>
      <c r="K313" s="319">
        <v>43.702603817312301</v>
      </c>
      <c r="L313" s="319">
        <v>2.7828733458576096</v>
      </c>
      <c r="M313" s="319">
        <f t="shared" si="4"/>
        <v>2.7828733458576096</v>
      </c>
      <c r="N313" s="317">
        <v>1.0769720873723125</v>
      </c>
      <c r="O313" s="315" t="s">
        <v>1148</v>
      </c>
      <c r="P313" s="318">
        <v>184.42849999999999</v>
      </c>
      <c r="R313" s="320">
        <v>84.68249999999999</v>
      </c>
      <c r="S313" s="318">
        <v>41</v>
      </c>
      <c r="T313" s="318">
        <v>18</v>
      </c>
      <c r="U313" s="318">
        <v>126</v>
      </c>
      <c r="V313" s="315">
        <v>0.212728</v>
      </c>
      <c r="W313" s="318">
        <v>530.6182</v>
      </c>
      <c r="X313" s="315">
        <v>0</v>
      </c>
      <c r="Y313" s="315" t="s">
        <v>1149</v>
      </c>
      <c r="Z313" s="315">
        <v>1</v>
      </c>
      <c r="AA313" s="315" t="s">
        <v>1190</v>
      </c>
    </row>
    <row r="314" spans="1:27" s="315" customFormat="1">
      <c r="A314" s="315" t="s">
        <v>1145</v>
      </c>
      <c r="B314" s="315" t="s">
        <v>1624</v>
      </c>
      <c r="C314" s="316" t="s">
        <v>1630</v>
      </c>
      <c r="D314" s="316" t="s">
        <v>1630</v>
      </c>
      <c r="E314" s="317">
        <v>0.33405056494679136</v>
      </c>
      <c r="F314" s="317">
        <v>0.13404170000000001</v>
      </c>
      <c r="G314" s="317">
        <v>0.13530040000000002</v>
      </c>
      <c r="H314" s="317">
        <v>0.13530040000000002</v>
      </c>
      <c r="I314" s="318">
        <v>40.502969968498959</v>
      </c>
      <c r="J314" s="318">
        <v>60.440327725601101</v>
      </c>
      <c r="K314" s="319">
        <v>40.834400988163097</v>
      </c>
      <c r="L314" s="319">
        <v>0.33143101966413724</v>
      </c>
      <c r="M314" s="319">
        <f t="shared" si="4"/>
        <v>0.33143101966413724</v>
      </c>
      <c r="N314" s="317">
        <v>1.1071471935969615E-3</v>
      </c>
      <c r="O314" s="315" t="s">
        <v>1148</v>
      </c>
      <c r="P314" s="318">
        <v>184.8</v>
      </c>
      <c r="R314" s="320">
        <v>84.888888888888886</v>
      </c>
      <c r="S314" s="318">
        <v>39.9</v>
      </c>
      <c r="T314" s="318">
        <v>17</v>
      </c>
      <c r="U314" s="318">
        <v>52</v>
      </c>
      <c r="V314" s="315">
        <v>0.22</v>
      </c>
      <c r="W314" s="318">
        <v>800</v>
      </c>
      <c r="X314" s="315">
        <v>1</v>
      </c>
      <c r="Y314" s="315" t="s">
        <v>1149</v>
      </c>
      <c r="Z314" s="315">
        <v>0</v>
      </c>
      <c r="AA314" s="315" t="s">
        <v>1157</v>
      </c>
    </row>
    <row r="315" spans="1:27" s="315" customFormat="1">
      <c r="A315" s="315" t="s">
        <v>1145</v>
      </c>
      <c r="B315" s="315" t="s">
        <v>1624</v>
      </c>
      <c r="C315" s="316" t="s">
        <v>1631</v>
      </c>
      <c r="D315" s="316" t="s">
        <v>1631</v>
      </c>
      <c r="E315" s="317">
        <v>0.35148303180646723</v>
      </c>
      <c r="F315" s="317">
        <v>7.2786000000000003E-2</v>
      </c>
      <c r="G315" s="317">
        <v>8.3272800000000008E-2</v>
      </c>
      <c r="H315" s="317">
        <v>0.40492292536363561</v>
      </c>
      <c r="I315" s="318">
        <v>115.20411761629316</v>
      </c>
      <c r="J315" s="318">
        <v>60.372133259761902</v>
      </c>
      <c r="K315" s="319">
        <v>40.859535313983194</v>
      </c>
      <c r="L315" s="319">
        <v>-74.344582302309959</v>
      </c>
      <c r="M315" s="319">
        <f t="shared" si="4"/>
        <v>0</v>
      </c>
      <c r="N315" s="317">
        <v>0</v>
      </c>
      <c r="O315" s="315" t="s">
        <v>1148</v>
      </c>
      <c r="P315" s="318">
        <v>184.8</v>
      </c>
      <c r="R315" s="320">
        <v>84.888888888888886</v>
      </c>
      <c r="S315" s="318">
        <v>39.9</v>
      </c>
      <c r="T315" s="318">
        <v>18</v>
      </c>
      <c r="U315" s="318">
        <v>15</v>
      </c>
      <c r="V315" s="315">
        <v>0.2</v>
      </c>
      <c r="W315" s="318">
        <v>370</v>
      </c>
      <c r="X315" s="315">
        <v>1</v>
      </c>
      <c r="Y315" s="315" t="s">
        <v>1149</v>
      </c>
      <c r="Z315" s="315">
        <v>0</v>
      </c>
      <c r="AA315" s="315" t="s">
        <v>1157</v>
      </c>
    </row>
    <row r="316" spans="1:27" s="315" customFormat="1">
      <c r="A316" s="315" t="s">
        <v>1145</v>
      </c>
      <c r="B316" s="315" t="s">
        <v>1624</v>
      </c>
      <c r="C316" s="316" t="s">
        <v>1632</v>
      </c>
      <c r="D316" s="316" t="s">
        <v>1632</v>
      </c>
      <c r="E316" s="317">
        <v>0.62076011989211421</v>
      </c>
      <c r="F316" s="317">
        <v>5.2033099999999999E-2</v>
      </c>
      <c r="G316" s="317">
        <v>5.2297999999999997E-2</v>
      </c>
      <c r="H316" s="317">
        <v>0.26673141690909036</v>
      </c>
      <c r="I316" s="318">
        <v>42.96851688144001</v>
      </c>
      <c r="J316" s="318">
        <v>49.746612285817903</v>
      </c>
      <c r="K316" s="319">
        <v>42.473978383212199</v>
      </c>
      <c r="L316" s="319">
        <v>-0.49453849822781137</v>
      </c>
      <c r="M316" s="319">
        <f t="shared" si="4"/>
        <v>0</v>
      </c>
      <c r="N316" s="317">
        <v>0</v>
      </c>
      <c r="O316" s="315" t="s">
        <v>1148</v>
      </c>
      <c r="P316" s="318">
        <v>185</v>
      </c>
      <c r="R316" s="320">
        <v>85</v>
      </c>
      <c r="S316" s="318">
        <v>39.9</v>
      </c>
      <c r="T316" s="318">
        <v>40</v>
      </c>
      <c r="U316" s="318">
        <v>77</v>
      </c>
      <c r="V316" s="315">
        <v>0.21</v>
      </c>
      <c r="W316" s="318">
        <v>450</v>
      </c>
      <c r="X316" s="315">
        <v>1</v>
      </c>
      <c r="Y316" s="315" t="s">
        <v>1149</v>
      </c>
      <c r="Z316" s="315">
        <v>0</v>
      </c>
      <c r="AA316" s="315" t="s">
        <v>1157</v>
      </c>
    </row>
    <row r="317" spans="1:27" s="315" customFormat="1">
      <c r="B317" s="315" t="s">
        <v>663</v>
      </c>
      <c r="C317" s="316" t="s">
        <v>1888</v>
      </c>
      <c r="D317" s="316" t="s">
        <v>1888</v>
      </c>
      <c r="E317" s="317">
        <v>10.130000964354224</v>
      </c>
      <c r="F317" s="317">
        <v>0.98985009999999996</v>
      </c>
      <c r="G317" s="317">
        <v>1.0124971</v>
      </c>
      <c r="H317" s="317">
        <v>1.0124971</v>
      </c>
      <c r="I317" s="318">
        <v>9.9950345865001164</v>
      </c>
      <c r="J317" s="318">
        <v>65.734534335853397</v>
      </c>
      <c r="K317" s="319">
        <v>29.8441442696863</v>
      </c>
      <c r="L317" s="319">
        <v>19.849109683186185</v>
      </c>
      <c r="M317" s="319">
        <f t="shared" si="4"/>
        <v>19.849109683186185</v>
      </c>
      <c r="N317" s="317">
        <v>2.0107150023224882</v>
      </c>
      <c r="O317" s="315" t="s">
        <v>1148</v>
      </c>
      <c r="P317" s="318">
        <v>185.67423215000002</v>
      </c>
      <c r="R317" s="320">
        <v>85.374573416666692</v>
      </c>
      <c r="S317" s="318">
        <v>42</v>
      </c>
      <c r="T317" s="318">
        <v>47</v>
      </c>
      <c r="U317" s="318">
        <v>547.92700000000002</v>
      </c>
      <c r="V317" s="315">
        <v>0.2</v>
      </c>
      <c r="W317" s="318">
        <v>10</v>
      </c>
      <c r="X317" s="315">
        <v>1</v>
      </c>
      <c r="Y317" s="315" t="s">
        <v>1149</v>
      </c>
      <c r="Z317" s="315">
        <v>0</v>
      </c>
      <c r="AA317" s="315" t="s">
        <v>1190</v>
      </c>
    </row>
    <row r="318" spans="1:27" s="315" customFormat="1">
      <c r="A318" s="315" t="s">
        <v>1145</v>
      </c>
      <c r="B318" s="315" t="s">
        <v>1066</v>
      </c>
      <c r="C318" s="316" t="s">
        <v>1321</v>
      </c>
      <c r="D318" s="316" t="s">
        <v>1322</v>
      </c>
      <c r="E318" s="317">
        <v>1.0900000000000001</v>
      </c>
      <c r="F318" s="317">
        <v>0</v>
      </c>
      <c r="G318" s="317">
        <v>0</v>
      </c>
      <c r="H318" s="317">
        <v>0.44097500000000001</v>
      </c>
      <c r="I318" s="318">
        <v>40.456422018348619</v>
      </c>
      <c r="J318" s="318">
        <v>67.850851938575801</v>
      </c>
      <c r="K318" s="319">
        <v>35.619392922166895</v>
      </c>
      <c r="L318" s="319">
        <v>-4.8370290961817233</v>
      </c>
      <c r="M318" s="319">
        <f t="shared" si="4"/>
        <v>0</v>
      </c>
      <c r="N318" s="317">
        <v>0</v>
      </c>
      <c r="O318" s="315" t="s">
        <v>1168</v>
      </c>
      <c r="P318" s="318">
        <v>186</v>
      </c>
      <c r="R318" s="320">
        <v>85.555555555555557</v>
      </c>
      <c r="S318" s="318">
        <v>40</v>
      </c>
      <c r="T318" s="318">
        <v>129.04</v>
      </c>
      <c r="U318" s="318">
        <v>147</v>
      </c>
      <c r="V318" s="315">
        <v>0.22</v>
      </c>
      <c r="W318" s="318">
        <v>482.9</v>
      </c>
      <c r="X318" s="315">
        <v>0</v>
      </c>
      <c r="Y318" s="315" t="s">
        <v>1149</v>
      </c>
      <c r="Z318" s="315">
        <v>0</v>
      </c>
      <c r="AA318" s="315" t="s">
        <v>1157</v>
      </c>
    </row>
    <row r="319" spans="1:27" s="315" customFormat="1">
      <c r="A319" s="315" t="s">
        <v>1145</v>
      </c>
      <c r="B319" s="315" t="s">
        <v>1624</v>
      </c>
      <c r="C319" s="316" t="s">
        <v>1634</v>
      </c>
      <c r="D319" s="316" t="s">
        <v>1634</v>
      </c>
      <c r="E319" s="317">
        <v>0.30926731206146774</v>
      </c>
      <c r="F319" s="317">
        <v>0.11712069999999999</v>
      </c>
      <c r="G319" s="317">
        <v>0.15377949999999999</v>
      </c>
      <c r="H319" s="317">
        <v>0.15377949999999999</v>
      </c>
      <c r="I319" s="318">
        <v>49.723813026006411</v>
      </c>
      <c r="J319" s="318">
        <v>48.294848355695699</v>
      </c>
      <c r="K319" s="319">
        <v>44.238047471620298</v>
      </c>
      <c r="L319" s="319">
        <v>-5.4857655543861128</v>
      </c>
      <c r="M319" s="319">
        <f t="shared" si="4"/>
        <v>0</v>
      </c>
      <c r="N319" s="317">
        <v>0</v>
      </c>
      <c r="O319" s="315" t="s">
        <v>1148</v>
      </c>
      <c r="P319" s="318">
        <v>186.12</v>
      </c>
      <c r="R319" s="320">
        <v>85.62222222222222</v>
      </c>
      <c r="S319" s="318">
        <v>39.9</v>
      </c>
      <c r="T319" s="318">
        <v>16</v>
      </c>
      <c r="U319" s="318">
        <v>75</v>
      </c>
      <c r="V319" s="315">
        <v>0.21</v>
      </c>
      <c r="W319" s="318">
        <v>300</v>
      </c>
      <c r="X319" s="315">
        <v>1</v>
      </c>
      <c r="Y319" s="315" t="s">
        <v>1149</v>
      </c>
      <c r="Z319" s="315">
        <v>0</v>
      </c>
      <c r="AA319" s="315" t="s">
        <v>1157</v>
      </c>
    </row>
    <row r="320" spans="1:27" s="315" customFormat="1">
      <c r="A320" s="315" t="s">
        <v>1145</v>
      </c>
      <c r="B320" s="315" t="s">
        <v>1066</v>
      </c>
      <c r="C320" s="316" t="s">
        <v>1323</v>
      </c>
      <c r="D320" s="316" t="s">
        <v>1324</v>
      </c>
      <c r="E320" s="317">
        <v>2.25</v>
      </c>
      <c r="F320" s="317">
        <v>0</v>
      </c>
      <c r="G320" s="317">
        <v>0</v>
      </c>
      <c r="H320" s="317">
        <v>0.44097500000000001</v>
      </c>
      <c r="I320" s="318">
        <v>19.598888888888887</v>
      </c>
      <c r="J320" s="318">
        <v>77.898527060090203</v>
      </c>
      <c r="K320" s="319">
        <v>26.5896580160837</v>
      </c>
      <c r="L320" s="319">
        <v>6.9907691271948131</v>
      </c>
      <c r="M320" s="319">
        <f t="shared" si="4"/>
        <v>6.9907691271948131</v>
      </c>
      <c r="N320" s="317">
        <v>0.15729230536188327</v>
      </c>
      <c r="O320" s="315" t="s">
        <v>1168</v>
      </c>
      <c r="P320" s="318">
        <v>186.7</v>
      </c>
      <c r="R320" s="320">
        <v>85.944444444444443</v>
      </c>
      <c r="S320" s="318">
        <v>40</v>
      </c>
      <c r="T320" s="318">
        <v>232.5</v>
      </c>
      <c r="U320" s="318">
        <v>352</v>
      </c>
      <c r="V320" s="315">
        <v>0.18</v>
      </c>
      <c r="W320" s="318">
        <v>24.9</v>
      </c>
      <c r="X320" s="315">
        <v>0</v>
      </c>
      <c r="Y320" s="315" t="s">
        <v>1149</v>
      </c>
      <c r="Z320" s="315">
        <v>0</v>
      </c>
      <c r="AA320" s="315" t="s">
        <v>1157</v>
      </c>
    </row>
    <row r="321" spans="1:34">
      <c r="A321" s="315" t="s">
        <v>1145</v>
      </c>
      <c r="B321" s="315" t="s">
        <v>1066</v>
      </c>
      <c r="C321" s="316" t="s">
        <v>1325</v>
      </c>
      <c r="D321" s="316" t="s">
        <v>1326</v>
      </c>
      <c r="E321" s="317">
        <v>0.18</v>
      </c>
      <c r="F321" s="317">
        <v>0</v>
      </c>
      <c r="G321" s="317">
        <v>0</v>
      </c>
      <c r="H321" s="317">
        <v>0</v>
      </c>
      <c r="I321" s="318">
        <v>0</v>
      </c>
      <c r="J321" s="318">
        <v>78.866467421855404</v>
      </c>
      <c r="K321" s="319">
        <v>25.298761325209103</v>
      </c>
      <c r="L321" s="319">
        <v>25.298761325209103</v>
      </c>
      <c r="M321" s="319">
        <f t="shared" si="4"/>
        <v>25.298761325209103</v>
      </c>
      <c r="N321" s="317">
        <v>4.5537770385376382E-2</v>
      </c>
      <c r="O321" s="315" t="s">
        <v>1168</v>
      </c>
      <c r="P321" s="318">
        <v>187</v>
      </c>
      <c r="R321" s="320">
        <v>86.111111111111114</v>
      </c>
      <c r="S321" s="318">
        <v>38</v>
      </c>
      <c r="T321" s="318">
        <v>25.4</v>
      </c>
      <c r="U321" s="318">
        <v>120</v>
      </c>
      <c r="V321" s="315">
        <v>0.19400000000000001</v>
      </c>
      <c r="W321" s="318">
        <v>29.46</v>
      </c>
      <c r="X321" s="315">
        <v>0</v>
      </c>
      <c r="Y321" s="315" t="s">
        <v>1149</v>
      </c>
      <c r="Z321" s="315">
        <v>0</v>
      </c>
      <c r="AA321" s="315" t="s">
        <v>1157</v>
      </c>
      <c r="AB321" s="315"/>
      <c r="AC321" s="315"/>
      <c r="AD321" s="315"/>
      <c r="AE321" s="315"/>
      <c r="AF321" s="315"/>
      <c r="AG321" s="315"/>
      <c r="AH321" s="315"/>
    </row>
    <row r="322" spans="1:34">
      <c r="A322" s="315" t="s">
        <v>1145</v>
      </c>
      <c r="B322" s="315" t="s">
        <v>1624</v>
      </c>
      <c r="C322" s="316" t="s">
        <v>1635</v>
      </c>
      <c r="D322" s="316" t="s">
        <v>1635</v>
      </c>
      <c r="E322" s="317">
        <v>4.3832204671949881</v>
      </c>
      <c r="F322" s="317">
        <v>1.3316918</v>
      </c>
      <c r="G322" s="317">
        <v>1.4742367000000001</v>
      </c>
      <c r="H322" s="317">
        <v>1.4742367000000001</v>
      </c>
      <c r="I322" s="318">
        <v>33.633642456123766</v>
      </c>
      <c r="J322" s="318">
        <v>48.874936383144799</v>
      </c>
      <c r="K322" s="319">
        <v>43.855935450337903</v>
      </c>
      <c r="L322" s="319">
        <v>10.222292994214136</v>
      </c>
      <c r="M322" s="319">
        <f t="shared" si="4"/>
        <v>10.222292994214136</v>
      </c>
      <c r="N322" s="317">
        <v>0.44806563873903343</v>
      </c>
      <c r="O322" s="315" t="s">
        <v>1148</v>
      </c>
      <c r="P322" s="318">
        <v>187.20000000000002</v>
      </c>
      <c r="R322" s="320">
        <v>86.222222222222229</v>
      </c>
      <c r="S322" s="318">
        <v>39.9</v>
      </c>
      <c r="T322" s="318">
        <v>17</v>
      </c>
      <c r="U322" s="318">
        <v>81</v>
      </c>
      <c r="V322" s="315">
        <v>0.21</v>
      </c>
      <c r="W322" s="318">
        <v>250</v>
      </c>
      <c r="X322" s="315">
        <v>5</v>
      </c>
      <c r="Y322" s="315" t="s">
        <v>1149</v>
      </c>
      <c r="Z322" s="315">
        <v>0</v>
      </c>
      <c r="AA322" s="315" t="s">
        <v>1157</v>
      </c>
      <c r="AB322" s="315"/>
      <c r="AC322" s="315"/>
      <c r="AD322" s="315"/>
      <c r="AE322" s="315"/>
      <c r="AF322" s="315"/>
      <c r="AG322" s="315"/>
      <c r="AH322" s="315"/>
    </row>
    <row r="323" spans="1:34">
      <c r="A323" s="315" t="s">
        <v>1633</v>
      </c>
      <c r="B323" s="315" t="s">
        <v>1068</v>
      </c>
      <c r="C323" s="316" t="s">
        <v>1421</v>
      </c>
      <c r="D323" s="316" t="s">
        <v>1422</v>
      </c>
      <c r="E323" s="317">
        <v>325.60000000000002</v>
      </c>
      <c r="F323" s="317">
        <v>108.69673682857932</v>
      </c>
      <c r="G323" s="317">
        <v>138.72238753442099</v>
      </c>
      <c r="H323" s="317">
        <v>148.04206453071498</v>
      </c>
      <c r="I323" s="318">
        <v>45.467464536460369</v>
      </c>
      <c r="J323" s="318">
        <v>54.277299706050997</v>
      </c>
      <c r="K323" s="319">
        <v>42.669434738346503</v>
      </c>
      <c r="L323" s="319">
        <v>-2.7980297981138662</v>
      </c>
      <c r="M323" s="319">
        <f t="shared" ref="M323:M386" si="5">IF(L323&lt;0,0,L323)</f>
        <v>0</v>
      </c>
      <c r="N323" s="317">
        <v>0</v>
      </c>
      <c r="O323" s="315" t="s">
        <v>1148</v>
      </c>
      <c r="P323" s="318">
        <v>188</v>
      </c>
      <c r="R323" s="320">
        <v>86.666666666666671</v>
      </c>
      <c r="S323" s="318">
        <v>42</v>
      </c>
      <c r="T323" s="318">
        <v>432</v>
      </c>
      <c r="U323" s="318">
        <v>122</v>
      </c>
      <c r="V323" s="315">
        <v>0.21</v>
      </c>
      <c r="W323" s="318">
        <v>120</v>
      </c>
      <c r="X323" s="315">
        <v>37</v>
      </c>
      <c r="Y323" s="315" t="s">
        <v>1420</v>
      </c>
      <c r="Z323" s="315">
        <v>6</v>
      </c>
      <c r="AA323" s="315" t="s">
        <v>1190</v>
      </c>
      <c r="AB323" s="315"/>
      <c r="AC323" s="315"/>
      <c r="AD323" s="315"/>
      <c r="AE323" s="315"/>
      <c r="AF323" s="315"/>
      <c r="AG323" s="315"/>
      <c r="AH323" s="315"/>
    </row>
    <row r="324" spans="1:34">
      <c r="A324" s="315" t="s">
        <v>1145</v>
      </c>
      <c r="B324" s="315" t="s">
        <v>663</v>
      </c>
      <c r="C324" s="316" t="s">
        <v>1889</v>
      </c>
      <c r="D324" s="316" t="s">
        <v>1889</v>
      </c>
      <c r="E324" s="317">
        <v>3.4400003274806044</v>
      </c>
      <c r="F324" s="317">
        <v>0</v>
      </c>
      <c r="G324" s="317">
        <v>0</v>
      </c>
      <c r="H324" s="317">
        <v>0</v>
      </c>
      <c r="I324" s="318">
        <v>0</v>
      </c>
      <c r="J324" s="318">
        <v>87.777980954836394</v>
      </c>
      <c r="K324" s="319">
        <v>18.680915302789799</v>
      </c>
      <c r="L324" s="319">
        <v>18.680915302789799</v>
      </c>
      <c r="M324" s="319">
        <f t="shared" si="5"/>
        <v>18.680915302789799</v>
      </c>
      <c r="N324" s="317">
        <v>0.64262354759234341</v>
      </c>
      <c r="O324" s="315" t="s">
        <v>1168</v>
      </c>
      <c r="P324" s="318">
        <v>188</v>
      </c>
      <c r="R324" s="320">
        <v>86.666666666666671</v>
      </c>
      <c r="S324" s="318">
        <v>40</v>
      </c>
      <c r="T324" s="318">
        <v>39.369999999999997</v>
      </c>
      <c r="U324" s="318">
        <v>269</v>
      </c>
      <c r="V324" s="315">
        <v>0.12</v>
      </c>
      <c r="W324" s="318">
        <v>10</v>
      </c>
      <c r="X324" s="315">
        <v>0</v>
      </c>
      <c r="Y324" s="315" t="s">
        <v>1149</v>
      </c>
      <c r="Z324" s="315">
        <v>0</v>
      </c>
      <c r="AA324" s="315" t="s">
        <v>1150</v>
      </c>
      <c r="AB324" s="315"/>
      <c r="AC324" s="315"/>
      <c r="AD324" s="315"/>
      <c r="AE324" s="315"/>
      <c r="AF324" s="315"/>
      <c r="AG324" s="315"/>
      <c r="AH324" s="315"/>
    </row>
    <row r="325" spans="1:34">
      <c r="A325" s="315" t="s">
        <v>1145</v>
      </c>
      <c r="B325" s="315" t="s">
        <v>1624</v>
      </c>
      <c r="C325" s="316" t="s">
        <v>1636</v>
      </c>
      <c r="D325" s="316" t="s">
        <v>1636</v>
      </c>
      <c r="E325" s="317">
        <v>1.0311496397132771</v>
      </c>
      <c r="F325" s="317">
        <v>0.50718859999999999</v>
      </c>
      <c r="G325" s="317">
        <v>0.51138949999999994</v>
      </c>
      <c r="H325" s="317">
        <v>0.51138949999999994</v>
      </c>
      <c r="I325" s="318">
        <v>49.59411130107145</v>
      </c>
      <c r="J325" s="318">
        <v>51.838038780633298</v>
      </c>
      <c r="K325" s="319">
        <v>43.670434059763501</v>
      </c>
      <c r="L325" s="319">
        <v>-5.9236772413079493</v>
      </c>
      <c r="M325" s="319">
        <f t="shared" si="5"/>
        <v>0</v>
      </c>
      <c r="N325" s="317">
        <v>0</v>
      </c>
      <c r="O325" s="315" t="s">
        <v>1148</v>
      </c>
      <c r="P325" s="318">
        <v>188.59200000000001</v>
      </c>
      <c r="R325" s="320">
        <v>86.995555555555555</v>
      </c>
      <c r="S325" s="318">
        <v>39.9</v>
      </c>
      <c r="T325" s="318">
        <v>40</v>
      </c>
      <c r="U325" s="318">
        <v>99</v>
      </c>
      <c r="V325" s="315">
        <v>0.2</v>
      </c>
      <c r="W325" s="318">
        <v>500</v>
      </c>
      <c r="X325" s="315">
        <v>2</v>
      </c>
      <c r="Y325" s="315" t="s">
        <v>1149</v>
      </c>
      <c r="Z325" s="315">
        <v>0</v>
      </c>
      <c r="AA325" s="315" t="s">
        <v>1157</v>
      </c>
      <c r="AB325" s="315"/>
      <c r="AC325" s="315"/>
      <c r="AD325" s="315"/>
      <c r="AE325" s="315"/>
      <c r="AF325" s="315"/>
      <c r="AG325" s="315"/>
      <c r="AH325" s="315"/>
    </row>
    <row r="326" spans="1:34">
      <c r="A326" s="315" t="s">
        <v>1145</v>
      </c>
      <c r="B326" s="315" t="s">
        <v>1624</v>
      </c>
      <c r="C326" s="316" t="s">
        <v>1637</v>
      </c>
      <c r="D326" s="316" t="s">
        <v>1637</v>
      </c>
      <c r="E326" s="317">
        <v>2.5955594656620891</v>
      </c>
      <c r="F326" s="317">
        <v>0.4600071</v>
      </c>
      <c r="G326" s="317">
        <v>0.60455959999999997</v>
      </c>
      <c r="H326" s="317">
        <v>0.65816795422727259</v>
      </c>
      <c r="I326" s="318">
        <v>25.357460036438951</v>
      </c>
      <c r="J326" s="318">
        <v>52.141785735661202</v>
      </c>
      <c r="K326" s="319">
        <v>43.426429005616498</v>
      </c>
      <c r="L326" s="319">
        <v>18.068968969177547</v>
      </c>
      <c r="M326" s="319">
        <f t="shared" si="5"/>
        <v>18.068968969177547</v>
      </c>
      <c r="N326" s="317">
        <v>0.46899083442703338</v>
      </c>
      <c r="O326" s="315" t="s">
        <v>1148</v>
      </c>
      <c r="P326" s="318">
        <v>188.59200000000001</v>
      </c>
      <c r="R326" s="320">
        <v>86.995555555555555</v>
      </c>
      <c r="S326" s="318">
        <v>39.9</v>
      </c>
      <c r="T326" s="318">
        <v>38</v>
      </c>
      <c r="U326" s="318">
        <v>57</v>
      </c>
      <c r="V326" s="315">
        <v>0.21</v>
      </c>
      <c r="W326" s="318">
        <v>300</v>
      </c>
      <c r="X326" s="315">
        <v>5</v>
      </c>
      <c r="Y326" s="315" t="s">
        <v>1149</v>
      </c>
      <c r="Z326" s="315">
        <v>0</v>
      </c>
      <c r="AA326" s="315" t="s">
        <v>1157</v>
      </c>
      <c r="AB326" s="315"/>
      <c r="AC326" s="315"/>
      <c r="AD326" s="315"/>
      <c r="AE326" s="315"/>
      <c r="AF326" s="315"/>
      <c r="AG326" s="315"/>
      <c r="AH326" s="315"/>
    </row>
    <row r="327" spans="1:34">
      <c r="A327" s="315" t="s">
        <v>1145</v>
      </c>
      <c r="B327" s="315" t="s">
        <v>1624</v>
      </c>
      <c r="C327" s="316" t="s">
        <v>1638</v>
      </c>
      <c r="D327" s="316" t="s">
        <v>1638</v>
      </c>
      <c r="E327" s="317">
        <v>0.94452640439003355</v>
      </c>
      <c r="F327" s="317">
        <v>0.71634739999999997</v>
      </c>
      <c r="G327" s="317">
        <v>0.72110239999999992</v>
      </c>
      <c r="H327" s="317">
        <v>0.72110239999999992</v>
      </c>
      <c r="I327" s="318">
        <v>76.345393484863052</v>
      </c>
      <c r="J327" s="318">
        <v>56.571521176932997</v>
      </c>
      <c r="K327" s="319">
        <v>42.505933873061004</v>
      </c>
      <c r="L327" s="319">
        <v>-33.839459611802049</v>
      </c>
      <c r="M327" s="319">
        <f t="shared" si="5"/>
        <v>0</v>
      </c>
      <c r="N327" s="317">
        <v>0</v>
      </c>
      <c r="O327" s="315" t="s">
        <v>1148</v>
      </c>
      <c r="P327" s="318">
        <v>188.59200000000001</v>
      </c>
      <c r="R327" s="320">
        <v>86.995555555555555</v>
      </c>
      <c r="S327" s="318">
        <v>39.9</v>
      </c>
      <c r="T327" s="318">
        <v>15</v>
      </c>
      <c r="U327" s="318">
        <v>109</v>
      </c>
      <c r="V327" s="315">
        <v>0.21</v>
      </c>
      <c r="W327" s="318">
        <v>500</v>
      </c>
      <c r="X327" s="315">
        <v>2</v>
      </c>
      <c r="Y327" s="315" t="s">
        <v>1149</v>
      </c>
      <c r="Z327" s="315">
        <v>0</v>
      </c>
      <c r="AA327" s="315" t="s">
        <v>1157</v>
      </c>
      <c r="AB327" s="315"/>
      <c r="AC327" s="315"/>
      <c r="AD327" s="315"/>
      <c r="AE327" s="315"/>
      <c r="AF327" s="315"/>
      <c r="AG327" s="315"/>
      <c r="AH327" s="315"/>
    </row>
    <row r="328" spans="1:34">
      <c r="A328" s="315" t="s">
        <v>1145</v>
      </c>
      <c r="B328" s="315" t="s">
        <v>1066</v>
      </c>
      <c r="C328" s="316" t="s">
        <v>1328</v>
      </c>
      <c r="D328" s="316" t="s">
        <v>1329</v>
      </c>
      <c r="E328" s="317">
        <v>3.6</v>
      </c>
      <c r="F328" s="317">
        <v>0.84804619999999997</v>
      </c>
      <c r="G328" s="317">
        <v>0.92455860000000001</v>
      </c>
      <c r="H328" s="317">
        <v>1.6430205999999998</v>
      </c>
      <c r="I328" s="318">
        <v>45.63946111111111</v>
      </c>
      <c r="J328" s="318">
        <v>56.531978449211998</v>
      </c>
      <c r="K328" s="319">
        <v>39.292244025013702</v>
      </c>
      <c r="L328" s="319">
        <v>-6.3472170860974089</v>
      </c>
      <c r="M328" s="319">
        <f t="shared" si="5"/>
        <v>0</v>
      </c>
      <c r="N328" s="317">
        <v>0</v>
      </c>
      <c r="O328" s="315" t="s">
        <v>1148</v>
      </c>
      <c r="P328" s="318">
        <v>189</v>
      </c>
      <c r="R328" s="320">
        <v>87.222222222222229</v>
      </c>
      <c r="S328" s="318">
        <v>40</v>
      </c>
      <c r="T328" s="318">
        <v>182.6</v>
      </c>
      <c r="U328" s="318">
        <v>473</v>
      </c>
      <c r="V328" s="315">
        <v>0.17599999999999999</v>
      </c>
      <c r="W328" s="318">
        <v>70.209999999999994</v>
      </c>
      <c r="X328" s="315">
        <v>3</v>
      </c>
      <c r="Y328" s="315" t="s">
        <v>1149</v>
      </c>
      <c r="Z328" s="315">
        <v>0</v>
      </c>
      <c r="AA328" s="315" t="s">
        <v>1157</v>
      </c>
      <c r="AB328" s="316">
        <v>0</v>
      </c>
      <c r="AC328" s="316">
        <v>2615</v>
      </c>
      <c r="AD328" s="316">
        <v>2563</v>
      </c>
      <c r="AE328" s="316">
        <v>0.54</v>
      </c>
      <c r="AF328" s="316">
        <v>1.3740000000000001</v>
      </c>
      <c r="AG328" s="316">
        <v>0.37</v>
      </c>
      <c r="AH328" s="316">
        <v>642</v>
      </c>
    </row>
    <row r="329" spans="1:34">
      <c r="A329" s="315" t="s">
        <v>1145</v>
      </c>
      <c r="B329" s="315" t="s">
        <v>1066</v>
      </c>
      <c r="C329" s="316" t="s">
        <v>1330</v>
      </c>
      <c r="D329" s="316" t="s">
        <v>1331</v>
      </c>
      <c r="E329" s="317">
        <v>3.91</v>
      </c>
      <c r="F329" s="317">
        <v>0.9325871</v>
      </c>
      <c r="G329" s="317">
        <v>1.0167269000000001</v>
      </c>
      <c r="H329" s="317">
        <v>1.9663996000000001</v>
      </c>
      <c r="I329" s="318">
        <v>50.291549872122765</v>
      </c>
      <c r="J329" s="318">
        <v>66.927916332075398</v>
      </c>
      <c r="K329" s="319">
        <v>35.422064093719101</v>
      </c>
      <c r="L329" s="319">
        <v>-14.869485778403664</v>
      </c>
      <c r="M329" s="319">
        <f t="shared" si="5"/>
        <v>0</v>
      </c>
      <c r="N329" s="317">
        <v>0</v>
      </c>
      <c r="O329" s="315" t="s">
        <v>1148</v>
      </c>
      <c r="P329" s="318">
        <v>189</v>
      </c>
      <c r="R329" s="320">
        <v>87.222222222222229</v>
      </c>
      <c r="S329" s="318">
        <v>40</v>
      </c>
      <c r="T329" s="318">
        <v>167.9</v>
      </c>
      <c r="U329" s="318">
        <v>465</v>
      </c>
      <c r="V329" s="315">
        <v>0.11</v>
      </c>
      <c r="W329" s="318">
        <v>6.7</v>
      </c>
      <c r="X329" s="315">
        <v>1</v>
      </c>
      <c r="Y329" s="315" t="s">
        <v>1149</v>
      </c>
      <c r="Z329" s="315">
        <v>0</v>
      </c>
      <c r="AA329" s="315" t="s">
        <v>1157</v>
      </c>
      <c r="AB329" s="316">
        <v>0</v>
      </c>
      <c r="AC329" s="316">
        <v>2895</v>
      </c>
      <c r="AD329" s="316">
        <v>2843</v>
      </c>
      <c r="AE329" s="316">
        <v>0.39</v>
      </c>
      <c r="AF329" s="316">
        <v>1.419</v>
      </c>
      <c r="AG329" s="316">
        <v>0.34499999999999997</v>
      </c>
      <c r="AH329" s="316">
        <v>726</v>
      </c>
    </row>
    <row r="330" spans="1:34">
      <c r="A330" s="315" t="s">
        <v>1145</v>
      </c>
      <c r="B330" s="315" t="s">
        <v>1066</v>
      </c>
      <c r="C330" s="316" t="s">
        <v>1332</v>
      </c>
      <c r="D330" s="316" t="s">
        <v>1333</v>
      </c>
      <c r="E330" s="317">
        <v>4.16</v>
      </c>
      <c r="F330" s="317">
        <v>0.33958860000000002</v>
      </c>
      <c r="G330" s="317">
        <v>0.37351329999999999</v>
      </c>
      <c r="H330" s="317">
        <v>0.38769819999999999</v>
      </c>
      <c r="I330" s="318">
        <v>9.3196682692307693</v>
      </c>
      <c r="J330" s="318">
        <v>64.943218911081303</v>
      </c>
      <c r="K330" s="319">
        <v>36.488521466883</v>
      </c>
      <c r="L330" s="319">
        <v>27.168853197652233</v>
      </c>
      <c r="M330" s="319">
        <f t="shared" si="5"/>
        <v>27.168853197652233</v>
      </c>
      <c r="N330" s="317">
        <v>1.130224293022333</v>
      </c>
      <c r="O330" s="315" t="s">
        <v>1148</v>
      </c>
      <c r="P330" s="318">
        <v>189</v>
      </c>
      <c r="R330" s="320">
        <v>87.222222222222229</v>
      </c>
      <c r="S330" s="318">
        <v>40</v>
      </c>
      <c r="T330" s="318">
        <v>145.26</v>
      </c>
      <c r="U330" s="318">
        <v>283</v>
      </c>
      <c r="V330" s="315">
        <v>0.186</v>
      </c>
      <c r="W330" s="318">
        <v>29.3</v>
      </c>
      <c r="X330" s="315">
        <v>1</v>
      </c>
      <c r="Y330" s="315" t="s">
        <v>1149</v>
      </c>
      <c r="Z330" s="315">
        <v>0</v>
      </c>
      <c r="AA330" s="315" t="s">
        <v>1157</v>
      </c>
      <c r="AB330" s="316">
        <v>0</v>
      </c>
      <c r="AC330" s="316">
        <v>3179</v>
      </c>
      <c r="AD330" s="316">
        <v>3127</v>
      </c>
      <c r="AE330" s="316">
        <v>0.41</v>
      </c>
      <c r="AF330" s="316">
        <v>1.466</v>
      </c>
      <c r="AG330" s="316">
        <v>0.32300000000000001</v>
      </c>
      <c r="AH330" s="316">
        <v>814</v>
      </c>
    </row>
    <row r="331" spans="1:34">
      <c r="A331" s="315" t="s">
        <v>1145</v>
      </c>
      <c r="B331" s="315" t="s">
        <v>1066</v>
      </c>
      <c r="C331" s="316" t="s">
        <v>1335</v>
      </c>
      <c r="D331" s="316" t="s">
        <v>1336</v>
      </c>
      <c r="E331" s="317">
        <v>1.07</v>
      </c>
      <c r="F331" s="317">
        <v>0</v>
      </c>
      <c r="G331" s="317">
        <v>0</v>
      </c>
      <c r="H331" s="317">
        <v>0.44097500000000001</v>
      </c>
      <c r="I331" s="318">
        <v>41.212616822429901</v>
      </c>
      <c r="J331" s="318">
        <v>63.7205068055233</v>
      </c>
      <c r="K331" s="319">
        <v>37.143646087927202</v>
      </c>
      <c r="L331" s="319">
        <v>-4.0689707345026989</v>
      </c>
      <c r="M331" s="319">
        <f t="shared" si="5"/>
        <v>0</v>
      </c>
      <c r="N331" s="317">
        <v>0</v>
      </c>
      <c r="O331" s="315" t="s">
        <v>1168</v>
      </c>
      <c r="P331" s="318">
        <v>189</v>
      </c>
      <c r="R331" s="320">
        <v>87.222222222222229</v>
      </c>
      <c r="S331" s="318">
        <v>40</v>
      </c>
      <c r="T331" s="318">
        <v>228</v>
      </c>
      <c r="U331" s="318">
        <v>466</v>
      </c>
      <c r="V331" s="315">
        <v>0.19</v>
      </c>
      <c r="W331" s="318">
        <v>170.1</v>
      </c>
      <c r="X331" s="315">
        <v>0</v>
      </c>
      <c r="Y331" s="315" t="s">
        <v>1149</v>
      </c>
      <c r="Z331" s="315">
        <v>0</v>
      </c>
      <c r="AA331" s="315" t="s">
        <v>1157</v>
      </c>
      <c r="AB331" s="315"/>
      <c r="AC331" s="315"/>
      <c r="AD331" s="315"/>
      <c r="AE331" s="315"/>
      <c r="AF331" s="315"/>
      <c r="AG331" s="315"/>
      <c r="AH331" s="315"/>
    </row>
    <row r="332" spans="1:34">
      <c r="A332" s="315" t="s">
        <v>1145</v>
      </c>
      <c r="B332" s="315" t="s">
        <v>1071</v>
      </c>
      <c r="C332" s="316" t="s">
        <v>1461</v>
      </c>
      <c r="D332" s="316" t="s">
        <v>1461</v>
      </c>
      <c r="E332" s="317">
        <v>101.5</v>
      </c>
      <c r="F332" s="317">
        <v>68.719628599999993</v>
      </c>
      <c r="G332" s="317">
        <v>70.115714099999991</v>
      </c>
      <c r="H332" s="317">
        <v>70.115714099999991</v>
      </c>
      <c r="I332" s="318">
        <v>69.079521280788171</v>
      </c>
      <c r="J332" s="318">
        <v>52.200817260062202</v>
      </c>
      <c r="K332" s="319">
        <v>44.752327893219601</v>
      </c>
      <c r="L332" s="319">
        <v>-24.32719338756857</v>
      </c>
      <c r="M332" s="319">
        <f t="shared" si="5"/>
        <v>0</v>
      </c>
      <c r="N332" s="317">
        <v>0</v>
      </c>
      <c r="O332" s="315" t="s">
        <v>1148</v>
      </c>
      <c r="P332" s="318">
        <v>189</v>
      </c>
      <c r="R332" s="320">
        <v>87.222222222222229</v>
      </c>
      <c r="S332" s="318">
        <v>40</v>
      </c>
      <c r="T332" s="318">
        <v>20</v>
      </c>
      <c r="U332" s="318">
        <v>218</v>
      </c>
      <c r="V332" s="315">
        <v>0.21</v>
      </c>
      <c r="W332" s="318">
        <v>565</v>
      </c>
      <c r="X332" s="315">
        <v>5</v>
      </c>
      <c r="Y332" s="315" t="s">
        <v>1149</v>
      </c>
      <c r="Z332" s="315">
        <v>0</v>
      </c>
      <c r="AA332" s="315" t="s">
        <v>1190</v>
      </c>
      <c r="AB332" s="315"/>
      <c r="AC332" s="315"/>
      <c r="AD332" s="315"/>
      <c r="AE332" s="315"/>
      <c r="AF332" s="315"/>
      <c r="AG332" s="315"/>
      <c r="AH332" s="315"/>
    </row>
    <row r="333" spans="1:34">
      <c r="A333" s="315" t="s">
        <v>1145</v>
      </c>
      <c r="B333" s="315" t="s">
        <v>663</v>
      </c>
      <c r="C333" s="316" t="s">
        <v>1891</v>
      </c>
      <c r="D333" s="316" t="s">
        <v>1891</v>
      </c>
      <c r="E333" s="317">
        <v>5.677967940530289</v>
      </c>
      <c r="F333" s="317">
        <v>0</v>
      </c>
      <c r="G333" s="317">
        <v>0</v>
      </c>
      <c r="H333" s="317">
        <v>0</v>
      </c>
      <c r="I333" s="318">
        <v>0</v>
      </c>
      <c r="J333" s="318">
        <v>85.612741346575405</v>
      </c>
      <c r="K333" s="319">
        <v>20.338538709025698</v>
      </c>
      <c r="L333" s="319">
        <v>20.338538709025698</v>
      </c>
      <c r="M333" s="319">
        <f t="shared" si="5"/>
        <v>20.338538709025698</v>
      </c>
      <c r="N333" s="317">
        <v>1.1548157074708221</v>
      </c>
      <c r="O333" s="315" t="s">
        <v>1168</v>
      </c>
      <c r="P333" s="318">
        <v>189</v>
      </c>
      <c r="R333" s="320">
        <v>87.222222222222229</v>
      </c>
      <c r="S333" s="318">
        <v>40</v>
      </c>
      <c r="T333" s="318">
        <v>25</v>
      </c>
      <c r="U333" s="318">
        <v>216</v>
      </c>
      <c r="V333" s="315">
        <v>0.317</v>
      </c>
      <c r="W333" s="318">
        <v>200</v>
      </c>
      <c r="X333" s="315">
        <v>0</v>
      </c>
      <c r="Y333" s="315" t="s">
        <v>1149</v>
      </c>
      <c r="Z333" s="315">
        <v>0</v>
      </c>
      <c r="AA333" s="315" t="s">
        <v>1150</v>
      </c>
      <c r="AB333" s="315"/>
      <c r="AC333" s="315"/>
      <c r="AD333" s="315"/>
      <c r="AE333" s="315"/>
      <c r="AF333" s="315"/>
      <c r="AG333" s="315"/>
      <c r="AH333" s="315"/>
    </row>
    <row r="334" spans="1:34">
      <c r="A334" s="315" t="s">
        <v>1646</v>
      </c>
      <c r="B334" s="315" t="s">
        <v>1066</v>
      </c>
      <c r="C334" s="316" t="s">
        <v>1337</v>
      </c>
      <c r="D334" s="316" t="s">
        <v>1338</v>
      </c>
      <c r="E334" s="317">
        <v>2.4700000000000002</v>
      </c>
      <c r="F334" s="317">
        <v>4.8200000000000001E-4</v>
      </c>
      <c r="G334" s="317">
        <v>0.33080329999999997</v>
      </c>
      <c r="H334" s="317">
        <v>0.33080329999999997</v>
      </c>
      <c r="I334" s="318">
        <v>13.392846153846152</v>
      </c>
      <c r="J334" s="318">
        <v>64.436686909731407</v>
      </c>
      <c r="K334" s="319">
        <v>32.295150930508896</v>
      </c>
      <c r="L334" s="319">
        <v>18.902304776662746</v>
      </c>
      <c r="M334" s="319">
        <f t="shared" si="5"/>
        <v>18.902304776662746</v>
      </c>
      <c r="N334" s="317">
        <v>0.46688692798356984</v>
      </c>
      <c r="O334" s="315" t="s">
        <v>1148</v>
      </c>
      <c r="P334" s="318">
        <v>190</v>
      </c>
      <c r="R334" s="320">
        <v>87.777777777777771</v>
      </c>
      <c r="S334" s="318">
        <v>40</v>
      </c>
      <c r="T334" s="318">
        <v>83.2</v>
      </c>
      <c r="U334" s="318">
        <v>83.2</v>
      </c>
      <c r="V334" s="315">
        <v>0.17</v>
      </c>
      <c r="W334" s="318">
        <v>61.5</v>
      </c>
      <c r="X334" s="315">
        <v>1</v>
      </c>
      <c r="Y334" s="315" t="s">
        <v>1149</v>
      </c>
      <c r="Z334" s="315">
        <v>0</v>
      </c>
      <c r="AA334" s="315" t="s">
        <v>1157</v>
      </c>
      <c r="AB334" s="315"/>
      <c r="AC334" s="315"/>
      <c r="AD334" s="315"/>
      <c r="AE334" s="315"/>
      <c r="AF334" s="315"/>
      <c r="AG334" s="315"/>
      <c r="AH334" s="315"/>
    </row>
    <row r="335" spans="1:34">
      <c r="A335" s="315" t="s">
        <v>1649</v>
      </c>
      <c r="B335" s="315" t="s">
        <v>648</v>
      </c>
      <c r="C335" s="316" t="s">
        <v>1490</v>
      </c>
      <c r="D335" s="316" t="s">
        <v>1491</v>
      </c>
      <c r="E335" s="317">
        <v>14.65347</v>
      </c>
      <c r="F335" s="317">
        <v>1.9201893999999999</v>
      </c>
      <c r="G335" s="317">
        <v>2.0051746000000001</v>
      </c>
      <c r="H335" s="317">
        <v>2.0051746000000001</v>
      </c>
      <c r="I335" s="318">
        <v>13.683957451716216</v>
      </c>
      <c r="J335" s="318">
        <v>52.432422453358299</v>
      </c>
      <c r="K335" s="319">
        <v>38.654956050368497</v>
      </c>
      <c r="L335" s="319">
        <v>24.97099859865228</v>
      </c>
      <c r="M335" s="319">
        <f t="shared" si="5"/>
        <v>24.97099859865228</v>
      </c>
      <c r="N335" s="317">
        <v>3.6591177883539325</v>
      </c>
      <c r="O335" s="315" t="s">
        <v>1148</v>
      </c>
      <c r="P335" s="318">
        <v>190</v>
      </c>
      <c r="Q335" s="315">
        <v>1</v>
      </c>
      <c r="R335" s="320">
        <v>87.777777777777771</v>
      </c>
      <c r="S335" s="318">
        <v>38.4</v>
      </c>
      <c r="T335" s="318">
        <v>14.3</v>
      </c>
      <c r="U335" s="318">
        <v>383</v>
      </c>
      <c r="V335" s="315">
        <v>0.155</v>
      </c>
      <c r="W335" s="318">
        <v>111</v>
      </c>
      <c r="X335" s="315">
        <v>4</v>
      </c>
      <c r="Y335" s="315" t="s">
        <v>1154</v>
      </c>
      <c r="Z335" s="315">
        <v>1</v>
      </c>
      <c r="AA335" s="315" t="s">
        <v>1157</v>
      </c>
      <c r="AB335" s="315"/>
      <c r="AC335" s="315"/>
      <c r="AD335" s="315"/>
      <c r="AE335" s="315"/>
      <c r="AF335" s="315"/>
      <c r="AG335" s="315"/>
      <c r="AH335" s="315"/>
    </row>
    <row r="336" spans="1:34">
      <c r="A336" s="315" t="s">
        <v>1145</v>
      </c>
      <c r="B336" s="315" t="s">
        <v>663</v>
      </c>
      <c r="C336" s="316" t="s">
        <v>1892</v>
      </c>
      <c r="D336" s="316" t="s">
        <v>1892</v>
      </c>
      <c r="E336" s="317">
        <v>8.7200008301252545</v>
      </c>
      <c r="F336" s="317">
        <v>0</v>
      </c>
      <c r="G336" s="317">
        <v>0</v>
      </c>
      <c r="H336" s="317">
        <v>0</v>
      </c>
      <c r="I336" s="318">
        <v>0</v>
      </c>
      <c r="J336" s="318">
        <v>89.145728266699095</v>
      </c>
      <c r="K336" s="319">
        <v>18.652114002502302</v>
      </c>
      <c r="L336" s="319">
        <v>18.652114002502302</v>
      </c>
      <c r="M336" s="319">
        <f t="shared" si="5"/>
        <v>18.652114002502302</v>
      </c>
      <c r="N336" s="317">
        <v>1.6264644958541095</v>
      </c>
      <c r="O336" s="315" t="s">
        <v>1168</v>
      </c>
      <c r="P336" s="318">
        <v>190</v>
      </c>
      <c r="R336" s="320">
        <v>87.777777777777771</v>
      </c>
      <c r="S336" s="318">
        <v>38</v>
      </c>
      <c r="T336" s="318">
        <v>37.450000000000003</v>
      </c>
      <c r="U336" s="318">
        <v>492</v>
      </c>
      <c r="V336" s="315">
        <v>0.19</v>
      </c>
      <c r="W336" s="318">
        <v>1.5</v>
      </c>
      <c r="X336" s="315">
        <v>0</v>
      </c>
      <c r="Y336" s="315" t="s">
        <v>1149</v>
      </c>
      <c r="Z336" s="315">
        <v>0</v>
      </c>
      <c r="AA336" s="315" t="s">
        <v>1157</v>
      </c>
      <c r="AB336" s="315"/>
      <c r="AC336" s="315"/>
      <c r="AD336" s="315"/>
      <c r="AE336" s="315"/>
      <c r="AF336" s="315"/>
      <c r="AG336" s="315"/>
      <c r="AH336" s="315"/>
    </row>
    <row r="337" spans="1:34">
      <c r="A337" s="315" t="s">
        <v>1145</v>
      </c>
      <c r="B337" s="315" t="s">
        <v>663</v>
      </c>
      <c r="C337" s="316" t="s">
        <v>1894</v>
      </c>
      <c r="D337" s="316" t="s">
        <v>1894</v>
      </c>
      <c r="E337" s="317">
        <v>1.5779170502142965</v>
      </c>
      <c r="F337" s="317">
        <v>3.5555000000000003E-2</v>
      </c>
      <c r="G337" s="317">
        <v>3.5555000000000003E-2</v>
      </c>
      <c r="H337" s="317">
        <v>3.5555000000000003E-2</v>
      </c>
      <c r="I337" s="318">
        <v>2.2532870150031834</v>
      </c>
      <c r="J337" s="318">
        <v>76.280837243618095</v>
      </c>
      <c r="K337" s="319">
        <v>26.940731669277202</v>
      </c>
      <c r="L337" s="319">
        <v>24.687444654274017</v>
      </c>
      <c r="M337" s="319">
        <f t="shared" si="5"/>
        <v>24.687444654274017</v>
      </c>
      <c r="N337" s="317">
        <v>0.38954739846200764</v>
      </c>
      <c r="O337" s="315" t="s">
        <v>1148</v>
      </c>
      <c r="P337" s="318">
        <v>190</v>
      </c>
      <c r="R337" s="320">
        <v>87.777777777777771</v>
      </c>
      <c r="S337" s="318">
        <v>41</v>
      </c>
      <c r="T337" s="318">
        <v>23.61</v>
      </c>
      <c r="U337" s="318">
        <v>180.45500000000001</v>
      </c>
      <c r="V337" s="315">
        <v>0.19</v>
      </c>
      <c r="W337" s="318">
        <v>7.12</v>
      </c>
      <c r="X337" s="315">
        <v>0</v>
      </c>
      <c r="Y337" s="315" t="s">
        <v>1149</v>
      </c>
      <c r="Z337" s="315">
        <v>0</v>
      </c>
      <c r="AA337" s="315" t="s">
        <v>1190</v>
      </c>
      <c r="AB337" s="315"/>
      <c r="AC337" s="315"/>
      <c r="AD337" s="315"/>
      <c r="AE337" s="315"/>
      <c r="AF337" s="315"/>
      <c r="AG337" s="315"/>
      <c r="AH337" s="315"/>
    </row>
    <row r="338" spans="1:34">
      <c r="A338" s="315" t="s">
        <v>1145</v>
      </c>
      <c r="B338" s="315" t="s">
        <v>663</v>
      </c>
      <c r="C338" s="316" t="s">
        <v>1896</v>
      </c>
      <c r="D338" s="316" t="s">
        <v>1896</v>
      </c>
      <c r="E338" s="317">
        <v>7.2400006892324358</v>
      </c>
      <c r="F338" s="317">
        <v>0</v>
      </c>
      <c r="G338" s="317">
        <v>0</v>
      </c>
      <c r="H338" s="317">
        <v>0</v>
      </c>
      <c r="I338" s="318">
        <v>0</v>
      </c>
      <c r="J338" s="318">
        <v>79.524592681529796</v>
      </c>
      <c r="K338" s="319">
        <v>23.7522685660287</v>
      </c>
      <c r="L338" s="319">
        <v>23.7522685660287</v>
      </c>
      <c r="M338" s="319">
        <f t="shared" si="5"/>
        <v>23.7522685660287</v>
      </c>
      <c r="N338" s="317">
        <v>1.719664407888817</v>
      </c>
      <c r="O338" s="315" t="s">
        <v>1168</v>
      </c>
      <c r="P338" s="318">
        <v>190</v>
      </c>
      <c r="R338" s="320">
        <v>87.777777777777771</v>
      </c>
      <c r="S338" s="318">
        <v>41</v>
      </c>
      <c r="T338" s="318">
        <v>47.23</v>
      </c>
      <c r="U338" s="318">
        <v>354</v>
      </c>
      <c r="V338" s="315">
        <v>0.2</v>
      </c>
      <c r="W338" s="318">
        <v>39.32</v>
      </c>
      <c r="X338" s="315">
        <v>0</v>
      </c>
      <c r="Y338" s="315" t="s">
        <v>1149</v>
      </c>
      <c r="Z338" s="315">
        <v>0</v>
      </c>
      <c r="AA338" s="315" t="s">
        <v>1150</v>
      </c>
      <c r="AB338" s="315"/>
      <c r="AC338" s="315"/>
      <c r="AD338" s="315"/>
      <c r="AE338" s="315"/>
      <c r="AF338" s="315"/>
      <c r="AG338" s="315"/>
      <c r="AH338" s="315"/>
    </row>
    <row r="339" spans="1:34">
      <c r="A339" s="315" t="s">
        <v>1145</v>
      </c>
      <c r="B339" s="315" t="s">
        <v>1066</v>
      </c>
      <c r="C339" s="316" t="s">
        <v>1339</v>
      </c>
      <c r="D339" s="316" t="s">
        <v>1340</v>
      </c>
      <c r="E339" s="317">
        <v>10.74</v>
      </c>
      <c r="F339" s="317">
        <v>1.9185517000000001</v>
      </c>
      <c r="G339" s="317">
        <v>2.0916471000000003</v>
      </c>
      <c r="H339" s="317">
        <v>3.4100603</v>
      </c>
      <c r="I339" s="318">
        <v>31.751027001862198</v>
      </c>
      <c r="J339" s="318">
        <v>58.0007297876354</v>
      </c>
      <c r="K339" s="319">
        <v>37.791247744688697</v>
      </c>
      <c r="L339" s="319">
        <v>6.0402207428264987</v>
      </c>
      <c r="M339" s="319">
        <f t="shared" si="5"/>
        <v>6.0402207428264987</v>
      </c>
      <c r="N339" s="317">
        <v>0.648719707779566</v>
      </c>
      <c r="O339" s="315" t="s">
        <v>1148</v>
      </c>
      <c r="P339" s="318">
        <v>190.19900000000001</v>
      </c>
      <c r="R339" s="320">
        <v>87.88833333333335</v>
      </c>
      <c r="S339" s="318">
        <v>40</v>
      </c>
      <c r="T339" s="318">
        <v>280.3</v>
      </c>
      <c r="U339" s="318">
        <v>322</v>
      </c>
      <c r="V339" s="315">
        <v>0.19700000000000001</v>
      </c>
      <c r="W339" s="318">
        <v>60.07</v>
      </c>
      <c r="X339" s="315">
        <v>6</v>
      </c>
      <c r="Y339" s="315" t="s">
        <v>1149</v>
      </c>
      <c r="Z339" s="315">
        <v>0</v>
      </c>
      <c r="AA339" s="315" t="s">
        <v>1190</v>
      </c>
      <c r="AB339" s="315"/>
      <c r="AC339" s="315"/>
      <c r="AD339" s="315"/>
      <c r="AE339" s="315"/>
      <c r="AF339" s="315"/>
      <c r="AG339" s="315"/>
      <c r="AH339" s="315"/>
    </row>
    <row r="340" spans="1:34">
      <c r="A340" s="315" t="s">
        <v>1145</v>
      </c>
      <c r="B340" s="315" t="s">
        <v>1066</v>
      </c>
      <c r="C340" s="316" t="s">
        <v>1341</v>
      </c>
      <c r="D340" s="316" t="s">
        <v>1342</v>
      </c>
      <c r="E340" s="317">
        <v>0.91</v>
      </c>
      <c r="F340" s="317">
        <v>0</v>
      </c>
      <c r="G340" s="317">
        <v>0</v>
      </c>
      <c r="H340" s="317">
        <v>0</v>
      </c>
      <c r="I340" s="318">
        <v>0</v>
      </c>
      <c r="J340" s="318">
        <v>57.421386173850898</v>
      </c>
      <c r="K340" s="319">
        <v>39.554839032660098</v>
      </c>
      <c r="L340" s="319">
        <v>39.554839032660098</v>
      </c>
      <c r="M340" s="319">
        <f t="shared" si="5"/>
        <v>39.554839032660098</v>
      </c>
      <c r="N340" s="317">
        <v>0.35994903519720695</v>
      </c>
      <c r="O340" s="315" t="s">
        <v>1168</v>
      </c>
      <c r="P340" s="318">
        <v>190.4</v>
      </c>
      <c r="R340" s="320">
        <v>88</v>
      </c>
      <c r="S340" s="318">
        <v>40</v>
      </c>
      <c r="T340" s="318">
        <v>132.9</v>
      </c>
      <c r="U340" s="318">
        <v>212</v>
      </c>
      <c r="V340" s="315">
        <v>0.18</v>
      </c>
      <c r="W340" s="318">
        <v>105.3</v>
      </c>
      <c r="X340" s="315">
        <v>0</v>
      </c>
      <c r="Y340" s="315" t="s">
        <v>1149</v>
      </c>
      <c r="Z340" s="315">
        <v>0</v>
      </c>
      <c r="AA340" s="315" t="s">
        <v>1157</v>
      </c>
      <c r="AB340" s="316">
        <v>0</v>
      </c>
      <c r="AC340" s="316">
        <v>3027</v>
      </c>
      <c r="AD340" s="316">
        <v>3022</v>
      </c>
      <c r="AE340" s="316">
        <v>0.52</v>
      </c>
      <c r="AF340" s="316">
        <v>1.4670000000000001</v>
      </c>
      <c r="AG340" s="316">
        <v>0.28999999999999998</v>
      </c>
      <c r="AH340" s="316">
        <v>846</v>
      </c>
    </row>
    <row r="341" spans="1:34">
      <c r="A341" s="315" t="s">
        <v>1145</v>
      </c>
      <c r="B341" s="315" t="s">
        <v>1066</v>
      </c>
      <c r="C341" s="316" t="s">
        <v>1343</v>
      </c>
      <c r="D341" s="316" t="s">
        <v>1344</v>
      </c>
      <c r="E341" s="317">
        <v>20.86</v>
      </c>
      <c r="F341" s="317">
        <v>2.0180962</v>
      </c>
      <c r="G341" s="317">
        <v>2.211916</v>
      </c>
      <c r="H341" s="317">
        <v>8.6712351999999999</v>
      </c>
      <c r="I341" s="318">
        <v>41.568720997123684</v>
      </c>
      <c r="J341" s="318">
        <v>57.421386173850898</v>
      </c>
      <c r="K341" s="319">
        <v>38.8595680496285</v>
      </c>
      <c r="L341" s="319">
        <v>-2.7091529474951841</v>
      </c>
      <c r="M341" s="319">
        <f t="shared" si="5"/>
        <v>0</v>
      </c>
      <c r="N341" s="317">
        <v>0</v>
      </c>
      <c r="O341" s="315" t="s">
        <v>1148</v>
      </c>
      <c r="P341" s="318">
        <v>190.4</v>
      </c>
      <c r="R341" s="320">
        <v>88</v>
      </c>
      <c r="S341" s="318">
        <v>40</v>
      </c>
      <c r="T341" s="318">
        <v>132.9</v>
      </c>
      <c r="U341" s="318">
        <v>212</v>
      </c>
      <c r="V341" s="315">
        <v>0.18</v>
      </c>
      <c r="W341" s="318">
        <v>105.3</v>
      </c>
      <c r="X341" s="315">
        <v>2</v>
      </c>
      <c r="Y341" s="315" t="s">
        <v>1149</v>
      </c>
      <c r="Z341" s="315">
        <v>0</v>
      </c>
      <c r="AA341" s="315" t="s">
        <v>1157</v>
      </c>
      <c r="AB341" s="316">
        <v>0</v>
      </c>
      <c r="AC341" s="316">
        <v>3027</v>
      </c>
      <c r="AD341" s="316">
        <v>3022</v>
      </c>
      <c r="AE341" s="316">
        <v>0.52</v>
      </c>
      <c r="AF341" s="316">
        <v>1.4670000000000001</v>
      </c>
      <c r="AG341" s="316">
        <v>0.28999999999999998</v>
      </c>
      <c r="AH341" s="316">
        <v>846</v>
      </c>
    </row>
    <row r="342" spans="1:34">
      <c r="A342" s="315" t="s">
        <v>1145</v>
      </c>
      <c r="B342" s="315" t="s">
        <v>1066</v>
      </c>
      <c r="C342" s="316" t="s">
        <v>1345</v>
      </c>
      <c r="D342" s="316" t="s">
        <v>1345</v>
      </c>
      <c r="E342" s="317">
        <v>0.265044</v>
      </c>
      <c r="F342" s="317">
        <v>0</v>
      </c>
      <c r="G342" s="317">
        <v>0</v>
      </c>
      <c r="H342" s="317">
        <v>0</v>
      </c>
      <c r="I342" s="318">
        <v>0</v>
      </c>
      <c r="J342" s="318">
        <v>79.068914658752504</v>
      </c>
      <c r="K342" s="319">
        <v>27.800384208650097</v>
      </c>
      <c r="L342" s="319">
        <v>27.800384208650097</v>
      </c>
      <c r="M342" s="319">
        <f t="shared" si="5"/>
        <v>27.800384208650097</v>
      </c>
      <c r="N342" s="317">
        <v>7.3683250321974564E-2</v>
      </c>
      <c r="O342" s="315" t="s">
        <v>1168</v>
      </c>
      <c r="P342" s="318">
        <v>191</v>
      </c>
      <c r="R342" s="320">
        <v>88.333333333333329</v>
      </c>
      <c r="S342" s="318">
        <v>38</v>
      </c>
      <c r="T342" s="318">
        <v>14.8</v>
      </c>
      <c r="U342" s="318">
        <v>177</v>
      </c>
      <c r="V342" s="315">
        <v>0.15</v>
      </c>
      <c r="W342" s="318">
        <v>6.12</v>
      </c>
      <c r="X342" s="315">
        <v>0</v>
      </c>
      <c r="Y342" s="315" t="s">
        <v>1149</v>
      </c>
      <c r="Z342" s="315">
        <v>0</v>
      </c>
      <c r="AA342" s="315" t="s">
        <v>1190</v>
      </c>
      <c r="AB342" s="315"/>
      <c r="AC342" s="315"/>
      <c r="AD342" s="315"/>
      <c r="AE342" s="315"/>
      <c r="AF342" s="315"/>
      <c r="AG342" s="315"/>
      <c r="AH342" s="315"/>
    </row>
    <row r="343" spans="1:34">
      <c r="A343" s="315" t="s">
        <v>1145</v>
      </c>
      <c r="B343" s="315" t="s">
        <v>1066</v>
      </c>
      <c r="C343" s="316" t="s">
        <v>1346</v>
      </c>
      <c r="D343" s="316" t="s">
        <v>1346</v>
      </c>
      <c r="E343" s="317">
        <v>0.19</v>
      </c>
      <c r="F343" s="317">
        <v>0</v>
      </c>
      <c r="G343" s="317">
        <v>0</v>
      </c>
      <c r="H343" s="317">
        <v>0</v>
      </c>
      <c r="I343" s="318">
        <v>0</v>
      </c>
      <c r="J343" s="318">
        <v>78.966526211537698</v>
      </c>
      <c r="K343" s="319">
        <v>25.554914685832504</v>
      </c>
      <c r="L343" s="319">
        <v>25.554914685832504</v>
      </c>
      <c r="M343" s="319">
        <f t="shared" si="5"/>
        <v>25.554914685832504</v>
      </c>
      <c r="N343" s="317">
        <v>4.8554337903081758E-2</v>
      </c>
      <c r="O343" s="315" t="s">
        <v>1168</v>
      </c>
      <c r="P343" s="318">
        <v>191</v>
      </c>
      <c r="R343" s="320">
        <v>88.333333333333329</v>
      </c>
      <c r="S343" s="318">
        <v>38</v>
      </c>
      <c r="T343" s="318">
        <v>38.700000000000003</v>
      </c>
      <c r="U343" s="318">
        <v>177</v>
      </c>
      <c r="V343" s="315">
        <v>0.15</v>
      </c>
      <c r="W343" s="318">
        <v>6.12</v>
      </c>
      <c r="X343" s="315">
        <v>0</v>
      </c>
      <c r="Y343" s="315" t="s">
        <v>1149</v>
      </c>
      <c r="Z343" s="315">
        <v>0</v>
      </c>
      <c r="AA343" s="315" t="s">
        <v>1190</v>
      </c>
      <c r="AB343" s="315"/>
      <c r="AC343" s="315"/>
      <c r="AD343" s="315"/>
      <c r="AE343" s="315"/>
      <c r="AF343" s="315"/>
      <c r="AG343" s="315"/>
      <c r="AH343" s="315"/>
    </row>
    <row r="344" spans="1:34">
      <c r="A344" s="315" t="s">
        <v>1145</v>
      </c>
      <c r="B344" s="315" t="s">
        <v>1066</v>
      </c>
      <c r="C344" s="316" t="s">
        <v>1347</v>
      </c>
      <c r="D344" s="316" t="s">
        <v>1347</v>
      </c>
      <c r="E344" s="317">
        <v>0.93229799999999996</v>
      </c>
      <c r="F344" s="317">
        <v>0</v>
      </c>
      <c r="G344" s="317">
        <v>0</v>
      </c>
      <c r="H344" s="317">
        <v>0</v>
      </c>
      <c r="I344" s="318">
        <v>0</v>
      </c>
      <c r="J344" s="318">
        <v>59.737448057841398</v>
      </c>
      <c r="K344" s="319">
        <v>38.1762921716645</v>
      </c>
      <c r="L344" s="319">
        <v>38.1762921716645</v>
      </c>
      <c r="M344" s="319">
        <f t="shared" si="5"/>
        <v>38.1762921716645</v>
      </c>
      <c r="N344" s="317">
        <v>0.3559168083905847</v>
      </c>
      <c r="O344" s="315" t="s">
        <v>1168</v>
      </c>
      <c r="P344" s="318">
        <v>191</v>
      </c>
      <c r="R344" s="320">
        <v>88.333333333333329</v>
      </c>
      <c r="S344" s="318">
        <v>38</v>
      </c>
      <c r="T344" s="318">
        <v>95.3</v>
      </c>
      <c r="U344" s="318">
        <v>801</v>
      </c>
      <c r="V344" s="315">
        <v>0.17</v>
      </c>
      <c r="W344" s="318">
        <v>100.58</v>
      </c>
      <c r="X344" s="315">
        <v>0</v>
      </c>
      <c r="Y344" s="315" t="s">
        <v>1149</v>
      </c>
      <c r="Z344" s="315">
        <v>0</v>
      </c>
      <c r="AA344" s="315" t="s">
        <v>1157</v>
      </c>
      <c r="AB344" s="315"/>
      <c r="AC344" s="315"/>
      <c r="AD344" s="315"/>
      <c r="AE344" s="315"/>
      <c r="AF344" s="315"/>
      <c r="AG344" s="315"/>
      <c r="AH344" s="315"/>
    </row>
    <row r="345" spans="1:34">
      <c r="A345" s="315" t="s">
        <v>1145</v>
      </c>
      <c r="B345" s="315" t="s">
        <v>1066</v>
      </c>
      <c r="C345" s="316" t="s">
        <v>1348</v>
      </c>
      <c r="D345" s="316" t="s">
        <v>1348</v>
      </c>
      <c r="E345" s="317">
        <v>0.128714</v>
      </c>
      <c r="F345" s="317">
        <v>0</v>
      </c>
      <c r="G345" s="317">
        <v>0</v>
      </c>
      <c r="H345" s="317">
        <v>0</v>
      </c>
      <c r="I345" s="318">
        <v>0</v>
      </c>
      <c r="J345" s="318">
        <v>58.902083209520903</v>
      </c>
      <c r="K345" s="319">
        <v>39.221610104021501</v>
      </c>
      <c r="L345" s="319">
        <v>39.221610104021501</v>
      </c>
      <c r="M345" s="319">
        <f t="shared" si="5"/>
        <v>39.221610104021501</v>
      </c>
      <c r="N345" s="317">
        <v>5.048370322929023E-2</v>
      </c>
      <c r="O345" s="315" t="s">
        <v>1168</v>
      </c>
      <c r="P345" s="318">
        <v>191</v>
      </c>
      <c r="R345" s="320">
        <v>88.333333333333329</v>
      </c>
      <c r="S345" s="318">
        <v>38</v>
      </c>
      <c r="T345" s="318">
        <v>215</v>
      </c>
      <c r="U345" s="318">
        <v>215</v>
      </c>
      <c r="V345" s="315">
        <v>0.2</v>
      </c>
      <c r="W345" s="318">
        <v>246.3</v>
      </c>
      <c r="X345" s="315">
        <v>1</v>
      </c>
      <c r="Y345" s="315" t="s">
        <v>1149</v>
      </c>
      <c r="Z345" s="315">
        <v>0</v>
      </c>
      <c r="AA345" s="315" t="s">
        <v>1157</v>
      </c>
      <c r="AB345" s="315"/>
      <c r="AC345" s="315"/>
      <c r="AD345" s="315"/>
      <c r="AE345" s="315"/>
      <c r="AF345" s="315"/>
      <c r="AG345" s="315"/>
      <c r="AH345" s="315"/>
    </row>
    <row r="346" spans="1:34">
      <c r="A346" s="315" t="s">
        <v>1145</v>
      </c>
      <c r="B346" s="315" t="s">
        <v>1066</v>
      </c>
      <c r="C346" s="316" t="s">
        <v>1349</v>
      </c>
      <c r="D346" s="316" t="s">
        <v>1349</v>
      </c>
      <c r="E346" s="317">
        <v>4.6500000000000004</v>
      </c>
      <c r="F346" s="317">
        <v>0</v>
      </c>
      <c r="G346" s="317">
        <v>0</v>
      </c>
      <c r="H346" s="317">
        <v>0</v>
      </c>
      <c r="I346" s="318">
        <v>0</v>
      </c>
      <c r="J346" s="318">
        <v>53.804957155012801</v>
      </c>
      <c r="K346" s="319">
        <v>40.221400501819602</v>
      </c>
      <c r="L346" s="319">
        <v>40.221400501819602</v>
      </c>
      <c r="M346" s="319">
        <f t="shared" si="5"/>
        <v>40.221400501819602</v>
      </c>
      <c r="N346" s="317">
        <v>1.8702951233346117</v>
      </c>
      <c r="O346" s="315" t="s">
        <v>1168</v>
      </c>
      <c r="P346" s="318">
        <v>191</v>
      </c>
      <c r="R346" s="320">
        <v>88.333333333333329</v>
      </c>
      <c r="S346" s="318">
        <v>38</v>
      </c>
      <c r="T346" s="318">
        <v>1339</v>
      </c>
      <c r="U346" s="318">
        <v>1339</v>
      </c>
      <c r="V346" s="315">
        <v>0.2</v>
      </c>
      <c r="W346" s="318">
        <v>246.3</v>
      </c>
      <c r="X346" s="315">
        <v>0</v>
      </c>
      <c r="Y346" s="315" t="s">
        <v>1149</v>
      </c>
      <c r="Z346" s="315">
        <v>0</v>
      </c>
      <c r="AA346" s="315" t="s">
        <v>1157</v>
      </c>
      <c r="AB346" s="315"/>
      <c r="AC346" s="315"/>
      <c r="AD346" s="315"/>
      <c r="AE346" s="315"/>
      <c r="AF346" s="315"/>
      <c r="AG346" s="315"/>
      <c r="AH346" s="315"/>
    </row>
    <row r="347" spans="1:34">
      <c r="A347" s="315" t="s">
        <v>1145</v>
      </c>
      <c r="B347" s="315" t="s">
        <v>663</v>
      </c>
      <c r="C347" s="316" t="s">
        <v>1897</v>
      </c>
      <c r="D347" s="316" t="s">
        <v>1897</v>
      </c>
      <c r="E347" s="317">
        <v>6.6600006340176812</v>
      </c>
      <c r="F347" s="317">
        <v>0</v>
      </c>
      <c r="G347" s="317">
        <v>0</v>
      </c>
      <c r="H347" s="317">
        <v>0</v>
      </c>
      <c r="I347" s="318">
        <v>0</v>
      </c>
      <c r="J347" s="318">
        <v>79.494353621695495</v>
      </c>
      <c r="K347" s="319">
        <v>24.1622796259139</v>
      </c>
      <c r="L347" s="319">
        <v>24.1622796259139</v>
      </c>
      <c r="M347" s="319">
        <f t="shared" si="5"/>
        <v>24.1622796259139</v>
      </c>
      <c r="N347" s="317">
        <v>1.6092079762789906</v>
      </c>
      <c r="O347" s="315" t="s">
        <v>1168</v>
      </c>
      <c r="P347" s="318">
        <v>191</v>
      </c>
      <c r="R347" s="320">
        <v>88.333333333333329</v>
      </c>
      <c r="S347" s="318">
        <v>40</v>
      </c>
      <c r="T347" s="318">
        <v>65.61</v>
      </c>
      <c r="U347" s="318">
        <v>348</v>
      </c>
      <c r="V347" s="315">
        <v>0.23499999999999999</v>
      </c>
      <c r="W347" s="318">
        <v>44.23</v>
      </c>
      <c r="X347" s="315">
        <v>0</v>
      </c>
      <c r="Y347" s="315" t="s">
        <v>1149</v>
      </c>
      <c r="Z347" s="315">
        <v>0</v>
      </c>
      <c r="AA347" s="315" t="s">
        <v>1150</v>
      </c>
      <c r="AB347" s="315"/>
      <c r="AC347" s="315"/>
      <c r="AD347" s="315"/>
      <c r="AE347" s="315"/>
      <c r="AF347" s="315"/>
      <c r="AG347" s="315"/>
      <c r="AH347" s="315"/>
    </row>
    <row r="348" spans="1:34">
      <c r="A348" s="315" t="s">
        <v>1145</v>
      </c>
      <c r="B348" s="315" t="s">
        <v>663</v>
      </c>
      <c r="C348" s="316" t="s">
        <v>1898</v>
      </c>
      <c r="D348" s="316" t="s">
        <v>1898</v>
      </c>
      <c r="E348" s="317">
        <v>3.52</v>
      </c>
      <c r="F348" s="317">
        <v>0</v>
      </c>
      <c r="G348" s="317">
        <v>0</v>
      </c>
      <c r="H348" s="317">
        <v>0</v>
      </c>
      <c r="I348" s="318">
        <v>0</v>
      </c>
      <c r="J348" s="318">
        <v>66.8088036957909</v>
      </c>
      <c r="K348" s="319">
        <v>28.748861186781099</v>
      </c>
      <c r="L348" s="319">
        <v>28.748861186781099</v>
      </c>
      <c r="M348" s="319">
        <f t="shared" si="5"/>
        <v>28.748861186781099</v>
      </c>
      <c r="N348" s="317">
        <v>1.0119599137746946</v>
      </c>
      <c r="O348" s="315" t="s">
        <v>1168</v>
      </c>
      <c r="P348" s="318">
        <v>191.38760150000002</v>
      </c>
      <c r="R348" s="320">
        <v>88.548667500000022</v>
      </c>
      <c r="S348" s="318">
        <v>32</v>
      </c>
      <c r="T348" s="318">
        <v>42.5</v>
      </c>
      <c r="U348" s="318">
        <v>557.77</v>
      </c>
      <c r="V348" s="315">
        <v>0.14099999999999999</v>
      </c>
      <c r="W348" s="318">
        <v>10</v>
      </c>
      <c r="X348" s="315">
        <v>0</v>
      </c>
      <c r="Y348" s="315" t="s">
        <v>1149</v>
      </c>
      <c r="Z348" s="315">
        <v>0</v>
      </c>
      <c r="AA348" s="315" t="s">
        <v>1190</v>
      </c>
      <c r="AB348" s="315"/>
      <c r="AC348" s="315"/>
      <c r="AD348" s="315"/>
      <c r="AE348" s="315"/>
      <c r="AF348" s="315"/>
      <c r="AG348" s="315"/>
      <c r="AH348" s="315"/>
    </row>
    <row r="349" spans="1:34">
      <c r="A349" s="315" t="s">
        <v>1145</v>
      </c>
      <c r="B349" s="315" t="s">
        <v>1071</v>
      </c>
      <c r="C349" s="316" t="s">
        <v>1462</v>
      </c>
      <c r="D349" s="316" t="s">
        <v>1462</v>
      </c>
      <c r="E349" s="317">
        <v>24.5</v>
      </c>
      <c r="F349" s="317">
        <v>7.2955569000000002</v>
      </c>
      <c r="G349" s="317">
        <v>8.1266427999999991</v>
      </c>
      <c r="H349" s="317">
        <v>9.7285439999999994</v>
      </c>
      <c r="I349" s="318">
        <v>39.708342857142853</v>
      </c>
      <c r="J349" s="318">
        <v>63.987845417255897</v>
      </c>
      <c r="K349" s="319">
        <v>39.769554522687301</v>
      </c>
      <c r="L349" s="319">
        <v>6.1211665544448124E-2</v>
      </c>
      <c r="M349" s="319">
        <f t="shared" si="5"/>
        <v>6.1211665544448124E-2</v>
      </c>
      <c r="N349" s="317">
        <v>1.4996858058389791E-2</v>
      </c>
      <c r="O349" s="315" t="s">
        <v>1148</v>
      </c>
      <c r="P349" s="318">
        <v>192</v>
      </c>
      <c r="R349" s="320">
        <v>88.888888888888886</v>
      </c>
      <c r="S349" s="318">
        <v>42</v>
      </c>
      <c r="T349" s="318">
        <v>15</v>
      </c>
      <c r="U349" s="318">
        <v>223</v>
      </c>
      <c r="V349" s="315">
        <v>0.18</v>
      </c>
      <c r="W349" s="318">
        <v>161</v>
      </c>
      <c r="X349" s="315">
        <v>1</v>
      </c>
      <c r="Y349" s="315" t="s">
        <v>1149</v>
      </c>
      <c r="Z349" s="315">
        <v>0</v>
      </c>
      <c r="AA349" s="315" t="s">
        <v>1190</v>
      </c>
      <c r="AB349" s="315"/>
      <c r="AC349" s="315"/>
      <c r="AD349" s="315"/>
      <c r="AE349" s="315"/>
      <c r="AF349" s="315"/>
      <c r="AG349" s="315"/>
      <c r="AH349" s="315"/>
    </row>
    <row r="350" spans="1:34">
      <c r="A350" s="315" t="s">
        <v>1334</v>
      </c>
      <c r="B350" s="315" t="s">
        <v>1916</v>
      </c>
      <c r="C350" s="316" t="s">
        <v>1944</v>
      </c>
      <c r="D350" s="316" t="s">
        <v>1944</v>
      </c>
      <c r="E350" s="317">
        <v>21.7</v>
      </c>
      <c r="F350" s="317">
        <v>6.5083359999999999</v>
      </c>
      <c r="G350" s="317">
        <v>6.5083359999999999</v>
      </c>
      <c r="H350" s="317">
        <v>6.5083359999999999</v>
      </c>
      <c r="I350" s="318">
        <v>29.992331797235021</v>
      </c>
      <c r="J350" s="318">
        <v>50.041903468851402</v>
      </c>
      <c r="K350" s="319">
        <v>39.660960109248698</v>
      </c>
      <c r="L350" s="319">
        <v>9.6686283120136771</v>
      </c>
      <c r="M350" s="319">
        <f t="shared" si="5"/>
        <v>9.6686283120136771</v>
      </c>
      <c r="N350" s="317">
        <v>2.0980923437069681</v>
      </c>
      <c r="O350" s="315" t="s">
        <v>1148</v>
      </c>
      <c r="P350" s="318">
        <v>192</v>
      </c>
      <c r="R350" s="320">
        <v>88.888888888888886</v>
      </c>
      <c r="S350" s="318">
        <v>37</v>
      </c>
      <c r="T350" s="318">
        <v>34.787142857142861</v>
      </c>
      <c r="U350" s="318">
        <v>31.748571428571431</v>
      </c>
      <c r="V350" s="315">
        <v>0.19800000000000001</v>
      </c>
      <c r="W350" s="318">
        <v>221.54033329999999</v>
      </c>
      <c r="X350" s="315">
        <v>6</v>
      </c>
      <c r="Y350" s="315" t="s">
        <v>1149</v>
      </c>
      <c r="Z350" s="315">
        <v>0</v>
      </c>
      <c r="AA350" s="315" t="s">
        <v>1190</v>
      </c>
      <c r="AB350" s="315"/>
      <c r="AC350" s="315"/>
      <c r="AD350" s="315"/>
      <c r="AE350" s="315"/>
      <c r="AF350" s="315"/>
      <c r="AG350" s="315"/>
      <c r="AH350" s="315"/>
    </row>
    <row r="351" spans="1:34">
      <c r="A351" s="315" t="s">
        <v>1334</v>
      </c>
      <c r="B351" s="315" t="s">
        <v>1916</v>
      </c>
      <c r="C351" s="316" t="s">
        <v>1945</v>
      </c>
      <c r="D351" s="316" t="s">
        <v>1945</v>
      </c>
      <c r="E351" s="317">
        <v>9.1</v>
      </c>
      <c r="F351" s="317">
        <v>2.5331350000000001</v>
      </c>
      <c r="G351" s="317">
        <v>2.5331350000000001</v>
      </c>
      <c r="H351" s="317">
        <v>2.5331350000000001</v>
      </c>
      <c r="I351" s="318">
        <v>27.836648351648353</v>
      </c>
      <c r="J351" s="318">
        <v>51.9776834791803</v>
      </c>
      <c r="K351" s="319">
        <v>38.800433714094602</v>
      </c>
      <c r="L351" s="319">
        <v>10.963785362446249</v>
      </c>
      <c r="M351" s="319">
        <f t="shared" si="5"/>
        <v>10.963785362446249</v>
      </c>
      <c r="N351" s="317">
        <v>0.99770446798260859</v>
      </c>
      <c r="O351" s="315" t="s">
        <v>1148</v>
      </c>
      <c r="P351" s="318">
        <v>192</v>
      </c>
      <c r="R351" s="320">
        <v>88.888888888888886</v>
      </c>
      <c r="S351" s="318">
        <v>37</v>
      </c>
      <c r="T351" s="318">
        <v>16.832448979591838</v>
      </c>
      <c r="U351" s="318">
        <v>13.009795918367347</v>
      </c>
      <c r="V351" s="315">
        <v>0.20599999999999999</v>
      </c>
      <c r="W351" s="318">
        <v>125.30800000000001</v>
      </c>
      <c r="X351" s="315">
        <v>5</v>
      </c>
      <c r="Y351" s="315" t="s">
        <v>1149</v>
      </c>
      <c r="Z351" s="315">
        <v>0</v>
      </c>
      <c r="AA351" s="315" t="s">
        <v>1190</v>
      </c>
      <c r="AB351" s="315"/>
      <c r="AC351" s="315"/>
      <c r="AD351" s="315"/>
      <c r="AE351" s="315"/>
      <c r="AF351" s="315"/>
      <c r="AG351" s="315"/>
      <c r="AH351" s="315"/>
    </row>
    <row r="352" spans="1:34">
      <c r="A352" s="315" t="s">
        <v>1334</v>
      </c>
      <c r="B352" s="315" t="s">
        <v>1916</v>
      </c>
      <c r="C352" s="316" t="s">
        <v>1946</v>
      </c>
      <c r="D352" s="316" t="s">
        <v>1946</v>
      </c>
      <c r="E352" s="317">
        <v>1.6</v>
      </c>
      <c r="F352" s="317">
        <v>0</v>
      </c>
      <c r="G352" s="317">
        <v>0</v>
      </c>
      <c r="H352" s="317">
        <v>0</v>
      </c>
      <c r="I352" s="318">
        <v>0</v>
      </c>
      <c r="J352" s="318">
        <v>60.564740216078</v>
      </c>
      <c r="K352" s="319">
        <v>34.228527587588999</v>
      </c>
      <c r="L352" s="319">
        <v>34.228527587588999</v>
      </c>
      <c r="M352" s="319">
        <f t="shared" si="5"/>
        <v>34.228527587588999</v>
      </c>
      <c r="N352" s="317">
        <v>0.547656441401424</v>
      </c>
      <c r="O352" s="315" t="s">
        <v>1168</v>
      </c>
      <c r="P352" s="318">
        <v>192</v>
      </c>
      <c r="R352" s="320">
        <v>88.888888888888886</v>
      </c>
      <c r="S352" s="318">
        <v>37</v>
      </c>
      <c r="T352" s="318">
        <v>5.9566666666666661</v>
      </c>
      <c r="U352" s="318">
        <v>3.0549999999999997</v>
      </c>
      <c r="V352" s="315">
        <v>0.16900000000000001</v>
      </c>
      <c r="W352" s="318">
        <v>16.888874999999999</v>
      </c>
      <c r="X352" s="315">
        <v>0</v>
      </c>
      <c r="Y352" s="315" t="s">
        <v>1149</v>
      </c>
      <c r="Z352" s="315">
        <v>0</v>
      </c>
      <c r="AA352" s="315" t="s">
        <v>1190</v>
      </c>
      <c r="AB352" s="315"/>
      <c r="AC352" s="315"/>
      <c r="AD352" s="315"/>
      <c r="AE352" s="315"/>
      <c r="AF352" s="315"/>
      <c r="AG352" s="315"/>
      <c r="AH352" s="315"/>
    </row>
    <row r="353" spans="1:34">
      <c r="A353" s="315" t="s">
        <v>1334</v>
      </c>
      <c r="B353" s="315" t="s">
        <v>1916</v>
      </c>
      <c r="C353" s="316" t="s">
        <v>1947</v>
      </c>
      <c r="D353" s="316" t="s">
        <v>1947</v>
      </c>
      <c r="E353" s="317">
        <v>3.6</v>
      </c>
      <c r="F353" s="317">
        <v>0.95797299999999996</v>
      </c>
      <c r="G353" s="317">
        <v>0.95797299999999996</v>
      </c>
      <c r="H353" s="317">
        <v>0.95797299999999996</v>
      </c>
      <c r="I353" s="318">
        <v>26.610361111111107</v>
      </c>
      <c r="J353" s="318">
        <v>0</v>
      </c>
      <c r="K353" s="319">
        <v>0</v>
      </c>
      <c r="L353" s="319">
        <v>-26.610361111111107</v>
      </c>
      <c r="M353" s="319">
        <f t="shared" si="5"/>
        <v>0</v>
      </c>
      <c r="N353" s="317">
        <v>0</v>
      </c>
      <c r="O353" s="315" t="s">
        <v>1148</v>
      </c>
      <c r="P353" s="318">
        <v>192</v>
      </c>
      <c r="R353" s="320">
        <v>88.888888888888886</v>
      </c>
      <c r="S353" s="318">
        <v>37</v>
      </c>
      <c r="T353" s="318">
        <v>10.549999999999999</v>
      </c>
      <c r="U353" s="318">
        <v>5.665</v>
      </c>
      <c r="V353" s="315">
        <v>0.2</v>
      </c>
      <c r="W353" s="318">
        <v>30.860749999999999</v>
      </c>
      <c r="X353" s="315">
        <v>2</v>
      </c>
      <c r="Y353" s="315" t="s">
        <v>1149</v>
      </c>
      <c r="Z353" s="315">
        <v>0</v>
      </c>
      <c r="AA353" s="315" t="s">
        <v>1190</v>
      </c>
      <c r="AB353" s="315"/>
      <c r="AC353" s="315"/>
      <c r="AD353" s="315"/>
      <c r="AE353" s="315"/>
      <c r="AF353" s="315"/>
      <c r="AG353" s="315"/>
      <c r="AH353" s="315"/>
    </row>
    <row r="354" spans="1:34">
      <c r="A354" s="315" t="s">
        <v>1145</v>
      </c>
      <c r="B354" s="315" t="s">
        <v>1753</v>
      </c>
      <c r="C354" s="316" t="s">
        <v>1760</v>
      </c>
      <c r="D354" s="316" t="s">
        <v>1760</v>
      </c>
      <c r="E354" s="317">
        <v>5.4678795432246767</v>
      </c>
      <c r="F354" s="317">
        <v>0.63800000000000001</v>
      </c>
      <c r="G354" s="317">
        <v>0.63800000000000001</v>
      </c>
      <c r="H354" s="317">
        <v>0.63800000000000001</v>
      </c>
      <c r="I354" s="318">
        <v>11.668142923714449</v>
      </c>
      <c r="J354" s="318">
        <v>57.8100636464426</v>
      </c>
      <c r="K354" s="319">
        <v>34.4823667094931</v>
      </c>
      <c r="L354" s="319">
        <v>22.814223785778651</v>
      </c>
      <c r="M354" s="319">
        <f t="shared" si="5"/>
        <v>22.814223785778651</v>
      </c>
      <c r="N354" s="317">
        <v>1.2474542753280893</v>
      </c>
      <c r="O354" s="315" t="s">
        <v>1148</v>
      </c>
      <c r="P354" s="318">
        <v>192.77500000000001</v>
      </c>
      <c r="R354" s="320">
        <v>89.319444444444443</v>
      </c>
      <c r="S354" s="318">
        <v>31</v>
      </c>
      <c r="T354" s="318">
        <v>40</v>
      </c>
      <c r="U354" s="318">
        <v>30</v>
      </c>
      <c r="V354" s="315">
        <v>0.2</v>
      </c>
      <c r="W354" s="318">
        <v>320</v>
      </c>
      <c r="X354" s="315">
        <v>3</v>
      </c>
      <c r="Y354" s="315" t="s">
        <v>1149</v>
      </c>
      <c r="Z354" s="315">
        <v>0</v>
      </c>
      <c r="AA354" s="315" t="s">
        <v>1190</v>
      </c>
      <c r="AB354" s="315"/>
      <c r="AC354" s="315"/>
      <c r="AD354" s="315"/>
      <c r="AE354" s="315"/>
      <c r="AF354" s="315"/>
      <c r="AG354" s="315"/>
      <c r="AH354" s="315"/>
    </row>
    <row r="355" spans="1:34">
      <c r="A355" s="315" t="s">
        <v>1145</v>
      </c>
      <c r="B355" s="315" t="s">
        <v>1753</v>
      </c>
      <c r="C355" s="316" t="s">
        <v>1761</v>
      </c>
      <c r="D355" s="316" t="s">
        <v>1761</v>
      </c>
      <c r="E355" s="317">
        <v>2.0953921605868779</v>
      </c>
      <c r="F355" s="317">
        <v>1.3089999999999999</v>
      </c>
      <c r="G355" s="317">
        <v>1.3089999999999999</v>
      </c>
      <c r="H355" s="317">
        <v>1.3089999999999999</v>
      </c>
      <c r="I355" s="318">
        <v>62.470406476722474</v>
      </c>
      <c r="J355" s="318">
        <v>57.916414452449303</v>
      </c>
      <c r="K355" s="319">
        <v>39.129903425989298</v>
      </c>
      <c r="L355" s="319">
        <v>-23.340503050733176</v>
      </c>
      <c r="M355" s="319">
        <f t="shared" si="5"/>
        <v>0</v>
      </c>
      <c r="N355" s="317">
        <v>0</v>
      </c>
      <c r="O355" s="315" t="s">
        <v>1148</v>
      </c>
      <c r="P355" s="318">
        <v>192.77500000000001</v>
      </c>
      <c r="R355" s="320">
        <v>89.319444444444443</v>
      </c>
      <c r="S355" s="318">
        <v>31</v>
      </c>
      <c r="T355" s="318">
        <v>40</v>
      </c>
      <c r="U355" s="318">
        <v>30</v>
      </c>
      <c r="V355" s="315">
        <v>0.2</v>
      </c>
      <c r="W355" s="318">
        <v>320</v>
      </c>
      <c r="X355" s="315">
        <v>2</v>
      </c>
      <c r="Y355" s="315" t="s">
        <v>1149</v>
      </c>
      <c r="Z355" s="315">
        <v>0</v>
      </c>
      <c r="AA355" s="315" t="s">
        <v>1190</v>
      </c>
      <c r="AB355" s="315"/>
      <c r="AC355" s="315"/>
      <c r="AD355" s="315"/>
      <c r="AE355" s="315"/>
      <c r="AF355" s="315"/>
      <c r="AG355" s="315"/>
      <c r="AH355" s="315"/>
    </row>
    <row r="356" spans="1:34">
      <c r="A356" s="315" t="s">
        <v>1145</v>
      </c>
      <c r="B356" s="315" t="s">
        <v>1066</v>
      </c>
      <c r="C356" s="316" t="s">
        <v>1350</v>
      </c>
      <c r="D356" s="316" t="s">
        <v>1350</v>
      </c>
      <c r="E356" s="317">
        <v>2.4700000000000002</v>
      </c>
      <c r="F356" s="317">
        <v>0</v>
      </c>
      <c r="G356" s="317">
        <v>0</v>
      </c>
      <c r="H356" s="317">
        <v>0.66146249999999995</v>
      </c>
      <c r="I356" s="318">
        <v>26.779858299595137</v>
      </c>
      <c r="J356" s="318">
        <v>61.081380388004099</v>
      </c>
      <c r="K356" s="319">
        <v>33.737633614604604</v>
      </c>
      <c r="L356" s="319">
        <v>6.9577753150094672</v>
      </c>
      <c r="M356" s="319">
        <f t="shared" si="5"/>
        <v>6.9577753150094672</v>
      </c>
      <c r="N356" s="317">
        <v>0.17185705028073386</v>
      </c>
      <c r="O356" s="315" t="s">
        <v>1168</v>
      </c>
      <c r="P356" s="318">
        <v>192.9</v>
      </c>
      <c r="R356" s="320">
        <v>89.388888888888886</v>
      </c>
      <c r="S356" s="318">
        <v>40</v>
      </c>
      <c r="T356" s="318">
        <v>152.5</v>
      </c>
      <c r="U356" s="318">
        <v>279</v>
      </c>
      <c r="V356" s="315">
        <v>0.18</v>
      </c>
      <c r="W356" s="318">
        <v>29.7</v>
      </c>
      <c r="X356" s="315">
        <v>0</v>
      </c>
      <c r="Y356" s="315" t="s">
        <v>1149</v>
      </c>
      <c r="Z356" s="315">
        <v>0</v>
      </c>
      <c r="AA356" s="315" t="s">
        <v>1157</v>
      </c>
      <c r="AB356" s="315"/>
      <c r="AC356" s="315"/>
      <c r="AD356" s="315"/>
      <c r="AE356" s="315"/>
      <c r="AF356" s="315"/>
      <c r="AG356" s="315"/>
      <c r="AH356" s="315"/>
    </row>
    <row r="357" spans="1:34">
      <c r="A357" s="315" t="s">
        <v>1145</v>
      </c>
      <c r="B357" s="315" t="s">
        <v>1066</v>
      </c>
      <c r="C357" s="316" t="s">
        <v>1351</v>
      </c>
      <c r="D357" s="316" t="s">
        <v>1351</v>
      </c>
      <c r="E357" s="317">
        <v>4.3726520000000004</v>
      </c>
      <c r="F357" s="317">
        <v>0.51772739999999995</v>
      </c>
      <c r="G357" s="317">
        <v>0.56443779999999999</v>
      </c>
      <c r="H357" s="317">
        <v>0.58606389999999997</v>
      </c>
      <c r="I357" s="318">
        <v>13.402939451847526</v>
      </c>
      <c r="J357" s="318">
        <v>60.859951671178798</v>
      </c>
      <c r="K357" s="319">
        <v>38.213994020662902</v>
      </c>
      <c r="L357" s="319">
        <v>24.811054568815376</v>
      </c>
      <c r="M357" s="319">
        <f t="shared" si="5"/>
        <v>24.811054568815376</v>
      </c>
      <c r="N357" s="317">
        <v>1.0849010738243969</v>
      </c>
      <c r="O357" s="315" t="s">
        <v>1148</v>
      </c>
      <c r="P357" s="318">
        <v>193</v>
      </c>
      <c r="R357" s="320">
        <v>89.444444444444443</v>
      </c>
      <c r="S357" s="318">
        <v>38</v>
      </c>
      <c r="T357" s="318">
        <v>144.30000000000001</v>
      </c>
      <c r="U357" s="318">
        <v>1109</v>
      </c>
      <c r="V357" s="315">
        <v>0.21</v>
      </c>
      <c r="W357" s="318">
        <v>246.9</v>
      </c>
      <c r="X357" s="315">
        <v>2</v>
      </c>
      <c r="Y357" s="315" t="s">
        <v>1149</v>
      </c>
      <c r="Z357" s="315">
        <v>0</v>
      </c>
      <c r="AA357" s="315" t="s">
        <v>1157</v>
      </c>
      <c r="AB357" s="315"/>
      <c r="AC357" s="315"/>
      <c r="AD357" s="315"/>
      <c r="AE357" s="315"/>
      <c r="AF357" s="315"/>
      <c r="AG357" s="315"/>
      <c r="AH357" s="315"/>
    </row>
    <row r="358" spans="1:34">
      <c r="A358" s="315" t="s">
        <v>1678</v>
      </c>
      <c r="B358" s="315" t="s">
        <v>1430</v>
      </c>
      <c r="C358" s="316" t="s">
        <v>1431</v>
      </c>
      <c r="D358" s="316" t="s">
        <v>1431</v>
      </c>
      <c r="E358" s="317">
        <v>12.956447595520029</v>
      </c>
      <c r="F358" s="317">
        <v>5.5501218000000003</v>
      </c>
      <c r="G358" s="317">
        <v>5.5501218000000003</v>
      </c>
      <c r="H358" s="317">
        <v>5.5501218000000003</v>
      </c>
      <c r="I358" s="318">
        <v>42.836755669965235</v>
      </c>
      <c r="J358" s="318">
        <v>51.559314084154899</v>
      </c>
      <c r="K358" s="319">
        <v>39.529825678203103</v>
      </c>
      <c r="L358" s="319">
        <v>-3.3069299917621322</v>
      </c>
      <c r="M358" s="319">
        <f t="shared" si="5"/>
        <v>0</v>
      </c>
      <c r="N358" s="317">
        <v>0</v>
      </c>
      <c r="O358" s="315" t="s">
        <v>1148</v>
      </c>
      <c r="P358" s="318">
        <v>193</v>
      </c>
      <c r="R358" s="320">
        <v>89.444444444444443</v>
      </c>
      <c r="S358" s="318">
        <v>37</v>
      </c>
      <c r="T358" s="318">
        <v>43</v>
      </c>
      <c r="U358" s="318">
        <v>47</v>
      </c>
      <c r="V358" s="315">
        <v>0.23</v>
      </c>
      <c r="W358" s="318">
        <v>700</v>
      </c>
      <c r="X358" s="315">
        <v>3</v>
      </c>
      <c r="Y358" s="315" t="s">
        <v>1149</v>
      </c>
      <c r="Z358" s="315">
        <v>0</v>
      </c>
      <c r="AA358" s="315" t="s">
        <v>1150</v>
      </c>
      <c r="AB358" s="315"/>
      <c r="AC358" s="315"/>
      <c r="AD358" s="315"/>
      <c r="AE358" s="315"/>
      <c r="AF358" s="315"/>
      <c r="AG358" s="315"/>
      <c r="AH358" s="315"/>
    </row>
    <row r="359" spans="1:34">
      <c r="A359" s="315" t="s">
        <v>1145</v>
      </c>
      <c r="B359" s="315" t="s">
        <v>1519</v>
      </c>
      <c r="C359" s="316" t="s">
        <v>1520</v>
      </c>
      <c r="D359" s="316" t="s">
        <v>1520</v>
      </c>
      <c r="E359" s="317">
        <v>3.677</v>
      </c>
      <c r="F359" s="317">
        <v>0</v>
      </c>
      <c r="G359" s="317">
        <v>0</v>
      </c>
      <c r="H359" s="317">
        <v>0</v>
      </c>
      <c r="I359" s="318">
        <v>0</v>
      </c>
      <c r="J359" s="318">
        <v>72.477179663476505</v>
      </c>
      <c r="K359" s="319">
        <v>33.652371109533306</v>
      </c>
      <c r="L359" s="319">
        <v>33.652371109533306</v>
      </c>
      <c r="M359" s="319">
        <f t="shared" si="5"/>
        <v>33.652371109533306</v>
      </c>
      <c r="N359" s="317">
        <v>1.2373976856975397</v>
      </c>
      <c r="O359" s="315" t="s">
        <v>1168</v>
      </c>
      <c r="P359" s="318">
        <v>193</v>
      </c>
      <c r="R359" s="320">
        <v>89.444444444444443</v>
      </c>
      <c r="S359" s="318">
        <v>39</v>
      </c>
      <c r="T359" s="318">
        <v>33</v>
      </c>
      <c r="U359" s="318">
        <v>273</v>
      </c>
      <c r="V359" s="315">
        <v>0.21</v>
      </c>
      <c r="W359" s="318">
        <v>170</v>
      </c>
      <c r="X359" s="315">
        <v>0</v>
      </c>
      <c r="Y359" s="315" t="s">
        <v>1149</v>
      </c>
      <c r="Z359" s="315">
        <v>0</v>
      </c>
      <c r="AA359" s="315" t="s">
        <v>1157</v>
      </c>
      <c r="AB359" s="315"/>
      <c r="AC359" s="315"/>
      <c r="AD359" s="315"/>
      <c r="AE359" s="315"/>
      <c r="AF359" s="315"/>
      <c r="AG359" s="315"/>
      <c r="AH359" s="315"/>
    </row>
    <row r="360" spans="1:34">
      <c r="A360" s="315" t="s">
        <v>1145</v>
      </c>
      <c r="B360" s="315" t="s">
        <v>663</v>
      </c>
      <c r="C360" s="316" t="s">
        <v>1899</v>
      </c>
      <c r="D360" s="316" t="s">
        <v>1899</v>
      </c>
      <c r="E360" s="317">
        <v>1.27</v>
      </c>
      <c r="F360" s="317">
        <v>0</v>
      </c>
      <c r="G360" s="317">
        <v>0</v>
      </c>
      <c r="H360" s="317">
        <v>0</v>
      </c>
      <c r="I360" s="318">
        <v>0</v>
      </c>
      <c r="J360" s="318">
        <v>69.080267501217904</v>
      </c>
      <c r="K360" s="319">
        <v>27.780695328139</v>
      </c>
      <c r="L360" s="319">
        <v>27.780695328139</v>
      </c>
      <c r="M360" s="319">
        <f t="shared" si="5"/>
        <v>27.780695328139</v>
      </c>
      <c r="N360" s="317">
        <v>0.3528148306673653</v>
      </c>
      <c r="O360" s="315" t="s">
        <v>1168</v>
      </c>
      <c r="P360" s="318">
        <v>193</v>
      </c>
      <c r="R360" s="320">
        <v>89.444444444444443</v>
      </c>
      <c r="S360" s="318">
        <v>40</v>
      </c>
      <c r="T360" s="318">
        <v>18.02</v>
      </c>
      <c r="U360" s="318">
        <v>610</v>
      </c>
      <c r="V360" s="315">
        <v>0.18</v>
      </c>
      <c r="W360" s="318">
        <v>10</v>
      </c>
      <c r="X360" s="315">
        <v>0</v>
      </c>
      <c r="Y360" s="315" t="s">
        <v>1149</v>
      </c>
      <c r="Z360" s="315">
        <v>0</v>
      </c>
      <c r="AA360" s="315" t="s">
        <v>1150</v>
      </c>
      <c r="AB360" s="315"/>
      <c r="AC360" s="315"/>
      <c r="AD360" s="315"/>
      <c r="AE360" s="315"/>
      <c r="AF360" s="315"/>
      <c r="AG360" s="315"/>
      <c r="AH360" s="315"/>
    </row>
    <row r="361" spans="1:34">
      <c r="A361" s="315" t="s">
        <v>1145</v>
      </c>
      <c r="B361" s="315" t="s">
        <v>1066</v>
      </c>
      <c r="C361" s="316" t="s">
        <v>1352</v>
      </c>
      <c r="D361" s="316" t="s">
        <v>1352</v>
      </c>
      <c r="E361" s="317">
        <v>3.08</v>
      </c>
      <c r="F361" s="317">
        <v>1.33E-5</v>
      </c>
      <c r="G361" s="317">
        <v>1.45E-5</v>
      </c>
      <c r="H361" s="317">
        <v>0.881965</v>
      </c>
      <c r="I361" s="318">
        <v>28.635227272727271</v>
      </c>
      <c r="J361" s="318">
        <v>58.333593763990201</v>
      </c>
      <c r="K361" s="319">
        <v>37.726855620057798</v>
      </c>
      <c r="L361" s="319">
        <v>9.091628347330527</v>
      </c>
      <c r="M361" s="319">
        <f t="shared" si="5"/>
        <v>9.091628347330527</v>
      </c>
      <c r="N361" s="317">
        <v>0.28002215309778022</v>
      </c>
      <c r="O361" s="315" t="s">
        <v>1148</v>
      </c>
      <c r="P361" s="318">
        <v>193.9</v>
      </c>
      <c r="R361" s="320">
        <v>89.944444444444443</v>
      </c>
      <c r="S361" s="318">
        <v>40</v>
      </c>
      <c r="T361" s="318">
        <v>1111</v>
      </c>
      <c r="U361" s="318">
        <v>1111</v>
      </c>
      <c r="V361" s="315">
        <v>0.2</v>
      </c>
      <c r="W361" s="318">
        <v>50</v>
      </c>
      <c r="X361" s="315">
        <v>5</v>
      </c>
      <c r="Y361" s="315" t="s">
        <v>1149</v>
      </c>
      <c r="Z361" s="315">
        <v>0</v>
      </c>
      <c r="AA361" s="315" t="s">
        <v>1157</v>
      </c>
      <c r="AB361" s="315"/>
      <c r="AC361" s="315"/>
      <c r="AD361" s="315"/>
      <c r="AE361" s="315"/>
      <c r="AF361" s="315"/>
      <c r="AG361" s="315"/>
      <c r="AH361" s="315"/>
    </row>
    <row r="362" spans="1:34">
      <c r="A362" s="315" t="s">
        <v>1145</v>
      </c>
      <c r="B362" s="315" t="s">
        <v>1624</v>
      </c>
      <c r="C362" s="316" t="s">
        <v>1639</v>
      </c>
      <c r="D362" s="316" t="s">
        <v>1639</v>
      </c>
      <c r="E362" s="317">
        <v>0.39872284200032354</v>
      </c>
      <c r="F362" s="317">
        <v>9.5474900000000001E-2</v>
      </c>
      <c r="G362" s="317">
        <v>9.6256800000000003E-2</v>
      </c>
      <c r="H362" s="317">
        <v>0.52512363381818072</v>
      </c>
      <c r="I362" s="318">
        <v>131.70141725107251</v>
      </c>
      <c r="J362" s="318">
        <v>56.306700662101797</v>
      </c>
      <c r="K362" s="319">
        <v>42.441347572562997</v>
      </c>
      <c r="L362" s="319">
        <v>-89.260069678509524</v>
      </c>
      <c r="M362" s="319">
        <f t="shared" si="5"/>
        <v>0</v>
      </c>
      <c r="N362" s="317">
        <v>0</v>
      </c>
      <c r="O362" s="315" t="s">
        <v>1148</v>
      </c>
      <c r="P362" s="318">
        <v>193.99199999999999</v>
      </c>
      <c r="R362" s="320">
        <v>89.995555555555541</v>
      </c>
      <c r="S362" s="318">
        <v>39.700000000000003</v>
      </c>
      <c r="T362" s="318">
        <v>24</v>
      </c>
      <c r="U362" s="318">
        <v>59</v>
      </c>
      <c r="V362" s="315">
        <v>0.2</v>
      </c>
      <c r="W362" s="318">
        <v>400</v>
      </c>
      <c r="X362" s="315">
        <v>1</v>
      </c>
      <c r="Y362" s="315" t="s">
        <v>1149</v>
      </c>
      <c r="Z362" s="315">
        <v>0</v>
      </c>
      <c r="AA362" s="315" t="s">
        <v>1157</v>
      </c>
      <c r="AB362" s="315"/>
      <c r="AC362" s="315"/>
      <c r="AD362" s="315"/>
      <c r="AE362" s="315"/>
      <c r="AF362" s="315"/>
      <c r="AG362" s="315"/>
      <c r="AH362" s="315"/>
    </row>
    <row r="363" spans="1:34">
      <c r="A363" s="315" t="s">
        <v>1145</v>
      </c>
      <c r="B363" s="315" t="s">
        <v>1066</v>
      </c>
      <c r="C363" s="316" t="s">
        <v>1353</v>
      </c>
      <c r="D363" s="316" t="s">
        <v>1353</v>
      </c>
      <c r="E363" s="317">
        <v>2.35</v>
      </c>
      <c r="F363" s="317">
        <v>0</v>
      </c>
      <c r="G363" s="317">
        <v>0</v>
      </c>
      <c r="H363" s="317">
        <v>0.88194989999999995</v>
      </c>
      <c r="I363" s="318">
        <v>37.529782978723404</v>
      </c>
      <c r="J363" s="318">
        <v>52.628031534931701</v>
      </c>
      <c r="K363" s="319">
        <v>40.721514841060504</v>
      </c>
      <c r="L363" s="319">
        <v>3.1917318623371003</v>
      </c>
      <c r="M363" s="319">
        <f t="shared" si="5"/>
        <v>3.1917318623371003</v>
      </c>
      <c r="N363" s="317">
        <v>7.5005698764921858E-2</v>
      </c>
      <c r="O363" s="315" t="s">
        <v>1168</v>
      </c>
      <c r="P363" s="318">
        <v>194</v>
      </c>
      <c r="R363" s="320">
        <v>90</v>
      </c>
      <c r="S363" s="318">
        <v>40</v>
      </c>
      <c r="T363" s="318">
        <v>162.9</v>
      </c>
      <c r="U363" s="318">
        <v>388</v>
      </c>
      <c r="V363" s="315">
        <v>0.2</v>
      </c>
      <c r="W363" s="318">
        <v>705.4</v>
      </c>
      <c r="X363" s="315">
        <v>0</v>
      </c>
      <c r="Y363" s="315" t="s">
        <v>1149</v>
      </c>
      <c r="Z363" s="315">
        <v>0</v>
      </c>
      <c r="AA363" s="315" t="s">
        <v>1157</v>
      </c>
      <c r="AB363" s="315"/>
      <c r="AC363" s="315"/>
      <c r="AD363" s="315"/>
      <c r="AE363" s="315"/>
      <c r="AF363" s="315"/>
      <c r="AG363" s="315"/>
      <c r="AH363" s="315"/>
    </row>
    <row r="364" spans="1:34">
      <c r="A364" s="315" t="s">
        <v>1145</v>
      </c>
      <c r="B364" s="315" t="s">
        <v>1066</v>
      </c>
      <c r="C364" s="316" t="s">
        <v>1354</v>
      </c>
      <c r="D364" s="316" t="s">
        <v>1354</v>
      </c>
      <c r="E364" s="317">
        <v>0.57999999999999996</v>
      </c>
      <c r="F364" s="317">
        <v>0</v>
      </c>
      <c r="G364" s="317">
        <v>0</v>
      </c>
      <c r="H364" s="317">
        <v>0</v>
      </c>
      <c r="I364" s="318">
        <v>0</v>
      </c>
      <c r="J364" s="318">
        <v>0</v>
      </c>
      <c r="K364" s="319">
        <v>0</v>
      </c>
      <c r="L364" s="319">
        <v>0</v>
      </c>
      <c r="M364" s="319">
        <f t="shared" si="5"/>
        <v>0</v>
      </c>
      <c r="N364" s="317">
        <v>0</v>
      </c>
      <c r="O364" s="315" t="s">
        <v>1168</v>
      </c>
      <c r="P364" s="318">
        <v>194</v>
      </c>
      <c r="R364" s="320">
        <v>90</v>
      </c>
      <c r="S364" s="318">
        <v>38</v>
      </c>
      <c r="T364" s="318">
        <v>26.5</v>
      </c>
      <c r="U364" s="318">
        <v>410</v>
      </c>
      <c r="V364" s="315">
        <v>0.22</v>
      </c>
      <c r="W364" s="318">
        <v>58.667000000000002</v>
      </c>
      <c r="X364" s="315">
        <v>1</v>
      </c>
      <c r="Y364" s="315" t="s">
        <v>1149</v>
      </c>
      <c r="Z364" s="315">
        <v>0</v>
      </c>
      <c r="AA364" s="315" t="s">
        <v>1157</v>
      </c>
      <c r="AB364" s="315"/>
      <c r="AC364" s="315"/>
      <c r="AD364" s="315"/>
      <c r="AE364" s="315"/>
      <c r="AF364" s="315"/>
      <c r="AG364" s="315"/>
      <c r="AH364" s="315"/>
    </row>
    <row r="365" spans="1:34">
      <c r="A365" s="315" t="s">
        <v>1145</v>
      </c>
      <c r="B365" s="315" t="s">
        <v>1071</v>
      </c>
      <c r="C365" s="316" t="s">
        <v>1463</v>
      </c>
      <c r="D365" s="316" t="s">
        <v>1463</v>
      </c>
      <c r="E365" s="317">
        <v>67.400000000000006</v>
      </c>
      <c r="F365" s="317">
        <v>36.611367399999999</v>
      </c>
      <c r="G365" s="317">
        <v>37.478095199999998</v>
      </c>
      <c r="H365" s="317">
        <v>38.476034800000001</v>
      </c>
      <c r="I365" s="318">
        <v>57.086105044510383</v>
      </c>
      <c r="J365" s="318">
        <v>53.317517609295102</v>
      </c>
      <c r="K365" s="319">
        <v>44.198763341285499</v>
      </c>
      <c r="L365" s="319">
        <v>-12.887341703224884</v>
      </c>
      <c r="M365" s="319">
        <f t="shared" si="5"/>
        <v>0</v>
      </c>
      <c r="N365" s="317">
        <v>0</v>
      </c>
      <c r="O365" s="315" t="s">
        <v>1148</v>
      </c>
      <c r="P365" s="318">
        <v>194</v>
      </c>
      <c r="R365" s="320">
        <v>90</v>
      </c>
      <c r="S365" s="318">
        <v>41</v>
      </c>
      <c r="T365" s="318">
        <v>23</v>
      </c>
      <c r="U365" s="318">
        <v>212</v>
      </c>
      <c r="V365" s="315">
        <v>0.19</v>
      </c>
      <c r="W365" s="318">
        <v>287</v>
      </c>
      <c r="X365" s="315">
        <v>1</v>
      </c>
      <c r="Y365" s="315" t="s">
        <v>1149</v>
      </c>
      <c r="Z365" s="315">
        <v>0</v>
      </c>
      <c r="AA365" s="315" t="s">
        <v>1190</v>
      </c>
      <c r="AB365" s="315"/>
      <c r="AC365" s="315"/>
      <c r="AD365" s="315"/>
      <c r="AE365" s="315"/>
      <c r="AF365" s="315"/>
      <c r="AG365" s="315"/>
      <c r="AH365" s="315"/>
    </row>
    <row r="366" spans="1:34">
      <c r="A366" s="315" t="s">
        <v>1690</v>
      </c>
      <c r="B366" s="315" t="s">
        <v>1080</v>
      </c>
      <c r="C366" s="316" t="s">
        <v>2006</v>
      </c>
      <c r="D366" s="316" t="s">
        <v>2006</v>
      </c>
      <c r="E366" s="317">
        <v>10.030007641782449</v>
      </c>
      <c r="F366" s="317">
        <v>6.8957492</v>
      </c>
      <c r="G366" s="317">
        <v>6.9615982000000001</v>
      </c>
      <c r="H366" s="317">
        <v>6.9615982000000001</v>
      </c>
      <c r="I366" s="318">
        <v>69.407705842613325</v>
      </c>
      <c r="J366" s="318">
        <v>37.191094296765797</v>
      </c>
      <c r="K366" s="319">
        <v>47.507357365252403</v>
      </c>
      <c r="L366" s="319">
        <v>-21.900348477360922</v>
      </c>
      <c r="M366" s="319">
        <f t="shared" si="5"/>
        <v>0</v>
      </c>
      <c r="N366" s="317">
        <v>0</v>
      </c>
      <c r="O366" s="315" t="s">
        <v>1148</v>
      </c>
      <c r="P366" s="318">
        <v>194</v>
      </c>
      <c r="R366" s="320">
        <v>90</v>
      </c>
      <c r="S366" s="318">
        <v>40</v>
      </c>
      <c r="T366" s="318">
        <v>15</v>
      </c>
      <c r="U366" s="318">
        <v>120</v>
      </c>
      <c r="V366" s="315">
        <v>0.2</v>
      </c>
      <c r="W366" s="318">
        <v>100</v>
      </c>
      <c r="X366" s="315">
        <v>6</v>
      </c>
      <c r="Y366" s="315" t="s">
        <v>1149</v>
      </c>
      <c r="Z366" s="315">
        <v>0</v>
      </c>
      <c r="AA366" s="315" t="s">
        <v>1150</v>
      </c>
      <c r="AB366" s="315"/>
      <c r="AC366" s="315"/>
      <c r="AD366" s="315"/>
      <c r="AE366" s="315"/>
      <c r="AF366" s="315"/>
      <c r="AG366" s="315"/>
      <c r="AH366" s="315"/>
    </row>
    <row r="367" spans="1:34">
      <c r="A367" s="315" t="s">
        <v>1145</v>
      </c>
      <c r="B367" s="315" t="s">
        <v>663</v>
      </c>
      <c r="C367" s="316" t="s">
        <v>1900</v>
      </c>
      <c r="D367" s="316" t="s">
        <v>1900</v>
      </c>
      <c r="E367" s="317">
        <v>2.0500001951555928</v>
      </c>
      <c r="F367" s="317">
        <v>0</v>
      </c>
      <c r="G367" s="317">
        <v>5.3596E-3</v>
      </c>
      <c r="H367" s="317">
        <v>5.3596E-3</v>
      </c>
      <c r="I367" s="318">
        <v>0.26144387755012932</v>
      </c>
      <c r="J367" s="318">
        <v>86.058545132594801</v>
      </c>
      <c r="K367" s="319">
        <v>19.985445681003199</v>
      </c>
      <c r="L367" s="319">
        <v>19.724001803453071</v>
      </c>
      <c r="M367" s="319">
        <f t="shared" si="5"/>
        <v>19.724001803453071</v>
      </c>
      <c r="N367" s="317">
        <v>0.4043420754632806</v>
      </c>
      <c r="O367" s="315" t="s">
        <v>1168</v>
      </c>
      <c r="P367" s="318">
        <v>194.50766844999998</v>
      </c>
      <c r="R367" s="320">
        <v>90.282038027777773</v>
      </c>
      <c r="S367" s="318">
        <v>40</v>
      </c>
      <c r="T367" s="318">
        <v>34.4</v>
      </c>
      <c r="U367" s="318">
        <v>698.85300000000007</v>
      </c>
      <c r="V367" s="315">
        <v>0.21</v>
      </c>
      <c r="W367" s="318">
        <v>10</v>
      </c>
      <c r="X367" s="315">
        <v>1</v>
      </c>
      <c r="Y367" s="315" t="s">
        <v>1149</v>
      </c>
      <c r="Z367" s="315">
        <v>0</v>
      </c>
      <c r="AA367" s="315" t="s">
        <v>1190</v>
      </c>
      <c r="AB367" s="315"/>
      <c r="AC367" s="315"/>
      <c r="AD367" s="315"/>
      <c r="AE367" s="315"/>
      <c r="AF367" s="315"/>
      <c r="AG367" s="315"/>
      <c r="AH367" s="315"/>
    </row>
    <row r="368" spans="1:34">
      <c r="A368" s="315" t="s">
        <v>1145</v>
      </c>
      <c r="B368" s="315" t="s">
        <v>1066</v>
      </c>
      <c r="C368" s="316" t="s">
        <v>1356</v>
      </c>
      <c r="D368" s="316" t="s">
        <v>1356</v>
      </c>
      <c r="E368" s="317">
        <v>17.3</v>
      </c>
      <c r="F368" s="317">
        <v>0.95518000000000003</v>
      </c>
      <c r="G368" s="317">
        <v>1.0413582000000001</v>
      </c>
      <c r="H368" s="317">
        <v>5.1794853000000005</v>
      </c>
      <c r="I368" s="318">
        <v>29.939221387283236</v>
      </c>
      <c r="J368" s="318">
        <v>63.159713264794902</v>
      </c>
      <c r="K368" s="319">
        <v>37.390808430630202</v>
      </c>
      <c r="L368" s="319">
        <v>7.4515870433469651</v>
      </c>
      <c r="M368" s="319">
        <f t="shared" si="5"/>
        <v>7.4515870433469651</v>
      </c>
      <c r="N368" s="317">
        <v>1.289124558499025</v>
      </c>
      <c r="O368" s="315" t="s">
        <v>1148</v>
      </c>
      <c r="P368" s="318">
        <v>194.7</v>
      </c>
      <c r="R368" s="320">
        <v>90.388888888888886</v>
      </c>
      <c r="S368" s="318">
        <v>40</v>
      </c>
      <c r="T368" s="318">
        <v>165.6</v>
      </c>
      <c r="U368" s="318">
        <v>111</v>
      </c>
      <c r="V368" s="315">
        <v>0.183</v>
      </c>
      <c r="W368" s="318">
        <v>121.6</v>
      </c>
      <c r="X368" s="315">
        <v>8</v>
      </c>
      <c r="Y368" s="315" t="s">
        <v>1149</v>
      </c>
      <c r="Z368" s="315">
        <v>0</v>
      </c>
      <c r="AA368" s="315" t="s">
        <v>1157</v>
      </c>
      <c r="AB368" s="316">
        <v>0</v>
      </c>
      <c r="AC368" s="316">
        <v>3172</v>
      </c>
      <c r="AD368" s="316">
        <v>3166</v>
      </c>
      <c r="AE368" s="316">
        <v>0.43</v>
      </c>
      <c r="AF368" s="316">
        <v>1.49</v>
      </c>
      <c r="AG368" s="316">
        <v>0.28000000000000003</v>
      </c>
      <c r="AH368" s="316">
        <v>884</v>
      </c>
    </row>
    <row r="369" spans="1:27" s="315" customFormat="1">
      <c r="A369" s="315" t="s">
        <v>1145</v>
      </c>
      <c r="B369" s="315" t="s">
        <v>696</v>
      </c>
      <c r="C369" s="316" t="s">
        <v>1531</v>
      </c>
      <c r="D369" s="316" t="s">
        <v>1531</v>
      </c>
      <c r="E369" s="317">
        <v>12.5</v>
      </c>
      <c r="F369" s="317">
        <v>0</v>
      </c>
      <c r="G369" s="317">
        <v>0</v>
      </c>
      <c r="H369" s="317">
        <v>0.97934705834029323</v>
      </c>
      <c r="I369" s="318">
        <v>7.8347764667223458</v>
      </c>
      <c r="J369" s="318">
        <v>68.004089065406703</v>
      </c>
      <c r="K369" s="319">
        <v>32.583711919897503</v>
      </c>
      <c r="L369" s="319">
        <v>24.748935453175157</v>
      </c>
      <c r="M369" s="319">
        <f t="shared" si="5"/>
        <v>24.748935453175157</v>
      </c>
      <c r="N369" s="317">
        <v>3.0936169316468947</v>
      </c>
      <c r="O369" s="315" t="s">
        <v>1168</v>
      </c>
      <c r="P369" s="318">
        <v>194.7</v>
      </c>
      <c r="R369" s="320">
        <v>90.388888888888886</v>
      </c>
      <c r="S369" s="318">
        <v>36</v>
      </c>
      <c r="T369" s="318">
        <v>116</v>
      </c>
      <c r="U369" s="318">
        <v>17.716536000000001</v>
      </c>
      <c r="V369" s="315">
        <v>0.2</v>
      </c>
      <c r="W369" s="318">
        <v>40</v>
      </c>
      <c r="X369" s="315">
        <v>0</v>
      </c>
      <c r="Y369" s="315" t="s">
        <v>1149</v>
      </c>
      <c r="Z369" s="315">
        <v>0</v>
      </c>
      <c r="AA369" s="315" t="s">
        <v>1435</v>
      </c>
    </row>
    <row r="370" spans="1:27" s="315" customFormat="1">
      <c r="A370" s="315" t="s">
        <v>1696</v>
      </c>
      <c r="B370" s="315" t="s">
        <v>648</v>
      </c>
      <c r="C370" s="316" t="s">
        <v>1492</v>
      </c>
      <c r="D370" s="316" t="s">
        <v>1492</v>
      </c>
      <c r="E370" s="317">
        <v>14.12345</v>
      </c>
      <c r="F370" s="317">
        <v>0</v>
      </c>
      <c r="G370" s="317">
        <v>0</v>
      </c>
      <c r="H370" s="317">
        <v>0</v>
      </c>
      <c r="I370" s="318">
        <v>0</v>
      </c>
      <c r="J370" s="318">
        <v>73.595767659788095</v>
      </c>
      <c r="K370" s="319">
        <v>32.189137880764299</v>
      </c>
      <c r="L370" s="319">
        <v>32.189137880764299</v>
      </c>
      <c r="M370" s="319">
        <f t="shared" si="5"/>
        <v>32.189137880764299</v>
      </c>
      <c r="N370" s="317">
        <v>4.5462167940208058</v>
      </c>
      <c r="O370" s="315" t="s">
        <v>1168</v>
      </c>
      <c r="P370" s="318">
        <v>195</v>
      </c>
      <c r="R370" s="320">
        <v>90.555555555555557</v>
      </c>
      <c r="S370" s="318">
        <v>40.850791717417792</v>
      </c>
      <c r="T370" s="318">
        <v>110</v>
      </c>
      <c r="U370" s="318">
        <v>13</v>
      </c>
      <c r="V370" s="315">
        <v>0.28000000000000003</v>
      </c>
      <c r="W370" s="318">
        <v>800</v>
      </c>
      <c r="X370" s="315">
        <v>0</v>
      </c>
      <c r="Y370" s="315" t="s">
        <v>1149</v>
      </c>
      <c r="Z370" s="315">
        <v>0</v>
      </c>
      <c r="AA370" s="315" t="s">
        <v>1157</v>
      </c>
    </row>
    <row r="371" spans="1:27" s="315" customFormat="1">
      <c r="A371" s="315" t="s">
        <v>1698</v>
      </c>
      <c r="B371" s="315" t="s">
        <v>648</v>
      </c>
      <c r="C371" s="316" t="s">
        <v>1493</v>
      </c>
      <c r="D371" s="316" t="s">
        <v>1493</v>
      </c>
      <c r="E371" s="317">
        <v>23.626750000000001</v>
      </c>
      <c r="F371" s="317">
        <v>1.6483293999999999</v>
      </c>
      <c r="G371" s="317">
        <v>1.6921923999999999</v>
      </c>
      <c r="H371" s="317">
        <v>1.6921923999999999</v>
      </c>
      <c r="I371" s="318">
        <v>7.1621886209487116</v>
      </c>
      <c r="J371" s="318">
        <v>73.7516756151864</v>
      </c>
      <c r="K371" s="319">
        <v>29.669288462765596</v>
      </c>
      <c r="L371" s="319">
        <v>22.507099841816885</v>
      </c>
      <c r="M371" s="319">
        <f t="shared" si="5"/>
        <v>22.507099841816885</v>
      </c>
      <c r="N371" s="317">
        <v>5.3176962118764717</v>
      </c>
      <c r="O371" s="315" t="s">
        <v>1148</v>
      </c>
      <c r="P371" s="318">
        <v>195</v>
      </c>
      <c r="R371" s="320">
        <v>90.555555555555557</v>
      </c>
      <c r="S371" s="318">
        <v>40.850791717417792</v>
      </c>
      <c r="T371" s="318">
        <v>80</v>
      </c>
      <c r="U371" s="318">
        <v>11</v>
      </c>
      <c r="V371" s="315">
        <v>0.17299999999999999</v>
      </c>
      <c r="W371" s="318">
        <v>1800</v>
      </c>
      <c r="X371" s="315">
        <v>2</v>
      </c>
      <c r="Y371" s="315" t="s">
        <v>1149</v>
      </c>
      <c r="Z371" s="315">
        <v>0</v>
      </c>
      <c r="AA371" s="315" t="s">
        <v>1157</v>
      </c>
    </row>
    <row r="372" spans="1:27" s="315" customFormat="1">
      <c r="A372" s="315" t="s">
        <v>1145</v>
      </c>
      <c r="B372" s="315" t="s">
        <v>648</v>
      </c>
      <c r="C372" s="316" t="s">
        <v>1494</v>
      </c>
      <c r="D372" s="316" t="s">
        <v>1494</v>
      </c>
      <c r="E372" s="317">
        <v>14.99248</v>
      </c>
      <c r="F372" s="317">
        <v>0.54930000000000001</v>
      </c>
      <c r="G372" s="317">
        <v>0.54930000000000001</v>
      </c>
      <c r="H372" s="317">
        <v>0.54930000000000001</v>
      </c>
      <c r="I372" s="318">
        <v>3.6638368035174964</v>
      </c>
      <c r="J372" s="318">
        <v>52.989545028492401</v>
      </c>
      <c r="K372" s="319">
        <v>37.917677598361998</v>
      </c>
      <c r="L372" s="319">
        <v>34.2538407948445</v>
      </c>
      <c r="M372" s="319">
        <f t="shared" si="5"/>
        <v>34.2538407948445</v>
      </c>
      <c r="N372" s="317">
        <v>5.1355002303989021</v>
      </c>
      <c r="O372" s="315" t="s">
        <v>1148</v>
      </c>
      <c r="P372" s="318">
        <v>195</v>
      </c>
      <c r="R372" s="320">
        <v>90.555555555555557</v>
      </c>
      <c r="S372" s="318">
        <v>40.850791717417792</v>
      </c>
      <c r="T372" s="318">
        <v>8.4654400642804539</v>
      </c>
      <c r="U372" s="318">
        <v>8.4649800000000006</v>
      </c>
      <c r="V372" s="315">
        <v>0.24</v>
      </c>
      <c r="W372" s="318">
        <v>800</v>
      </c>
      <c r="X372" s="315">
        <v>2</v>
      </c>
      <c r="Y372" s="315" t="s">
        <v>1149</v>
      </c>
      <c r="Z372" s="315">
        <v>0</v>
      </c>
      <c r="AA372" s="315" t="s">
        <v>1157</v>
      </c>
    </row>
    <row r="373" spans="1:27" s="315" customFormat="1">
      <c r="A373" s="315" t="s">
        <v>1701</v>
      </c>
      <c r="B373" s="315" t="s">
        <v>648</v>
      </c>
      <c r="C373" s="316" t="s">
        <v>1495</v>
      </c>
      <c r="D373" s="316" t="s">
        <v>1495</v>
      </c>
      <c r="E373" s="317">
        <v>6.2831999999999999</v>
      </c>
      <c r="F373" s="317">
        <v>2.3642968999999998</v>
      </c>
      <c r="G373" s="317">
        <v>2.3750429</v>
      </c>
      <c r="H373" s="317">
        <v>2.3750429</v>
      </c>
      <c r="I373" s="318">
        <v>37.79989336643748</v>
      </c>
      <c r="J373" s="318">
        <v>52.7149769945758</v>
      </c>
      <c r="K373" s="319">
        <v>39.250278164536297</v>
      </c>
      <c r="L373" s="319">
        <v>1.4503847980988169</v>
      </c>
      <c r="M373" s="319">
        <f t="shared" si="5"/>
        <v>1.4503847980988169</v>
      </c>
      <c r="N373" s="317">
        <v>9.1130577634144866E-2</v>
      </c>
      <c r="O373" s="315" t="s">
        <v>1148</v>
      </c>
      <c r="P373" s="318">
        <v>195</v>
      </c>
      <c r="R373" s="320">
        <v>90.555555555555557</v>
      </c>
      <c r="S373" s="318">
        <v>38.4</v>
      </c>
      <c r="T373" s="318">
        <v>17.5</v>
      </c>
      <c r="U373" s="318">
        <v>375</v>
      </c>
      <c r="V373" s="315">
        <v>0.23</v>
      </c>
      <c r="W373" s="318">
        <v>134</v>
      </c>
      <c r="X373" s="315">
        <v>4</v>
      </c>
      <c r="Y373" s="315" t="s">
        <v>1149</v>
      </c>
      <c r="Z373" s="315">
        <v>0</v>
      </c>
      <c r="AA373" s="315" t="s">
        <v>1150</v>
      </c>
    </row>
    <row r="374" spans="1:27" s="315" customFormat="1">
      <c r="A374" s="315" t="s">
        <v>1145</v>
      </c>
      <c r="B374" s="315" t="s">
        <v>648</v>
      </c>
      <c r="C374" s="316" t="s">
        <v>1496</v>
      </c>
      <c r="D374" s="316" t="s">
        <v>1496</v>
      </c>
      <c r="E374" s="317">
        <v>19.587620000000001</v>
      </c>
      <c r="F374" s="317">
        <v>11.671225400000001</v>
      </c>
      <c r="G374" s="317">
        <v>12.136538692941588</v>
      </c>
      <c r="H374" s="317">
        <v>12.136538692941588</v>
      </c>
      <c r="I374" s="318">
        <v>61.960251898605279</v>
      </c>
      <c r="J374" s="318">
        <v>51.826404120811603</v>
      </c>
      <c r="K374" s="319">
        <v>39.974200671802201</v>
      </c>
      <c r="L374" s="319">
        <v>-21.986051226803077</v>
      </c>
      <c r="M374" s="319">
        <f t="shared" si="5"/>
        <v>0</v>
      </c>
      <c r="N374" s="317">
        <v>0</v>
      </c>
      <c r="O374" s="315" t="s">
        <v>1148</v>
      </c>
      <c r="P374" s="318">
        <v>195</v>
      </c>
      <c r="R374" s="320">
        <v>90.555555555555557</v>
      </c>
      <c r="S374" s="318">
        <v>40.850791717417792</v>
      </c>
      <c r="T374" s="318">
        <v>48.6673872</v>
      </c>
      <c r="U374" s="318">
        <v>5.160012191405059</v>
      </c>
      <c r="V374" s="315">
        <v>0.24</v>
      </c>
      <c r="W374" s="318">
        <v>786</v>
      </c>
      <c r="X374" s="315">
        <v>3</v>
      </c>
      <c r="Y374" s="315" t="s">
        <v>1154</v>
      </c>
      <c r="Z374" s="315">
        <v>1</v>
      </c>
      <c r="AA374" s="315" t="s">
        <v>1190</v>
      </c>
    </row>
    <row r="375" spans="1:27" s="315" customFormat="1">
      <c r="A375" s="315" t="s">
        <v>1145</v>
      </c>
      <c r="B375" s="315" t="s">
        <v>648</v>
      </c>
      <c r="C375" s="316" t="s">
        <v>1497</v>
      </c>
      <c r="D375" s="316" t="s">
        <v>1497</v>
      </c>
      <c r="E375" s="317">
        <v>28.02289</v>
      </c>
      <c r="F375" s="317">
        <v>15.1042024</v>
      </c>
      <c r="G375" s="317">
        <v>15.8465489</v>
      </c>
      <c r="H375" s="317">
        <v>15.8465489</v>
      </c>
      <c r="I375" s="318">
        <v>56.54858902846923</v>
      </c>
      <c r="J375" s="318">
        <v>70.216952774841303</v>
      </c>
      <c r="K375" s="319">
        <v>32.623390010423904</v>
      </c>
      <c r="L375" s="319">
        <v>-23.925199018045326</v>
      </c>
      <c r="M375" s="319">
        <f t="shared" si="5"/>
        <v>0</v>
      </c>
      <c r="N375" s="317">
        <v>0</v>
      </c>
      <c r="O375" s="315" t="s">
        <v>1148</v>
      </c>
      <c r="P375" s="318">
        <v>195</v>
      </c>
      <c r="R375" s="320">
        <v>90.555555555555557</v>
      </c>
      <c r="S375" s="318">
        <v>40.850791717417792</v>
      </c>
      <c r="T375" s="318">
        <v>91</v>
      </c>
      <c r="U375" s="318">
        <v>79</v>
      </c>
      <c r="V375" s="315">
        <v>0.188</v>
      </c>
      <c r="W375" s="318">
        <v>873</v>
      </c>
      <c r="X375" s="315">
        <v>4</v>
      </c>
      <c r="Y375" s="315" t="s">
        <v>1154</v>
      </c>
      <c r="Z375" s="315">
        <v>1</v>
      </c>
      <c r="AA375" s="315" t="s">
        <v>1190</v>
      </c>
    </row>
    <row r="376" spans="1:27" s="315" customFormat="1">
      <c r="A376" s="315" t="s">
        <v>1705</v>
      </c>
      <c r="B376" s="315" t="s">
        <v>648</v>
      </c>
      <c r="C376" s="316" t="s">
        <v>1498</v>
      </c>
      <c r="D376" s="316" t="s">
        <v>1498</v>
      </c>
      <c r="E376" s="317">
        <v>27.790890000000001</v>
      </c>
      <c r="F376" s="317">
        <v>7.9963335999999998</v>
      </c>
      <c r="G376" s="317">
        <v>8.685490999999999</v>
      </c>
      <c r="H376" s="317">
        <v>8.685490999999999</v>
      </c>
      <c r="I376" s="318">
        <v>31.253014926833934</v>
      </c>
      <c r="J376" s="318">
        <v>52.320704234619797</v>
      </c>
      <c r="K376" s="319">
        <v>39.716159786286795</v>
      </c>
      <c r="L376" s="319">
        <v>8.4631448594528607</v>
      </c>
      <c r="M376" s="319">
        <f t="shared" si="5"/>
        <v>8.4631448594528607</v>
      </c>
      <c r="N376" s="317">
        <v>2.3519832784311991</v>
      </c>
      <c r="O376" s="315" t="s">
        <v>1148</v>
      </c>
      <c r="P376" s="318">
        <v>195</v>
      </c>
      <c r="R376" s="320">
        <v>90.555555555555557</v>
      </c>
      <c r="S376" s="318">
        <v>38.4</v>
      </c>
      <c r="T376" s="318">
        <v>25</v>
      </c>
      <c r="U376" s="318">
        <v>383</v>
      </c>
      <c r="V376" s="315">
        <v>0.25</v>
      </c>
      <c r="W376" s="318">
        <v>324</v>
      </c>
      <c r="X376" s="315">
        <v>4</v>
      </c>
      <c r="Y376" s="315" t="s">
        <v>1154</v>
      </c>
      <c r="Z376" s="315">
        <v>1</v>
      </c>
      <c r="AA376" s="315" t="s">
        <v>1157</v>
      </c>
    </row>
    <row r="377" spans="1:27" s="315" customFormat="1">
      <c r="A377" s="315" t="s">
        <v>1707</v>
      </c>
      <c r="B377" s="315" t="s">
        <v>648</v>
      </c>
      <c r="C377" s="316" t="s">
        <v>1499</v>
      </c>
      <c r="D377" s="316" t="s">
        <v>1499</v>
      </c>
      <c r="E377" s="317">
        <v>3.6811199999999999</v>
      </c>
      <c r="F377" s="317">
        <v>0</v>
      </c>
      <c r="G377" s="317">
        <v>0</v>
      </c>
      <c r="H377" s="317">
        <v>0</v>
      </c>
      <c r="I377" s="318">
        <v>0</v>
      </c>
      <c r="J377" s="318">
        <v>60.197300405751697</v>
      </c>
      <c r="K377" s="319">
        <v>36.282939682844201</v>
      </c>
      <c r="L377" s="319">
        <v>36.282939682844201</v>
      </c>
      <c r="M377" s="319">
        <f t="shared" si="5"/>
        <v>36.282939682844201</v>
      </c>
      <c r="N377" s="317">
        <v>1.3356185492531145</v>
      </c>
      <c r="O377" s="315" t="s">
        <v>1168</v>
      </c>
      <c r="P377" s="318">
        <v>195</v>
      </c>
      <c r="R377" s="320">
        <v>90.555555555555557</v>
      </c>
      <c r="S377" s="318">
        <v>40.850791717417792</v>
      </c>
      <c r="T377" s="318">
        <v>5.9968581798995189</v>
      </c>
      <c r="U377" s="318">
        <v>21</v>
      </c>
      <c r="V377" s="315">
        <v>0.1535</v>
      </c>
      <c r="W377" s="318">
        <v>1019</v>
      </c>
      <c r="X377" s="315">
        <v>0</v>
      </c>
      <c r="Y377" s="315" t="s">
        <v>1149</v>
      </c>
      <c r="Z377" s="315">
        <v>0</v>
      </c>
      <c r="AA377" s="315" t="s">
        <v>1157</v>
      </c>
    </row>
    <row r="378" spans="1:27" s="315" customFormat="1">
      <c r="A378" s="315" t="s">
        <v>1145</v>
      </c>
      <c r="B378" s="315" t="s">
        <v>1624</v>
      </c>
      <c r="C378" s="316" t="s">
        <v>1640</v>
      </c>
      <c r="D378" s="316" t="s">
        <v>1640</v>
      </c>
      <c r="E378" s="317">
        <v>12.649243052914827</v>
      </c>
      <c r="F378" s="317">
        <v>2.8347642999999998</v>
      </c>
      <c r="G378" s="317">
        <v>3.1359301999999998</v>
      </c>
      <c r="H378" s="317">
        <v>3.1359301999999998</v>
      </c>
      <c r="I378" s="318">
        <v>24.79144551876859</v>
      </c>
      <c r="J378" s="318">
        <v>48.223147746737602</v>
      </c>
      <c r="K378" s="319">
        <v>44.530402873673204</v>
      </c>
      <c r="L378" s="319">
        <v>19.738957354904613</v>
      </c>
      <c r="M378" s="319">
        <f t="shared" si="5"/>
        <v>19.738957354904613</v>
      </c>
      <c r="N378" s="317">
        <v>2.496828691933092</v>
      </c>
      <c r="O378" s="315" t="s">
        <v>1148</v>
      </c>
      <c r="P378" s="318">
        <v>195</v>
      </c>
      <c r="R378" s="320">
        <v>90.555555555555557</v>
      </c>
      <c r="S378" s="318">
        <v>39.700000000000003</v>
      </c>
      <c r="T378" s="318">
        <v>55</v>
      </c>
      <c r="U378" s="318">
        <v>195</v>
      </c>
      <c r="V378" s="315">
        <v>0.22</v>
      </c>
      <c r="W378" s="318">
        <v>1000</v>
      </c>
      <c r="X378" s="315">
        <v>3</v>
      </c>
      <c r="Y378" s="315" t="s">
        <v>1149</v>
      </c>
      <c r="Z378" s="315">
        <v>0</v>
      </c>
      <c r="AA378" s="315" t="s">
        <v>1157</v>
      </c>
    </row>
    <row r="379" spans="1:27" s="315" customFormat="1">
      <c r="A379" s="315" t="s">
        <v>1334</v>
      </c>
      <c r="B379" s="315" t="s">
        <v>1916</v>
      </c>
      <c r="C379" s="316" t="s">
        <v>1948</v>
      </c>
      <c r="D379" s="316" t="s">
        <v>1948</v>
      </c>
      <c r="E379" s="317">
        <v>2.58</v>
      </c>
      <c r="F379" s="317">
        <v>0</v>
      </c>
      <c r="G379" s="317">
        <v>0</v>
      </c>
      <c r="H379" s="317">
        <v>0</v>
      </c>
      <c r="I379" s="318">
        <v>0</v>
      </c>
      <c r="J379" s="318">
        <v>0</v>
      </c>
      <c r="K379" s="319">
        <v>0</v>
      </c>
      <c r="L379" s="319">
        <v>0</v>
      </c>
      <c r="M379" s="319">
        <f t="shared" si="5"/>
        <v>0</v>
      </c>
      <c r="N379" s="317">
        <v>0</v>
      </c>
      <c r="O379" s="315" t="s">
        <v>1168</v>
      </c>
      <c r="P379" s="318">
        <v>195</v>
      </c>
      <c r="R379" s="320">
        <v>90.555555555555557</v>
      </c>
      <c r="S379" s="318">
        <v>39</v>
      </c>
      <c r="T379" s="318">
        <v>0.26666666666666666</v>
      </c>
      <c r="U379" s="318">
        <v>0.18999999999999997</v>
      </c>
      <c r="V379" s="315">
        <v>0.16800000000000001</v>
      </c>
      <c r="W379" s="318">
        <v>2.95675</v>
      </c>
      <c r="X379" s="315">
        <v>1</v>
      </c>
      <c r="Y379" s="315" t="s">
        <v>1149</v>
      </c>
      <c r="Z379" s="315">
        <v>0</v>
      </c>
      <c r="AA379" s="315" t="s">
        <v>1190</v>
      </c>
    </row>
    <row r="380" spans="1:27" s="315" customFormat="1">
      <c r="A380" s="315" t="s">
        <v>1334</v>
      </c>
      <c r="B380" s="315" t="s">
        <v>1916</v>
      </c>
      <c r="C380" s="316" t="s">
        <v>1949</v>
      </c>
      <c r="D380" s="316" t="s">
        <v>1949</v>
      </c>
      <c r="E380" s="317">
        <v>1.36</v>
      </c>
      <c r="F380" s="317">
        <v>0</v>
      </c>
      <c r="G380" s="317">
        <v>0</v>
      </c>
      <c r="H380" s="317">
        <v>0</v>
      </c>
      <c r="I380" s="318">
        <v>0</v>
      </c>
      <c r="J380" s="318">
        <v>81.107018223249796</v>
      </c>
      <c r="K380" s="319">
        <v>23.977804496058599</v>
      </c>
      <c r="L380" s="319">
        <v>23.977804496058599</v>
      </c>
      <c r="M380" s="319">
        <f t="shared" si="5"/>
        <v>23.977804496058599</v>
      </c>
      <c r="N380" s="317">
        <v>0.32609814114639696</v>
      </c>
      <c r="O380" s="315" t="s">
        <v>1168</v>
      </c>
      <c r="P380" s="318">
        <v>195</v>
      </c>
      <c r="R380" s="320">
        <v>90.555555555555557</v>
      </c>
      <c r="S380" s="318">
        <v>39</v>
      </c>
      <c r="T380" s="318">
        <v>7.8833333333333337</v>
      </c>
      <c r="U380" s="318">
        <v>1.8433333333333299</v>
      </c>
      <c r="V380" s="315">
        <v>0.23345794392523361</v>
      </c>
      <c r="W380" s="318">
        <v>60.787750000000003</v>
      </c>
      <c r="X380" s="315">
        <v>1</v>
      </c>
      <c r="Y380" s="315" t="s">
        <v>1149</v>
      </c>
      <c r="Z380" s="315">
        <v>0</v>
      </c>
      <c r="AA380" s="315" t="s">
        <v>1190</v>
      </c>
    </row>
    <row r="381" spans="1:27" s="315" customFormat="1">
      <c r="A381" s="315" t="s">
        <v>1334</v>
      </c>
      <c r="B381" s="315" t="s">
        <v>1916</v>
      </c>
      <c r="C381" s="316" t="s">
        <v>1950</v>
      </c>
      <c r="D381" s="316" t="s">
        <v>1950</v>
      </c>
      <c r="E381" s="317">
        <v>6.7</v>
      </c>
      <c r="F381" s="317">
        <v>1.78</v>
      </c>
      <c r="G381" s="317">
        <v>1.78</v>
      </c>
      <c r="H381" s="317">
        <v>1.78</v>
      </c>
      <c r="I381" s="318">
        <v>26.567164179104481</v>
      </c>
      <c r="J381" s="318">
        <v>56.929386328720099</v>
      </c>
      <c r="K381" s="319">
        <v>37.735270860311502</v>
      </c>
      <c r="L381" s="319">
        <v>11.168106681207021</v>
      </c>
      <c r="M381" s="319">
        <f t="shared" si="5"/>
        <v>11.168106681207021</v>
      </c>
      <c r="N381" s="317">
        <v>0.74826314764087043</v>
      </c>
      <c r="O381" s="315" t="s">
        <v>1148</v>
      </c>
      <c r="P381" s="318">
        <v>195</v>
      </c>
      <c r="R381" s="320">
        <v>90.555555555555557</v>
      </c>
      <c r="S381" s="318">
        <v>39</v>
      </c>
      <c r="T381" s="318">
        <v>5.0662499999999993</v>
      </c>
      <c r="U381" s="318">
        <v>3.74</v>
      </c>
      <c r="V381" s="315">
        <v>0.217</v>
      </c>
      <c r="W381" s="318">
        <v>138.5812857</v>
      </c>
      <c r="X381" s="315">
        <v>4</v>
      </c>
      <c r="Y381" s="315" t="s">
        <v>1149</v>
      </c>
      <c r="Z381" s="315">
        <v>0</v>
      </c>
      <c r="AA381" s="315" t="s">
        <v>1190</v>
      </c>
    </row>
    <row r="382" spans="1:27" s="315" customFormat="1">
      <c r="A382" s="315" t="s">
        <v>1145</v>
      </c>
      <c r="B382" s="315" t="s">
        <v>663</v>
      </c>
      <c r="C382" s="316" t="s">
        <v>1901</v>
      </c>
      <c r="D382" s="316" t="s">
        <v>1901</v>
      </c>
      <c r="E382" s="317">
        <v>1.9800001884917433</v>
      </c>
      <c r="F382" s="317">
        <v>0.39262449999999999</v>
      </c>
      <c r="G382" s="317">
        <v>0.39262449999999999</v>
      </c>
      <c r="H382" s="317">
        <v>0.39262449999999999</v>
      </c>
      <c r="I382" s="318">
        <v>19.829518314292688</v>
      </c>
      <c r="J382" s="318">
        <v>78.350949153058593</v>
      </c>
      <c r="K382" s="319">
        <v>25.210460188118098</v>
      </c>
      <c r="L382" s="319">
        <v>5.3809418738254102</v>
      </c>
      <c r="M382" s="319">
        <f t="shared" si="5"/>
        <v>5.3809418738254102</v>
      </c>
      <c r="N382" s="317">
        <v>0.10654265924437427</v>
      </c>
      <c r="O382" s="315" t="s">
        <v>1148</v>
      </c>
      <c r="P382" s="318">
        <v>195.07495334999999</v>
      </c>
      <c r="R382" s="320">
        <v>90.597196305555542</v>
      </c>
      <c r="S382" s="318">
        <v>40</v>
      </c>
      <c r="T382" s="318">
        <v>18.53</v>
      </c>
      <c r="U382" s="318">
        <v>331.38100000000003</v>
      </c>
      <c r="V382" s="315">
        <v>0.19</v>
      </c>
      <c r="W382" s="318">
        <v>11.145</v>
      </c>
      <c r="X382" s="315">
        <v>1</v>
      </c>
      <c r="Y382" s="315" t="s">
        <v>1149</v>
      </c>
      <c r="Z382" s="315">
        <v>0</v>
      </c>
      <c r="AA382" s="315" t="s">
        <v>1190</v>
      </c>
    </row>
    <row r="383" spans="1:27" s="315" customFormat="1">
      <c r="A383" s="315" t="s">
        <v>1145</v>
      </c>
      <c r="B383" s="315" t="s">
        <v>1066</v>
      </c>
      <c r="C383" s="316" t="s">
        <v>1357</v>
      </c>
      <c r="D383" s="316" t="s">
        <v>1357</v>
      </c>
      <c r="E383" s="317">
        <v>14.8</v>
      </c>
      <c r="F383" s="317">
        <v>2.0891425999999997</v>
      </c>
      <c r="G383" s="317">
        <v>2.4831352999999998</v>
      </c>
      <c r="H383" s="317">
        <v>2.9040442</v>
      </c>
      <c r="I383" s="318">
        <v>19.62192027027027</v>
      </c>
      <c r="J383" s="318">
        <v>70.775179948499698</v>
      </c>
      <c r="K383" s="319">
        <v>32.978365664442897</v>
      </c>
      <c r="L383" s="319">
        <v>13.356445394172628</v>
      </c>
      <c r="M383" s="319">
        <f t="shared" si="5"/>
        <v>13.356445394172628</v>
      </c>
      <c r="N383" s="317">
        <v>1.9767539183375491</v>
      </c>
      <c r="O383" s="315" t="s">
        <v>1148</v>
      </c>
      <c r="P383" s="318">
        <v>195.5</v>
      </c>
      <c r="R383" s="320">
        <v>90.833333333333329</v>
      </c>
      <c r="S383" s="318">
        <v>40</v>
      </c>
      <c r="T383" s="318">
        <v>288.39999999999998</v>
      </c>
      <c r="U383" s="318">
        <v>465</v>
      </c>
      <c r="V383" s="315">
        <v>0.11</v>
      </c>
      <c r="W383" s="318">
        <v>63.97</v>
      </c>
      <c r="X383" s="315">
        <v>7</v>
      </c>
      <c r="Y383" s="315" t="s">
        <v>1149</v>
      </c>
      <c r="Z383" s="315">
        <v>0</v>
      </c>
      <c r="AA383" s="315" t="s">
        <v>1157</v>
      </c>
    </row>
    <row r="384" spans="1:27" s="315" customFormat="1">
      <c r="A384" s="315" t="s">
        <v>1715</v>
      </c>
      <c r="B384" s="315" t="s">
        <v>1066</v>
      </c>
      <c r="C384" s="316" t="s">
        <v>1358</v>
      </c>
      <c r="D384" s="316" t="s">
        <v>1358</v>
      </c>
      <c r="E384" s="317">
        <v>15.37</v>
      </c>
      <c r="F384" s="317">
        <v>0.45863660000000001</v>
      </c>
      <c r="G384" s="317">
        <v>0.50001570000000006</v>
      </c>
      <c r="H384" s="317">
        <v>0.57445750000000007</v>
      </c>
      <c r="I384" s="318">
        <v>3.73752439817827</v>
      </c>
      <c r="J384" s="318">
        <v>72.337493404008399</v>
      </c>
      <c r="K384" s="319">
        <v>32.018785658652895</v>
      </c>
      <c r="L384" s="319">
        <v>28.281261260474626</v>
      </c>
      <c r="M384" s="319">
        <f t="shared" si="5"/>
        <v>28.281261260474626</v>
      </c>
      <c r="N384" s="317">
        <v>4.3468298557349501</v>
      </c>
      <c r="O384" s="315" t="s">
        <v>1148</v>
      </c>
      <c r="P384" s="318">
        <v>195.5</v>
      </c>
      <c r="R384" s="320">
        <v>90.833333333333329</v>
      </c>
      <c r="S384" s="318">
        <v>40</v>
      </c>
      <c r="T384" s="318">
        <v>220.4</v>
      </c>
      <c r="U384" s="318">
        <v>844.72649999999999</v>
      </c>
      <c r="V384" s="315">
        <v>0.12</v>
      </c>
      <c r="W384" s="318">
        <v>14.3</v>
      </c>
      <c r="X384" s="315">
        <v>9</v>
      </c>
      <c r="Y384" s="315" t="s">
        <v>1149</v>
      </c>
      <c r="Z384" s="315">
        <v>0</v>
      </c>
      <c r="AA384" s="315" t="s">
        <v>1157</v>
      </c>
    </row>
    <row r="385" spans="1:34">
      <c r="A385" s="315" t="s">
        <v>1717</v>
      </c>
      <c r="B385" s="315" t="s">
        <v>1066</v>
      </c>
      <c r="C385" s="316" t="s">
        <v>1359</v>
      </c>
      <c r="D385" s="316" t="s">
        <v>1359</v>
      </c>
      <c r="E385" s="317">
        <v>2.08</v>
      </c>
      <c r="F385" s="317">
        <v>0.63125770000000003</v>
      </c>
      <c r="G385" s="317">
        <v>0.68821100000000002</v>
      </c>
      <c r="H385" s="317">
        <v>1.4634388</v>
      </c>
      <c r="I385" s="318">
        <v>70.357634615384612</v>
      </c>
      <c r="J385" s="318">
        <v>58.450315317633702</v>
      </c>
      <c r="K385" s="319">
        <v>37.805266121029199</v>
      </c>
      <c r="L385" s="319">
        <v>-32.552368494355413</v>
      </c>
      <c r="M385" s="319">
        <f t="shared" si="5"/>
        <v>0</v>
      </c>
      <c r="N385" s="317">
        <v>0</v>
      </c>
      <c r="O385" s="315" t="s">
        <v>1148</v>
      </c>
      <c r="P385" s="318">
        <v>195.5</v>
      </c>
      <c r="R385" s="320">
        <v>90.833333333333329</v>
      </c>
      <c r="S385" s="318">
        <v>40</v>
      </c>
      <c r="T385" s="318">
        <v>198</v>
      </c>
      <c r="U385" s="318">
        <v>198</v>
      </c>
      <c r="V385" s="315">
        <v>0.13700000000000001</v>
      </c>
      <c r="W385" s="318">
        <v>83.7</v>
      </c>
      <c r="X385" s="315">
        <v>3</v>
      </c>
      <c r="Y385" s="315" t="s">
        <v>1149</v>
      </c>
      <c r="Z385" s="315">
        <v>0</v>
      </c>
      <c r="AA385" s="315" t="s">
        <v>1157</v>
      </c>
      <c r="AB385" s="315"/>
      <c r="AC385" s="315"/>
      <c r="AD385" s="315"/>
      <c r="AE385" s="315"/>
      <c r="AF385" s="315"/>
      <c r="AG385" s="315"/>
      <c r="AH385" s="315"/>
    </row>
    <row r="386" spans="1:34">
      <c r="A386" s="315" t="s">
        <v>1145</v>
      </c>
      <c r="B386" s="315" t="s">
        <v>648</v>
      </c>
      <c r="C386" s="316" t="s">
        <v>1500</v>
      </c>
      <c r="D386" s="316" t="s">
        <v>1500</v>
      </c>
      <c r="E386" s="317">
        <v>16.01651</v>
      </c>
      <c r="F386" s="317">
        <v>0.40733760000000002</v>
      </c>
      <c r="G386" s="317">
        <v>0.41858030000000002</v>
      </c>
      <c r="H386" s="317">
        <v>0.41858030000000002</v>
      </c>
      <c r="I386" s="318">
        <v>2.6134301417724588</v>
      </c>
      <c r="J386" s="318">
        <v>52.833819064988198</v>
      </c>
      <c r="K386" s="319">
        <v>34.332349373524302</v>
      </c>
      <c r="L386" s="319">
        <v>31.718919231751844</v>
      </c>
      <c r="M386" s="319">
        <f t="shared" si="5"/>
        <v>31.718919231751844</v>
      </c>
      <c r="N386" s="317">
        <v>5.0802638706454575</v>
      </c>
      <c r="O386" s="315" t="s">
        <v>1148</v>
      </c>
      <c r="P386" s="318">
        <v>195.50530000000001</v>
      </c>
      <c r="R386" s="320">
        <v>90.836277777777781</v>
      </c>
      <c r="S386" s="318">
        <v>38.4</v>
      </c>
      <c r="T386" s="318">
        <v>17.2</v>
      </c>
      <c r="U386" s="318">
        <v>375</v>
      </c>
      <c r="V386" s="315">
        <v>0.2</v>
      </c>
      <c r="W386" s="318">
        <v>57</v>
      </c>
      <c r="X386" s="315">
        <v>3</v>
      </c>
      <c r="Y386" s="315" t="s">
        <v>1149</v>
      </c>
      <c r="Z386" s="315">
        <v>0</v>
      </c>
      <c r="AA386" s="315" t="s">
        <v>1190</v>
      </c>
      <c r="AB386" s="315"/>
      <c r="AC386" s="315"/>
      <c r="AD386" s="315"/>
      <c r="AE386" s="315"/>
      <c r="AF386" s="315"/>
      <c r="AG386" s="315"/>
      <c r="AH386" s="315"/>
    </row>
    <row r="387" spans="1:34">
      <c r="A387" s="315" t="s">
        <v>1145</v>
      </c>
      <c r="B387" s="315" t="s">
        <v>1066</v>
      </c>
      <c r="C387" s="316" t="s">
        <v>1360</v>
      </c>
      <c r="D387" s="316" t="s">
        <v>1360</v>
      </c>
      <c r="E387" s="317">
        <v>34.380000000000003</v>
      </c>
      <c r="F387" s="317">
        <v>3.4003714999999999</v>
      </c>
      <c r="G387" s="317">
        <v>3.7071595999999998</v>
      </c>
      <c r="H387" s="317">
        <v>8.402784200000001</v>
      </c>
      <c r="I387" s="318">
        <v>24.44090808609657</v>
      </c>
      <c r="J387" s="318">
        <v>64.0132941013525</v>
      </c>
      <c r="K387" s="319">
        <v>35.847974838572696</v>
      </c>
      <c r="L387" s="319">
        <v>11.407066752476126</v>
      </c>
      <c r="M387" s="319">
        <f t="shared" ref="M387:M450" si="6">IF(L387&lt;0,0,L387)</f>
        <v>11.407066752476126</v>
      </c>
      <c r="N387" s="317">
        <v>3.9217495495012926</v>
      </c>
      <c r="O387" s="315" t="s">
        <v>1148</v>
      </c>
      <c r="P387" s="318">
        <v>195.7</v>
      </c>
      <c r="R387" s="320">
        <v>90.944444444444443</v>
      </c>
      <c r="S387" s="318">
        <v>40</v>
      </c>
      <c r="T387" s="318">
        <v>145</v>
      </c>
      <c r="U387" s="318">
        <v>170</v>
      </c>
      <c r="V387" s="315">
        <v>0.186</v>
      </c>
      <c r="W387" s="318">
        <v>29</v>
      </c>
      <c r="X387" s="315">
        <v>22</v>
      </c>
      <c r="Y387" s="315" t="s">
        <v>1149</v>
      </c>
      <c r="Z387" s="315">
        <v>0</v>
      </c>
      <c r="AA387" s="315" t="s">
        <v>1157</v>
      </c>
      <c r="AB387" s="316">
        <v>0</v>
      </c>
      <c r="AC387" s="316">
        <v>3208</v>
      </c>
      <c r="AD387" s="316">
        <v>3197</v>
      </c>
      <c r="AE387" s="316">
        <v>0.4</v>
      </c>
      <c r="AF387" s="316">
        <v>1.4950000000000001</v>
      </c>
      <c r="AG387" s="316">
        <v>0.28000000000000003</v>
      </c>
      <c r="AH387" s="316">
        <v>892</v>
      </c>
    </row>
    <row r="388" spans="1:34">
      <c r="A388" s="315" t="s">
        <v>1145</v>
      </c>
      <c r="B388" s="315" t="s">
        <v>1066</v>
      </c>
      <c r="C388" s="316" t="s">
        <v>1362</v>
      </c>
      <c r="D388" s="316" t="s">
        <v>1362</v>
      </c>
      <c r="E388" s="317">
        <v>1.44</v>
      </c>
      <c r="F388" s="317">
        <v>0</v>
      </c>
      <c r="G388" s="317">
        <v>0</v>
      </c>
      <c r="H388" s="317">
        <v>0.44097500000000001</v>
      </c>
      <c r="I388" s="318">
        <v>30.623263888888889</v>
      </c>
      <c r="J388" s="318">
        <v>54.616688762483498</v>
      </c>
      <c r="K388" s="319">
        <v>40.088461612424901</v>
      </c>
      <c r="L388" s="319">
        <v>9.4651977235360114</v>
      </c>
      <c r="M388" s="319">
        <f t="shared" si="6"/>
        <v>9.4651977235360114</v>
      </c>
      <c r="N388" s="317">
        <v>0.13629884721891858</v>
      </c>
      <c r="O388" s="315" t="s">
        <v>1168</v>
      </c>
      <c r="P388" s="318">
        <v>195.7</v>
      </c>
      <c r="R388" s="320">
        <v>90.944444444444443</v>
      </c>
      <c r="S388" s="318">
        <v>40</v>
      </c>
      <c r="T388" s="318">
        <v>132.4</v>
      </c>
      <c r="U388" s="318">
        <v>473</v>
      </c>
      <c r="V388" s="315">
        <v>0.19</v>
      </c>
      <c r="W388" s="318">
        <v>192.2</v>
      </c>
      <c r="X388" s="315">
        <v>0</v>
      </c>
      <c r="Y388" s="315" t="s">
        <v>1149</v>
      </c>
      <c r="Z388" s="315">
        <v>0</v>
      </c>
      <c r="AA388" s="315" t="s">
        <v>1157</v>
      </c>
      <c r="AB388" s="315"/>
      <c r="AC388" s="315"/>
      <c r="AD388" s="315"/>
      <c r="AE388" s="315"/>
      <c r="AF388" s="315"/>
      <c r="AG388" s="315"/>
      <c r="AH388" s="315"/>
    </row>
    <row r="389" spans="1:34">
      <c r="A389" s="315" t="s">
        <v>1145</v>
      </c>
      <c r="B389" s="315" t="s">
        <v>1066</v>
      </c>
      <c r="C389" s="316" t="s">
        <v>1363</v>
      </c>
      <c r="D389" s="316" t="s">
        <v>1363</v>
      </c>
      <c r="E389" s="317">
        <v>3.14</v>
      </c>
      <c r="F389" s="317">
        <v>0</v>
      </c>
      <c r="G389" s="317">
        <v>0</v>
      </c>
      <c r="H389" s="317">
        <v>0.88194989999999995</v>
      </c>
      <c r="I389" s="318">
        <v>28.087576433121015</v>
      </c>
      <c r="J389" s="318">
        <v>58.350724872460802</v>
      </c>
      <c r="K389" s="319">
        <v>37.721932573629303</v>
      </c>
      <c r="L389" s="319">
        <v>9.634356140508288</v>
      </c>
      <c r="M389" s="319">
        <f t="shared" si="6"/>
        <v>9.634356140508288</v>
      </c>
      <c r="N389" s="317">
        <v>0.30251878281196026</v>
      </c>
      <c r="O389" s="315" t="s">
        <v>1168</v>
      </c>
      <c r="P389" s="318">
        <v>195.7</v>
      </c>
      <c r="R389" s="320">
        <v>90.944444444444443</v>
      </c>
      <c r="S389" s="318">
        <v>40</v>
      </c>
      <c r="T389" s="318">
        <v>462.7</v>
      </c>
      <c r="U389" s="318">
        <v>462.7</v>
      </c>
      <c r="V389" s="315">
        <v>0.2</v>
      </c>
      <c r="W389" s="318">
        <v>50</v>
      </c>
      <c r="X389" s="315">
        <v>2</v>
      </c>
      <c r="Y389" s="315" t="s">
        <v>1149</v>
      </c>
      <c r="Z389" s="315">
        <v>0</v>
      </c>
      <c r="AA389" s="315" t="s">
        <v>1157</v>
      </c>
      <c r="AB389" s="315"/>
      <c r="AC389" s="315"/>
      <c r="AD389" s="315"/>
      <c r="AE389" s="315"/>
      <c r="AF389" s="315"/>
      <c r="AG389" s="315"/>
      <c r="AH389" s="315"/>
    </row>
    <row r="390" spans="1:34">
      <c r="A390" s="315" t="s">
        <v>1723</v>
      </c>
      <c r="B390" s="315" t="s">
        <v>1066</v>
      </c>
      <c r="C390" s="316" t="s">
        <v>1364</v>
      </c>
      <c r="D390" s="316" t="s">
        <v>1364</v>
      </c>
      <c r="E390" s="317">
        <v>8.538316</v>
      </c>
      <c r="F390" s="317">
        <v>0</v>
      </c>
      <c r="G390" s="317">
        <v>0</v>
      </c>
      <c r="H390" s="317">
        <v>0</v>
      </c>
      <c r="I390" s="318">
        <v>0</v>
      </c>
      <c r="J390" s="318">
        <v>58.469245248139501</v>
      </c>
      <c r="K390" s="319">
        <v>39.107517896140095</v>
      </c>
      <c r="L390" s="319">
        <v>39.107517896140095</v>
      </c>
      <c r="M390" s="319">
        <f t="shared" si="6"/>
        <v>39.107517896140095</v>
      </c>
      <c r="N390" s="317">
        <v>3.3391234577289928</v>
      </c>
      <c r="O390" s="315" t="s">
        <v>1168</v>
      </c>
      <c r="P390" s="318">
        <v>196</v>
      </c>
      <c r="R390" s="320">
        <v>91.111111111111114</v>
      </c>
      <c r="S390" s="318">
        <v>38</v>
      </c>
      <c r="T390" s="318">
        <v>191.7</v>
      </c>
      <c r="U390" s="318">
        <v>1114</v>
      </c>
      <c r="V390" s="315">
        <v>0.18</v>
      </c>
      <c r="W390" s="318">
        <v>180.5</v>
      </c>
      <c r="X390" s="315">
        <v>5</v>
      </c>
      <c r="Y390" s="315" t="s">
        <v>1149</v>
      </c>
      <c r="Z390" s="315">
        <v>0</v>
      </c>
      <c r="AA390" s="315" t="s">
        <v>1157</v>
      </c>
      <c r="AB390" s="315"/>
      <c r="AC390" s="315"/>
      <c r="AD390" s="315"/>
      <c r="AE390" s="315"/>
      <c r="AF390" s="315"/>
      <c r="AG390" s="315"/>
      <c r="AH390" s="315"/>
    </row>
    <row r="391" spans="1:34">
      <c r="A391" s="315" t="s">
        <v>1725</v>
      </c>
      <c r="B391" s="315" t="s">
        <v>1430</v>
      </c>
      <c r="C391" s="316" t="s">
        <v>1433</v>
      </c>
      <c r="D391" s="316" t="s">
        <v>1433</v>
      </c>
      <c r="E391" s="317">
        <v>24.317933147080918</v>
      </c>
      <c r="F391" s="317">
        <v>4.4579600820733809</v>
      </c>
      <c r="G391" s="317">
        <v>4.4579600820733809</v>
      </c>
      <c r="H391" s="317">
        <v>4.4579600820733809</v>
      </c>
      <c r="I391" s="318">
        <v>18.331985926232004</v>
      </c>
      <c r="J391" s="318">
        <v>49.974101073564</v>
      </c>
      <c r="K391" s="319">
        <v>40.059517571241699</v>
      </c>
      <c r="L391" s="319">
        <v>21.727531645009694</v>
      </c>
      <c r="M391" s="319">
        <f t="shared" si="6"/>
        <v>21.727531645009694</v>
      </c>
      <c r="N391" s="317">
        <v>5.2836866199443087</v>
      </c>
      <c r="O391" s="315" t="s">
        <v>1148</v>
      </c>
      <c r="P391" s="318">
        <v>196</v>
      </c>
      <c r="R391" s="320">
        <v>91.111111111111114</v>
      </c>
      <c r="S391" s="318">
        <v>37</v>
      </c>
      <c r="T391" s="318">
        <v>87</v>
      </c>
      <c r="U391" s="318">
        <v>59</v>
      </c>
      <c r="V391" s="315">
        <v>0.25</v>
      </c>
      <c r="W391" s="318">
        <v>1000</v>
      </c>
      <c r="X391" s="315">
        <v>3</v>
      </c>
      <c r="Y391" s="315" t="s">
        <v>1149</v>
      </c>
      <c r="Z391" s="315">
        <v>0</v>
      </c>
      <c r="AA391" s="315" t="s">
        <v>1190</v>
      </c>
      <c r="AB391" s="315"/>
      <c r="AC391" s="315"/>
      <c r="AD391" s="315"/>
      <c r="AE391" s="315"/>
      <c r="AF391" s="315"/>
      <c r="AG391" s="315"/>
      <c r="AH391" s="315"/>
    </row>
    <row r="392" spans="1:34">
      <c r="A392" s="315" t="s">
        <v>1145</v>
      </c>
      <c r="B392" s="315" t="s">
        <v>696</v>
      </c>
      <c r="C392" s="316" t="s">
        <v>1532</v>
      </c>
      <c r="D392" s="316" t="s">
        <v>1532</v>
      </c>
      <c r="E392" s="317">
        <v>0.9</v>
      </c>
      <c r="F392" s="317">
        <v>0</v>
      </c>
      <c r="G392" s="317">
        <v>0</v>
      </c>
      <c r="H392" s="317">
        <v>0</v>
      </c>
      <c r="I392" s="318">
        <v>0</v>
      </c>
      <c r="J392" s="318">
        <v>74.723981404534996</v>
      </c>
      <c r="K392" s="319">
        <v>29.619919816731301</v>
      </c>
      <c r="L392" s="319">
        <v>29.619919816731301</v>
      </c>
      <c r="M392" s="319">
        <f t="shared" si="6"/>
        <v>29.619919816731301</v>
      </c>
      <c r="N392" s="317">
        <v>0.26657927835058171</v>
      </c>
      <c r="O392" s="315" t="s">
        <v>1168</v>
      </c>
      <c r="P392" s="318">
        <v>196.1</v>
      </c>
      <c r="R392" s="320">
        <v>91.166666666666671</v>
      </c>
      <c r="S392" s="318">
        <v>36</v>
      </c>
      <c r="T392" s="318">
        <v>164.66666666666666</v>
      </c>
      <c r="U392" s="318">
        <v>75</v>
      </c>
      <c r="V392" s="315">
        <v>0.22</v>
      </c>
      <c r="W392" s="318">
        <v>60</v>
      </c>
      <c r="X392" s="315">
        <v>0</v>
      </c>
      <c r="Y392" s="315" t="s">
        <v>1149</v>
      </c>
      <c r="Z392" s="315">
        <v>0</v>
      </c>
      <c r="AA392" s="315" t="s">
        <v>1435</v>
      </c>
      <c r="AB392" s="315"/>
      <c r="AC392" s="315"/>
      <c r="AD392" s="315"/>
      <c r="AE392" s="315"/>
      <c r="AF392" s="315"/>
      <c r="AG392" s="315"/>
      <c r="AH392" s="315"/>
    </row>
    <row r="393" spans="1:34">
      <c r="A393" s="315" t="s">
        <v>1145</v>
      </c>
      <c r="B393" s="315" t="s">
        <v>1066</v>
      </c>
      <c r="C393" s="316" t="s">
        <v>1365</v>
      </c>
      <c r="D393" s="316" t="s">
        <v>1365</v>
      </c>
      <c r="E393" s="317">
        <v>2.91</v>
      </c>
      <c r="F393" s="317">
        <v>2.4640000000000003E-4</v>
      </c>
      <c r="G393" s="317">
        <v>0.16907730000000001</v>
      </c>
      <c r="H393" s="317">
        <v>0.22436130000000001</v>
      </c>
      <c r="I393" s="318">
        <v>7.710010309278351</v>
      </c>
      <c r="J393" s="318">
        <v>78.482826653353897</v>
      </c>
      <c r="K393" s="319">
        <v>25.876899318572701</v>
      </c>
      <c r="L393" s="319">
        <v>18.166889009294351</v>
      </c>
      <c r="M393" s="319">
        <f t="shared" si="6"/>
        <v>18.166889009294351</v>
      </c>
      <c r="N393" s="317">
        <v>0.52865647017046569</v>
      </c>
      <c r="O393" s="315" t="s">
        <v>1148</v>
      </c>
      <c r="P393" s="318">
        <v>197</v>
      </c>
      <c r="R393" s="320">
        <v>91.666666666666671</v>
      </c>
      <c r="S393" s="318">
        <v>40</v>
      </c>
      <c r="T393" s="318">
        <v>27.9</v>
      </c>
      <c r="U393" s="318">
        <v>263</v>
      </c>
      <c r="V393" s="315">
        <v>0.21</v>
      </c>
      <c r="W393" s="318">
        <v>20.5</v>
      </c>
      <c r="X393" s="315">
        <v>0</v>
      </c>
      <c r="Y393" s="315" t="s">
        <v>1149</v>
      </c>
      <c r="Z393" s="315">
        <v>0</v>
      </c>
      <c r="AA393" s="315" t="s">
        <v>1157</v>
      </c>
      <c r="AB393" s="315"/>
      <c r="AC393" s="315"/>
      <c r="AD393" s="315"/>
      <c r="AE393" s="315"/>
      <c r="AF393" s="315"/>
      <c r="AG393" s="315"/>
      <c r="AH393" s="315"/>
    </row>
    <row r="394" spans="1:34">
      <c r="A394" s="315" t="s">
        <v>1729</v>
      </c>
      <c r="B394" s="315" t="s">
        <v>1430</v>
      </c>
      <c r="C394" s="316" t="s">
        <v>1434</v>
      </c>
      <c r="D394" s="316" t="s">
        <v>1434</v>
      </c>
      <c r="E394" s="317">
        <v>7.0666828862216775</v>
      </c>
      <c r="F394" s="317">
        <v>1.1847970000000001</v>
      </c>
      <c r="G394" s="317">
        <v>1.1847970000000001</v>
      </c>
      <c r="H394" s="317">
        <v>3.1913470248711957</v>
      </c>
      <c r="I394" s="318">
        <v>45.160467453457557</v>
      </c>
      <c r="J394" s="318">
        <v>50.069683427517099</v>
      </c>
      <c r="K394" s="319">
        <v>40.285556527496404</v>
      </c>
      <c r="L394" s="319">
        <v>-4.8749109259611529</v>
      </c>
      <c r="M394" s="319">
        <f t="shared" si="6"/>
        <v>0</v>
      </c>
      <c r="N394" s="317">
        <v>0</v>
      </c>
      <c r="O394" s="315" t="s">
        <v>1148</v>
      </c>
      <c r="P394" s="318">
        <v>197</v>
      </c>
      <c r="R394" s="320">
        <v>91.666666666666671</v>
      </c>
      <c r="S394" s="318">
        <v>37</v>
      </c>
      <c r="T394" s="318">
        <v>40</v>
      </c>
      <c r="U394" s="318">
        <v>71</v>
      </c>
      <c r="V394" s="315">
        <v>0.24</v>
      </c>
      <c r="W394" s="318">
        <v>600</v>
      </c>
      <c r="X394" s="315">
        <v>0</v>
      </c>
      <c r="Y394" s="315" t="s">
        <v>1149</v>
      </c>
      <c r="Z394" s="315">
        <v>0</v>
      </c>
      <c r="AA394" s="315" t="s">
        <v>1435</v>
      </c>
      <c r="AB394" s="315"/>
      <c r="AC394" s="315"/>
      <c r="AD394" s="315"/>
      <c r="AE394" s="315"/>
      <c r="AF394" s="315"/>
      <c r="AG394" s="315"/>
      <c r="AH394" s="315"/>
    </row>
    <row r="395" spans="1:34">
      <c r="A395" s="315" t="s">
        <v>1731</v>
      </c>
      <c r="B395" s="315" t="s">
        <v>1430</v>
      </c>
      <c r="C395" s="316" t="s">
        <v>1436</v>
      </c>
      <c r="D395" s="316" t="s">
        <v>1436</v>
      </c>
      <c r="E395" s="317">
        <v>32.507843741912865</v>
      </c>
      <c r="F395" s="317">
        <v>9.9391874325525382</v>
      </c>
      <c r="G395" s="317">
        <v>11.364643499182041</v>
      </c>
      <c r="H395" s="317">
        <v>11.364643499182041</v>
      </c>
      <c r="I395" s="318">
        <v>34.959696464055014</v>
      </c>
      <c r="J395" s="318">
        <v>45.246474931423798</v>
      </c>
      <c r="K395" s="319">
        <v>42.821223227121202</v>
      </c>
      <c r="L395" s="319">
        <v>7.8615267630661876</v>
      </c>
      <c r="M395" s="319">
        <f t="shared" si="6"/>
        <v>7.8615267630661876</v>
      </c>
      <c r="N395" s="317">
        <v>2.5556128358662167</v>
      </c>
      <c r="O395" s="315" t="s">
        <v>1148</v>
      </c>
      <c r="P395" s="318">
        <v>197</v>
      </c>
      <c r="R395" s="320">
        <v>91.666666666666671</v>
      </c>
      <c r="S395" s="318">
        <v>37</v>
      </c>
      <c r="T395" s="318">
        <v>79</v>
      </c>
      <c r="U395" s="318">
        <v>79</v>
      </c>
      <c r="V395" s="315">
        <v>0.3</v>
      </c>
      <c r="W395" s="318">
        <v>2000</v>
      </c>
      <c r="X395" s="315">
        <v>3</v>
      </c>
      <c r="Y395" s="315" t="s">
        <v>1149</v>
      </c>
      <c r="Z395" s="315">
        <v>0</v>
      </c>
      <c r="AA395" s="315" t="s">
        <v>1150</v>
      </c>
      <c r="AB395" s="315"/>
      <c r="AC395" s="315"/>
      <c r="AD395" s="315"/>
      <c r="AE395" s="315"/>
      <c r="AF395" s="315"/>
      <c r="AG395" s="315"/>
      <c r="AH395" s="315"/>
    </row>
    <row r="396" spans="1:34">
      <c r="A396" s="315" t="s">
        <v>1733</v>
      </c>
      <c r="B396" s="315" t="s">
        <v>1430</v>
      </c>
      <c r="C396" s="316" t="s">
        <v>1437</v>
      </c>
      <c r="D396" s="316" t="s">
        <v>1437</v>
      </c>
      <c r="E396" s="317">
        <v>55.27889766166691</v>
      </c>
      <c r="F396" s="317">
        <v>10.573213103629167</v>
      </c>
      <c r="G396" s="317">
        <v>12.907576677006004</v>
      </c>
      <c r="H396" s="317">
        <v>12.980974948002443</v>
      </c>
      <c r="I396" s="318">
        <v>23.48269501944878</v>
      </c>
      <c r="J396" s="318">
        <v>55.986925095966598</v>
      </c>
      <c r="K396" s="319">
        <v>38.072488903895504</v>
      </c>
      <c r="L396" s="319">
        <v>14.589793884446724</v>
      </c>
      <c r="M396" s="319">
        <f t="shared" si="6"/>
        <v>14.589793884446724</v>
      </c>
      <c r="N396" s="317">
        <v>8.0650772304314433</v>
      </c>
      <c r="O396" s="315" t="s">
        <v>1148</v>
      </c>
      <c r="P396" s="318">
        <v>197</v>
      </c>
      <c r="R396" s="320">
        <v>91.666666666666671</v>
      </c>
      <c r="S396" s="318">
        <v>37</v>
      </c>
      <c r="T396" s="318">
        <v>75</v>
      </c>
      <c r="U396" s="318">
        <v>319</v>
      </c>
      <c r="V396" s="315">
        <v>0.21</v>
      </c>
      <c r="W396" s="318">
        <v>50</v>
      </c>
      <c r="X396" s="315">
        <v>12</v>
      </c>
      <c r="Y396" s="315" t="s">
        <v>1149</v>
      </c>
      <c r="Z396" s="315">
        <v>0</v>
      </c>
      <c r="AA396" s="315" t="s">
        <v>1190</v>
      </c>
      <c r="AB396" s="315"/>
      <c r="AC396" s="315"/>
      <c r="AD396" s="315"/>
      <c r="AE396" s="315"/>
      <c r="AF396" s="315"/>
      <c r="AG396" s="315"/>
      <c r="AH396" s="315"/>
    </row>
    <row r="397" spans="1:34">
      <c r="A397" s="315" t="s">
        <v>1735</v>
      </c>
      <c r="B397" s="315" t="s">
        <v>1430</v>
      </c>
      <c r="C397" s="316" t="s">
        <v>1438</v>
      </c>
      <c r="D397" s="316" t="s">
        <v>1438</v>
      </c>
      <c r="E397" s="317">
        <v>100.16914639035384</v>
      </c>
      <c r="F397" s="317">
        <v>16.812197095088784</v>
      </c>
      <c r="G397" s="317">
        <v>19.146560668465625</v>
      </c>
      <c r="H397" s="317">
        <v>21.813134381754491</v>
      </c>
      <c r="I397" s="318">
        <v>21.776300555412405</v>
      </c>
      <c r="J397" s="318">
        <v>61.171814096989898</v>
      </c>
      <c r="K397" s="319">
        <v>32.3204511050779</v>
      </c>
      <c r="L397" s="319">
        <v>10.544150549665495</v>
      </c>
      <c r="M397" s="319">
        <f t="shared" si="6"/>
        <v>10.544150549665495</v>
      </c>
      <c r="N397" s="317">
        <v>10.561985599713729</v>
      </c>
      <c r="O397" s="315" t="s">
        <v>1148</v>
      </c>
      <c r="P397" s="318">
        <v>197</v>
      </c>
      <c r="R397" s="320">
        <v>91.666666666666671</v>
      </c>
      <c r="S397" s="318">
        <v>37</v>
      </c>
      <c r="T397" s="318">
        <v>90</v>
      </c>
      <c r="U397" s="318">
        <v>106</v>
      </c>
      <c r="V397" s="315">
        <v>0.21</v>
      </c>
      <c r="W397" s="318">
        <v>30</v>
      </c>
      <c r="X397" s="315">
        <v>2</v>
      </c>
      <c r="Y397" s="315" t="s">
        <v>1149</v>
      </c>
      <c r="Z397" s="315">
        <v>0</v>
      </c>
      <c r="AA397" s="315" t="s">
        <v>1190</v>
      </c>
      <c r="AB397" s="315"/>
      <c r="AC397" s="315"/>
      <c r="AD397" s="315"/>
      <c r="AE397" s="315"/>
      <c r="AF397" s="315"/>
      <c r="AG397" s="315"/>
      <c r="AH397" s="315"/>
    </row>
    <row r="398" spans="1:34">
      <c r="A398" s="315" t="s">
        <v>1145</v>
      </c>
      <c r="B398" s="315" t="s">
        <v>648</v>
      </c>
      <c r="C398" s="316" t="s">
        <v>1501</v>
      </c>
      <c r="D398" s="316" t="s">
        <v>1501</v>
      </c>
      <c r="E398" s="317">
        <v>43.393380000000001</v>
      </c>
      <c r="F398" s="317">
        <v>0</v>
      </c>
      <c r="G398" s="317">
        <v>0</v>
      </c>
      <c r="H398" s="317">
        <v>0</v>
      </c>
      <c r="I398" s="318">
        <v>0</v>
      </c>
      <c r="J398" s="318">
        <v>62.360850987276002</v>
      </c>
      <c r="K398" s="319">
        <v>36.632863927845698</v>
      </c>
      <c r="L398" s="319">
        <v>36.632863927845698</v>
      </c>
      <c r="M398" s="319">
        <f t="shared" si="6"/>
        <v>36.632863927845698</v>
      </c>
      <c r="N398" s="317">
        <v>15.89623784909301</v>
      </c>
      <c r="O398" s="315" t="s">
        <v>1168</v>
      </c>
      <c r="P398" s="318">
        <v>197</v>
      </c>
      <c r="R398" s="320">
        <v>91.666666666666671</v>
      </c>
      <c r="S398" s="318">
        <v>38</v>
      </c>
      <c r="T398" s="318">
        <v>473</v>
      </c>
      <c r="U398" s="318">
        <v>22.5</v>
      </c>
      <c r="V398" s="315">
        <v>0.2</v>
      </c>
      <c r="W398" s="318">
        <v>184</v>
      </c>
      <c r="X398" s="315">
        <v>0</v>
      </c>
      <c r="Y398" s="315" t="s">
        <v>1149</v>
      </c>
      <c r="Z398" s="315">
        <v>0</v>
      </c>
      <c r="AA398" s="315" t="s">
        <v>1157</v>
      </c>
      <c r="AB398" s="315"/>
      <c r="AC398" s="315"/>
      <c r="AD398" s="315"/>
      <c r="AE398" s="315"/>
      <c r="AF398" s="315"/>
      <c r="AG398" s="315"/>
      <c r="AH398" s="315"/>
    </row>
    <row r="399" spans="1:34">
      <c r="A399" s="315" t="s">
        <v>1145</v>
      </c>
      <c r="B399" s="315" t="s">
        <v>648</v>
      </c>
      <c r="C399" s="316" t="s">
        <v>1503</v>
      </c>
      <c r="D399" s="316" t="s">
        <v>1503</v>
      </c>
      <c r="E399" s="317">
        <v>37.699199999999998</v>
      </c>
      <c r="F399" s="317">
        <v>1.7080663</v>
      </c>
      <c r="G399" s="317">
        <v>3.1925346063024467</v>
      </c>
      <c r="H399" s="317">
        <v>3.1925346063024467</v>
      </c>
      <c r="I399" s="318">
        <v>8.4684412568501379</v>
      </c>
      <c r="J399" s="318">
        <v>51.343929905935397</v>
      </c>
      <c r="K399" s="319">
        <v>40.422548820913399</v>
      </c>
      <c r="L399" s="319">
        <v>31.954107564063261</v>
      </c>
      <c r="M399" s="319">
        <f t="shared" si="6"/>
        <v>31.954107564063261</v>
      </c>
      <c r="N399" s="317">
        <v>12.046442918791335</v>
      </c>
      <c r="O399" s="315" t="s">
        <v>1148</v>
      </c>
      <c r="P399" s="318">
        <v>197</v>
      </c>
      <c r="R399" s="320">
        <v>91.666666666666671</v>
      </c>
      <c r="S399" s="318">
        <v>38</v>
      </c>
      <c r="T399" s="318">
        <v>94</v>
      </c>
      <c r="U399" s="318">
        <v>40</v>
      </c>
      <c r="V399" s="315">
        <v>0.3</v>
      </c>
      <c r="W399" s="318">
        <v>2836</v>
      </c>
      <c r="X399" s="315">
        <v>0</v>
      </c>
      <c r="Y399" s="315" t="s">
        <v>1149</v>
      </c>
      <c r="Z399" s="315">
        <v>0</v>
      </c>
      <c r="AA399" s="315" t="s">
        <v>1157</v>
      </c>
      <c r="AB399" s="315"/>
      <c r="AC399" s="315"/>
      <c r="AD399" s="315"/>
      <c r="AE399" s="315"/>
      <c r="AF399" s="315"/>
      <c r="AG399" s="315"/>
      <c r="AH399" s="315"/>
    </row>
    <row r="400" spans="1:34">
      <c r="A400" s="315" t="s">
        <v>1145</v>
      </c>
      <c r="B400" s="315" t="s">
        <v>648</v>
      </c>
      <c r="C400" s="316" t="s">
        <v>1505</v>
      </c>
      <c r="D400" s="316" t="s">
        <v>1505</v>
      </c>
      <c r="E400" s="317">
        <v>39.899270000000001</v>
      </c>
      <c r="F400" s="317">
        <v>15.294478099999999</v>
      </c>
      <c r="G400" s="317">
        <v>15.564301899999998</v>
      </c>
      <c r="H400" s="317">
        <v>15.564301899999998</v>
      </c>
      <c r="I400" s="318">
        <v>39.00898913689398</v>
      </c>
      <c r="J400" s="318">
        <v>51.843355177846199</v>
      </c>
      <c r="K400" s="319">
        <v>41.312016298762799</v>
      </c>
      <c r="L400" s="319">
        <v>2.303027161868819</v>
      </c>
      <c r="M400" s="319">
        <f t="shared" si="6"/>
        <v>2.303027161868819</v>
      </c>
      <c r="N400" s="317">
        <v>0.91889102548737711</v>
      </c>
      <c r="O400" s="315" t="s">
        <v>1148</v>
      </c>
      <c r="P400" s="318">
        <v>197.80199999999999</v>
      </c>
      <c r="R400" s="320">
        <v>92.112222222222215</v>
      </c>
      <c r="S400" s="318">
        <v>38.4</v>
      </c>
      <c r="T400" s="318">
        <v>34.200000000000003</v>
      </c>
      <c r="U400" s="318">
        <v>270</v>
      </c>
      <c r="V400" s="315">
        <v>0.2</v>
      </c>
      <c r="W400" s="318">
        <v>555</v>
      </c>
      <c r="X400" s="315">
        <v>4</v>
      </c>
      <c r="Y400" s="315" t="s">
        <v>1154</v>
      </c>
      <c r="Z400" s="315">
        <v>1</v>
      </c>
      <c r="AA400" s="315" t="s">
        <v>1157</v>
      </c>
      <c r="AB400" s="315"/>
      <c r="AC400" s="315"/>
      <c r="AD400" s="315"/>
      <c r="AE400" s="315"/>
      <c r="AF400" s="315"/>
      <c r="AG400" s="315"/>
      <c r="AH400" s="315"/>
    </row>
    <row r="401" spans="1:34">
      <c r="A401" s="315" t="s">
        <v>1145</v>
      </c>
      <c r="B401" s="315" t="s">
        <v>1066</v>
      </c>
      <c r="C401" s="316" t="s">
        <v>1366</v>
      </c>
      <c r="D401" s="316" t="s">
        <v>1366</v>
      </c>
      <c r="E401" s="317">
        <v>12.08</v>
      </c>
      <c r="F401" s="317">
        <v>3.8675842</v>
      </c>
      <c r="G401" s="317">
        <v>4.2165251000000001</v>
      </c>
      <c r="H401" s="317">
        <v>6.8825517999999999</v>
      </c>
      <c r="I401" s="318">
        <v>56.974766556291392</v>
      </c>
      <c r="J401" s="318">
        <v>68.544561550064699</v>
      </c>
      <c r="K401" s="319">
        <v>35.128809720516401</v>
      </c>
      <c r="L401" s="319">
        <v>-21.845956835774992</v>
      </c>
      <c r="M401" s="319">
        <f t="shared" si="6"/>
        <v>0</v>
      </c>
      <c r="N401" s="317">
        <v>0</v>
      </c>
      <c r="O401" s="315" t="s">
        <v>1148</v>
      </c>
      <c r="P401" s="318">
        <v>197.9</v>
      </c>
      <c r="R401" s="320">
        <v>92.166666666666671</v>
      </c>
      <c r="S401" s="318">
        <v>40</v>
      </c>
      <c r="T401" s="318">
        <v>306.2</v>
      </c>
      <c r="U401" s="318">
        <v>209</v>
      </c>
      <c r="V401" s="315">
        <v>0.17</v>
      </c>
      <c r="W401" s="318">
        <v>98.3</v>
      </c>
      <c r="X401" s="315">
        <v>6</v>
      </c>
      <c r="Y401" s="315" t="s">
        <v>1149</v>
      </c>
      <c r="Z401" s="315">
        <v>0</v>
      </c>
      <c r="AA401" s="315" t="s">
        <v>1157</v>
      </c>
      <c r="AB401" s="316">
        <v>0</v>
      </c>
      <c r="AC401" s="316">
        <v>3279</v>
      </c>
      <c r="AD401" s="316">
        <v>3277</v>
      </c>
      <c r="AE401" s="316">
        <v>0.35</v>
      </c>
      <c r="AF401" s="316">
        <v>1.5089999999999999</v>
      </c>
      <c r="AG401" s="316">
        <v>0.27</v>
      </c>
      <c r="AH401" s="316">
        <v>914</v>
      </c>
    </row>
    <row r="402" spans="1:34">
      <c r="A402" s="315" t="s">
        <v>1145</v>
      </c>
      <c r="B402" s="315" t="s">
        <v>1066</v>
      </c>
      <c r="C402" s="316" t="s">
        <v>1367</v>
      </c>
      <c r="D402" s="316" t="s">
        <v>1367</v>
      </c>
      <c r="E402" s="317">
        <v>6.15</v>
      </c>
      <c r="F402" s="317">
        <v>8.16746E-2</v>
      </c>
      <c r="G402" s="317">
        <v>8.9043399999999995E-2</v>
      </c>
      <c r="H402" s="317">
        <v>9.2455099999999998E-2</v>
      </c>
      <c r="I402" s="318">
        <v>1.5033349593495935</v>
      </c>
      <c r="J402" s="318">
        <v>66.346795604877201</v>
      </c>
      <c r="K402" s="319">
        <v>35.910445119857897</v>
      </c>
      <c r="L402" s="319">
        <v>34.407110160508303</v>
      </c>
      <c r="M402" s="319">
        <f t="shared" si="6"/>
        <v>34.407110160508303</v>
      </c>
      <c r="N402" s="317">
        <v>2.1160372748712608</v>
      </c>
      <c r="O402" s="315" t="s">
        <v>1148</v>
      </c>
      <c r="P402" s="318">
        <v>198</v>
      </c>
      <c r="R402" s="320">
        <v>92.222222222222229</v>
      </c>
      <c r="S402" s="318">
        <v>40</v>
      </c>
      <c r="T402" s="318">
        <v>308.8</v>
      </c>
      <c r="U402" s="318">
        <v>700</v>
      </c>
      <c r="V402" s="315">
        <v>0.13300000000000001</v>
      </c>
      <c r="W402" s="318">
        <v>30.34</v>
      </c>
      <c r="X402" s="315">
        <v>1</v>
      </c>
      <c r="Y402" s="315" t="s">
        <v>1149</v>
      </c>
      <c r="Z402" s="315">
        <v>0</v>
      </c>
      <c r="AA402" s="315" t="s">
        <v>1157</v>
      </c>
      <c r="AB402" s="316">
        <v>0</v>
      </c>
      <c r="AC402" s="316">
        <v>2773</v>
      </c>
      <c r="AD402" s="316">
        <v>2721</v>
      </c>
      <c r="AE402" s="316">
        <v>0.4</v>
      </c>
      <c r="AF402" s="316">
        <v>1.407</v>
      </c>
      <c r="AG402" s="316">
        <v>0.35299999999999998</v>
      </c>
      <c r="AH402" s="316">
        <v>692</v>
      </c>
    </row>
    <row r="403" spans="1:34">
      <c r="A403" s="315" t="s">
        <v>1145</v>
      </c>
      <c r="B403" s="315" t="s">
        <v>1066</v>
      </c>
      <c r="C403" s="316" t="s">
        <v>1368</v>
      </c>
      <c r="D403" s="316" t="s">
        <v>1368</v>
      </c>
      <c r="E403" s="317">
        <v>0.43795899999999999</v>
      </c>
      <c r="F403" s="317">
        <v>0</v>
      </c>
      <c r="G403" s="317">
        <v>0</v>
      </c>
      <c r="H403" s="317">
        <v>0</v>
      </c>
      <c r="I403" s="318">
        <v>0</v>
      </c>
      <c r="J403" s="318">
        <v>80.422807111535604</v>
      </c>
      <c r="K403" s="319">
        <v>27.032886877700602</v>
      </c>
      <c r="L403" s="319">
        <v>27.032886877700602</v>
      </c>
      <c r="M403" s="319">
        <f t="shared" si="6"/>
        <v>27.032886877700602</v>
      </c>
      <c r="N403" s="317">
        <v>0.11839296104070877</v>
      </c>
      <c r="O403" s="315" t="s">
        <v>1168</v>
      </c>
      <c r="P403" s="318">
        <v>198</v>
      </c>
      <c r="R403" s="320">
        <v>92.222222222222229</v>
      </c>
      <c r="S403" s="318">
        <v>38</v>
      </c>
      <c r="T403" s="318">
        <v>27.768999999999998</v>
      </c>
      <c r="U403" s="318">
        <v>312</v>
      </c>
      <c r="V403" s="315">
        <v>0.17499999999999999</v>
      </c>
      <c r="W403" s="318">
        <v>70.900000000000006</v>
      </c>
      <c r="X403" s="315">
        <v>0</v>
      </c>
      <c r="Y403" s="315" t="s">
        <v>1149</v>
      </c>
      <c r="Z403" s="315">
        <v>0</v>
      </c>
      <c r="AA403" s="315" t="s">
        <v>1157</v>
      </c>
      <c r="AB403" s="315"/>
      <c r="AC403" s="315"/>
      <c r="AD403" s="315"/>
      <c r="AE403" s="315"/>
      <c r="AF403" s="315"/>
      <c r="AG403" s="315"/>
      <c r="AH403" s="315"/>
    </row>
    <row r="404" spans="1:34">
      <c r="A404" s="315" t="s">
        <v>1145</v>
      </c>
      <c r="B404" s="315" t="s">
        <v>1066</v>
      </c>
      <c r="C404" s="316" t="s">
        <v>1370</v>
      </c>
      <c r="D404" s="316" t="s">
        <v>1370</v>
      </c>
      <c r="E404" s="317">
        <v>0.32</v>
      </c>
      <c r="F404" s="317">
        <v>0</v>
      </c>
      <c r="G404" s="317">
        <v>0</v>
      </c>
      <c r="H404" s="317">
        <v>0</v>
      </c>
      <c r="I404" s="318">
        <v>0</v>
      </c>
      <c r="J404" s="318">
        <v>80.422807111535604</v>
      </c>
      <c r="K404" s="319">
        <v>24.747441988520599</v>
      </c>
      <c r="L404" s="319">
        <v>24.747441988520599</v>
      </c>
      <c r="M404" s="319">
        <f t="shared" si="6"/>
        <v>24.747441988520599</v>
      </c>
      <c r="N404" s="317">
        <v>7.9191814363265917E-2</v>
      </c>
      <c r="O404" s="315" t="s">
        <v>1168</v>
      </c>
      <c r="P404" s="318">
        <v>198</v>
      </c>
      <c r="R404" s="320">
        <v>92.222222222222229</v>
      </c>
      <c r="S404" s="318">
        <v>38</v>
      </c>
      <c r="T404" s="318">
        <v>27.8</v>
      </c>
      <c r="U404" s="318">
        <v>312</v>
      </c>
      <c r="V404" s="315">
        <v>0.17499999999999999</v>
      </c>
      <c r="W404" s="318">
        <v>70.87</v>
      </c>
      <c r="X404" s="315">
        <v>0</v>
      </c>
      <c r="Y404" s="315" t="s">
        <v>1149</v>
      </c>
      <c r="Z404" s="315">
        <v>0</v>
      </c>
      <c r="AA404" s="315" t="s">
        <v>1157</v>
      </c>
      <c r="AB404" s="315"/>
      <c r="AC404" s="315"/>
      <c r="AD404" s="315"/>
      <c r="AE404" s="315"/>
      <c r="AF404" s="315"/>
      <c r="AG404" s="315"/>
      <c r="AH404" s="315"/>
    </row>
    <row r="405" spans="1:34">
      <c r="A405" s="315" t="s">
        <v>1145</v>
      </c>
      <c r="B405" s="315" t="s">
        <v>1066</v>
      </c>
      <c r="C405" s="316" t="s">
        <v>1371</v>
      </c>
      <c r="D405" s="316" t="s">
        <v>1371</v>
      </c>
      <c r="E405" s="317">
        <v>0.19</v>
      </c>
      <c r="F405" s="317">
        <v>0</v>
      </c>
      <c r="G405" s="317">
        <v>0</v>
      </c>
      <c r="H405" s="317">
        <v>0</v>
      </c>
      <c r="I405" s="318">
        <v>0</v>
      </c>
      <c r="J405" s="318">
        <v>0</v>
      </c>
      <c r="K405" s="319">
        <v>0</v>
      </c>
      <c r="L405" s="319">
        <v>0</v>
      </c>
      <c r="M405" s="319">
        <f t="shared" si="6"/>
        <v>0</v>
      </c>
      <c r="N405" s="317">
        <v>0</v>
      </c>
      <c r="O405" s="315" t="s">
        <v>1168</v>
      </c>
      <c r="P405" s="318">
        <v>198</v>
      </c>
      <c r="R405" s="320">
        <v>92.222222222222229</v>
      </c>
      <c r="S405" s="318">
        <v>38</v>
      </c>
      <c r="T405" s="318">
        <v>80.400000000000006</v>
      </c>
      <c r="U405" s="318">
        <v>312</v>
      </c>
      <c r="V405" s="315">
        <v>0.16</v>
      </c>
      <c r="W405" s="318">
        <v>52.8</v>
      </c>
      <c r="X405" s="315">
        <v>0</v>
      </c>
      <c r="Y405" s="315" t="s">
        <v>1149</v>
      </c>
      <c r="Z405" s="315">
        <v>0</v>
      </c>
      <c r="AA405" s="315" t="s">
        <v>1157</v>
      </c>
      <c r="AB405" s="315"/>
      <c r="AC405" s="315"/>
      <c r="AD405" s="315"/>
      <c r="AE405" s="315"/>
      <c r="AF405" s="315"/>
      <c r="AG405" s="315"/>
      <c r="AH405" s="315"/>
    </row>
    <row r="406" spans="1:34">
      <c r="A406" s="315" t="s">
        <v>1145</v>
      </c>
      <c r="B406" s="315" t="s">
        <v>1066</v>
      </c>
      <c r="C406" s="316" t="s">
        <v>1372</v>
      </c>
      <c r="D406" s="316" t="s">
        <v>1372</v>
      </c>
      <c r="E406" s="317">
        <v>0.681647</v>
      </c>
      <c r="F406" s="317">
        <v>0.55233869999999996</v>
      </c>
      <c r="G406" s="317">
        <v>0.60217179999999992</v>
      </c>
      <c r="H406" s="317">
        <v>0.62524369999999996</v>
      </c>
      <c r="I406" s="318">
        <v>91.725438533434456</v>
      </c>
      <c r="J406" s="318">
        <v>59.795793824917197</v>
      </c>
      <c r="K406" s="319">
        <v>38.981576523927203</v>
      </c>
      <c r="L406" s="319">
        <v>-52.743862009507254</v>
      </c>
      <c r="M406" s="319">
        <f t="shared" si="6"/>
        <v>0</v>
      </c>
      <c r="N406" s="317">
        <v>0</v>
      </c>
      <c r="O406" s="315" t="s">
        <v>1148</v>
      </c>
      <c r="P406" s="318">
        <v>198</v>
      </c>
      <c r="R406" s="320">
        <v>92.222222222222229</v>
      </c>
      <c r="S406" s="318">
        <v>38</v>
      </c>
      <c r="T406" s="318">
        <v>536</v>
      </c>
      <c r="U406" s="318">
        <v>536</v>
      </c>
      <c r="V406" s="315">
        <v>0.2</v>
      </c>
      <c r="W406" s="318">
        <v>246.3</v>
      </c>
      <c r="X406" s="315">
        <v>2</v>
      </c>
      <c r="Y406" s="315" t="s">
        <v>1149</v>
      </c>
      <c r="Z406" s="315">
        <v>0</v>
      </c>
      <c r="AA406" s="315" t="s">
        <v>1157</v>
      </c>
      <c r="AB406" s="315"/>
      <c r="AC406" s="315"/>
      <c r="AD406" s="315"/>
      <c r="AE406" s="315"/>
      <c r="AF406" s="315"/>
      <c r="AG406" s="315"/>
      <c r="AH406" s="315"/>
    </row>
    <row r="407" spans="1:34">
      <c r="A407" s="315" t="s">
        <v>1145</v>
      </c>
      <c r="B407" s="315" t="s">
        <v>1066</v>
      </c>
      <c r="C407" s="316" t="s">
        <v>1373</v>
      </c>
      <c r="D407" s="316" t="s">
        <v>1373</v>
      </c>
      <c r="E407" s="317">
        <v>4.66</v>
      </c>
      <c r="F407" s="317">
        <v>0</v>
      </c>
      <c r="G407" s="317">
        <v>0</v>
      </c>
      <c r="H407" s="317">
        <v>0</v>
      </c>
      <c r="I407" s="318">
        <v>0</v>
      </c>
      <c r="J407" s="318">
        <v>77.0490979729922</v>
      </c>
      <c r="K407" s="319">
        <v>29.582118246085798</v>
      </c>
      <c r="L407" s="319">
        <v>29.582118246085798</v>
      </c>
      <c r="M407" s="319">
        <f t="shared" si="6"/>
        <v>29.582118246085798</v>
      </c>
      <c r="N407" s="317">
        <v>1.3785267102675982</v>
      </c>
      <c r="O407" s="315" t="s">
        <v>1168</v>
      </c>
      <c r="P407" s="318">
        <v>198</v>
      </c>
      <c r="R407" s="320">
        <v>92.222222222222229</v>
      </c>
      <c r="S407" s="318">
        <v>38</v>
      </c>
      <c r="T407" s="318">
        <v>3080</v>
      </c>
      <c r="U407" s="318">
        <v>3080</v>
      </c>
      <c r="V407" s="315">
        <v>0.2</v>
      </c>
      <c r="W407" s="318">
        <v>246.3</v>
      </c>
      <c r="X407" s="315">
        <v>3</v>
      </c>
      <c r="Y407" s="315" t="s">
        <v>1149</v>
      </c>
      <c r="Z407" s="315">
        <v>0</v>
      </c>
      <c r="AA407" s="315" t="s">
        <v>1157</v>
      </c>
      <c r="AB407" s="315"/>
      <c r="AC407" s="315"/>
      <c r="AD407" s="315"/>
      <c r="AE407" s="315"/>
      <c r="AF407" s="315"/>
      <c r="AG407" s="315"/>
      <c r="AH407" s="315"/>
    </row>
    <row r="408" spans="1:34">
      <c r="A408" s="315" t="s">
        <v>1748</v>
      </c>
      <c r="B408" s="315" t="s">
        <v>1066</v>
      </c>
      <c r="C408" s="316" t="s">
        <v>1372</v>
      </c>
      <c r="D408" s="316" t="s">
        <v>1372</v>
      </c>
      <c r="E408" s="317">
        <v>0.681647</v>
      </c>
      <c r="F408" s="317">
        <v>0.55233869999999996</v>
      </c>
      <c r="G408" s="317">
        <v>0.60217179999999992</v>
      </c>
      <c r="H408" s="317">
        <v>0.62524369999999996</v>
      </c>
      <c r="I408" s="318">
        <v>91.725438533434456</v>
      </c>
      <c r="J408" s="318">
        <v>56.633509950538503</v>
      </c>
      <c r="K408" s="319">
        <v>39.419582860620999</v>
      </c>
      <c r="L408" s="319">
        <v>-52.305855672813458</v>
      </c>
      <c r="M408" s="319">
        <f t="shared" si="6"/>
        <v>0</v>
      </c>
      <c r="N408" s="317">
        <v>0</v>
      </c>
      <c r="O408" s="315" t="s">
        <v>1148</v>
      </c>
      <c r="P408" s="318">
        <v>198</v>
      </c>
      <c r="R408" s="320">
        <v>92.222222222222229</v>
      </c>
      <c r="S408" s="318">
        <v>38</v>
      </c>
      <c r="T408" s="318">
        <v>536</v>
      </c>
      <c r="U408" s="318">
        <v>536</v>
      </c>
      <c r="V408" s="315">
        <v>0.2</v>
      </c>
      <c r="W408" s="318">
        <v>246.3</v>
      </c>
      <c r="X408" s="315">
        <v>2</v>
      </c>
      <c r="Y408" s="315" t="s">
        <v>1149</v>
      </c>
      <c r="Z408" s="315">
        <v>0</v>
      </c>
      <c r="AA408" s="315" t="s">
        <v>1157</v>
      </c>
      <c r="AB408" s="315"/>
      <c r="AC408" s="315"/>
      <c r="AD408" s="315"/>
      <c r="AE408" s="315"/>
      <c r="AF408" s="315"/>
      <c r="AG408" s="315"/>
      <c r="AH408" s="315"/>
    </row>
    <row r="409" spans="1:34">
      <c r="A409" s="315" t="s">
        <v>1750</v>
      </c>
      <c r="B409" s="315" t="s">
        <v>1066</v>
      </c>
      <c r="C409" s="316" t="s">
        <v>1374</v>
      </c>
      <c r="D409" s="316" t="s">
        <v>1374</v>
      </c>
      <c r="E409" s="317">
        <v>0.73098200000000002</v>
      </c>
      <c r="F409" s="317">
        <v>0</v>
      </c>
      <c r="G409" s="317">
        <v>0</v>
      </c>
      <c r="H409" s="317">
        <v>0</v>
      </c>
      <c r="I409" s="318">
        <v>0</v>
      </c>
      <c r="J409" s="318">
        <v>59.795793824917197</v>
      </c>
      <c r="K409" s="319">
        <v>38.981576523927203</v>
      </c>
      <c r="L409" s="319">
        <v>38.981576523927203</v>
      </c>
      <c r="M409" s="319">
        <f t="shared" si="6"/>
        <v>38.981576523927203</v>
      </c>
      <c r="N409" s="317">
        <v>0.28494830770613355</v>
      </c>
      <c r="O409" s="315" t="s">
        <v>1168</v>
      </c>
      <c r="P409" s="318">
        <v>198</v>
      </c>
      <c r="R409" s="320">
        <v>92.222222222222229</v>
      </c>
      <c r="S409" s="318">
        <v>38</v>
      </c>
      <c r="T409" s="318">
        <v>202.2</v>
      </c>
      <c r="U409" s="318">
        <v>536</v>
      </c>
      <c r="V409" s="315">
        <v>0.20100000000000001</v>
      </c>
      <c r="W409" s="318">
        <v>204.6</v>
      </c>
      <c r="X409" s="315">
        <v>2</v>
      </c>
      <c r="Y409" s="315" t="s">
        <v>1149</v>
      </c>
      <c r="Z409" s="315">
        <v>0</v>
      </c>
      <c r="AA409" s="315" t="s">
        <v>1157</v>
      </c>
      <c r="AB409" s="315"/>
      <c r="AC409" s="315"/>
      <c r="AD409" s="315"/>
      <c r="AE409" s="315"/>
      <c r="AF409" s="315"/>
      <c r="AG409" s="315"/>
      <c r="AH409" s="315"/>
    </row>
    <row r="410" spans="1:34">
      <c r="A410" s="315" t="s">
        <v>1145</v>
      </c>
      <c r="B410" s="315" t="s">
        <v>1071</v>
      </c>
      <c r="C410" s="316" t="s">
        <v>1464</v>
      </c>
      <c r="D410" s="316" t="s">
        <v>1464</v>
      </c>
      <c r="E410" s="317">
        <v>12.6</v>
      </c>
      <c r="F410" s="317">
        <v>0.83174999999999999</v>
      </c>
      <c r="G410" s="317">
        <v>0.84885929999999998</v>
      </c>
      <c r="H410" s="317">
        <v>2.9641305999999998</v>
      </c>
      <c r="I410" s="318">
        <v>23.52484603174603</v>
      </c>
      <c r="J410" s="318">
        <v>54.819041891656703</v>
      </c>
      <c r="K410" s="319">
        <v>38.162522168327698</v>
      </c>
      <c r="L410" s="319">
        <v>14.637676136581668</v>
      </c>
      <c r="M410" s="319">
        <f t="shared" si="6"/>
        <v>14.637676136581668</v>
      </c>
      <c r="N410" s="317">
        <v>1.8443471932092901</v>
      </c>
      <c r="O410" s="315" t="s">
        <v>1148</v>
      </c>
      <c r="P410" s="318">
        <v>198</v>
      </c>
      <c r="R410" s="320">
        <v>92.222222222222229</v>
      </c>
      <c r="S410" s="318">
        <v>41</v>
      </c>
      <c r="T410" s="318">
        <v>52</v>
      </c>
      <c r="U410" s="318">
        <v>80</v>
      </c>
      <c r="V410" s="315">
        <v>0.17</v>
      </c>
      <c r="W410" s="318">
        <v>101</v>
      </c>
      <c r="X410" s="315">
        <v>0</v>
      </c>
      <c r="Y410" s="315" t="s">
        <v>1149</v>
      </c>
      <c r="Z410" s="315">
        <v>0</v>
      </c>
      <c r="AA410" s="315" t="s">
        <v>1190</v>
      </c>
      <c r="AB410" s="315"/>
      <c r="AC410" s="315"/>
      <c r="AD410" s="315"/>
      <c r="AE410" s="315"/>
      <c r="AF410" s="315"/>
      <c r="AG410" s="315"/>
      <c r="AH410" s="315"/>
    </row>
    <row r="411" spans="1:34">
      <c r="A411" s="315" t="s">
        <v>1145</v>
      </c>
      <c r="B411" s="315" t="s">
        <v>1642</v>
      </c>
      <c r="C411" s="316" t="s">
        <v>1643</v>
      </c>
      <c r="D411" s="316" t="s">
        <v>1643</v>
      </c>
      <c r="E411" s="317">
        <v>50.9244895</v>
      </c>
      <c r="F411" s="317">
        <v>12.470132974578288</v>
      </c>
      <c r="G411" s="317">
        <v>13.344124074578287</v>
      </c>
      <c r="H411" s="317">
        <v>14.278385674578288</v>
      </c>
      <c r="I411" s="318">
        <v>28.038348179373084</v>
      </c>
      <c r="J411" s="318">
        <v>68.589110775062196</v>
      </c>
      <c r="K411" s="319">
        <v>33.321858032740799</v>
      </c>
      <c r="L411" s="319">
        <v>5.2835098533677147</v>
      </c>
      <c r="M411" s="319">
        <f t="shared" si="6"/>
        <v>5.2835098533677147</v>
      </c>
      <c r="N411" s="317">
        <v>2.6906004205097074</v>
      </c>
      <c r="O411" s="315" t="s">
        <v>1148</v>
      </c>
      <c r="P411" s="318">
        <v>198</v>
      </c>
      <c r="R411" s="320">
        <v>92.222222222222229</v>
      </c>
      <c r="S411" s="318">
        <v>40.299999999999997</v>
      </c>
      <c r="T411" s="318">
        <v>89</v>
      </c>
      <c r="U411" s="318">
        <v>194</v>
      </c>
      <c r="V411" s="315">
        <v>0.24</v>
      </c>
      <c r="W411" s="318">
        <v>852</v>
      </c>
      <c r="X411" s="315">
        <v>2</v>
      </c>
      <c r="Y411" s="315" t="s">
        <v>1149</v>
      </c>
      <c r="Z411" s="315">
        <v>0</v>
      </c>
      <c r="AA411" s="315" t="s">
        <v>1157</v>
      </c>
      <c r="AB411" s="315"/>
      <c r="AC411" s="315"/>
      <c r="AD411" s="315"/>
      <c r="AE411" s="315"/>
      <c r="AF411" s="315"/>
      <c r="AG411" s="315"/>
      <c r="AH411" s="315"/>
    </row>
    <row r="412" spans="1:34">
      <c r="A412" s="315" t="s">
        <v>1145</v>
      </c>
      <c r="B412" s="315" t="s">
        <v>1642</v>
      </c>
      <c r="C412" s="316" t="s">
        <v>1644</v>
      </c>
      <c r="D412" s="316" t="s">
        <v>1644</v>
      </c>
      <c r="E412" s="317">
        <v>41.2788945</v>
      </c>
      <c r="F412" s="317">
        <v>4.5871420386535222</v>
      </c>
      <c r="G412" s="317">
        <v>4.5871420386535222</v>
      </c>
      <c r="H412" s="317">
        <v>4.9955018386535226</v>
      </c>
      <c r="I412" s="318">
        <v>12.101830485439775</v>
      </c>
      <c r="J412" s="318">
        <v>70.165666521661905</v>
      </c>
      <c r="K412" s="319">
        <v>33.163000983025199</v>
      </c>
      <c r="L412" s="319">
        <v>21.061170497585422</v>
      </c>
      <c r="M412" s="319">
        <f t="shared" si="6"/>
        <v>21.061170497585422</v>
      </c>
      <c r="N412" s="317">
        <v>8.6938183501634114</v>
      </c>
      <c r="O412" s="315" t="s">
        <v>1148</v>
      </c>
      <c r="P412" s="318">
        <v>198</v>
      </c>
      <c r="R412" s="320">
        <v>92.222222222222229</v>
      </c>
      <c r="S412" s="318">
        <v>40.299999999999997</v>
      </c>
      <c r="T412" s="318">
        <v>138</v>
      </c>
      <c r="U412" s="318">
        <v>106.5</v>
      </c>
      <c r="V412" s="315">
        <v>0.22</v>
      </c>
      <c r="W412" s="318">
        <v>1000</v>
      </c>
      <c r="X412" s="315">
        <v>8</v>
      </c>
      <c r="Y412" s="315" t="s">
        <v>1149</v>
      </c>
      <c r="Z412" s="315">
        <v>0</v>
      </c>
      <c r="AA412" s="315" t="s">
        <v>1157</v>
      </c>
      <c r="AB412" s="315"/>
      <c r="AC412" s="315"/>
      <c r="AD412" s="315"/>
      <c r="AE412" s="315"/>
      <c r="AF412" s="315"/>
      <c r="AG412" s="315"/>
      <c r="AH412" s="315"/>
    </row>
    <row r="413" spans="1:34">
      <c r="A413" s="315" t="s">
        <v>1145</v>
      </c>
      <c r="B413" s="315" t="s">
        <v>1642</v>
      </c>
      <c r="C413" s="316" t="s">
        <v>1645</v>
      </c>
      <c r="D413" s="316" t="s">
        <v>1645</v>
      </c>
      <c r="E413" s="317">
        <v>15.396225400000001</v>
      </c>
      <c r="F413" s="317">
        <v>3.5251064660481464</v>
      </c>
      <c r="G413" s="317">
        <v>3.6430579660481466</v>
      </c>
      <c r="H413" s="317">
        <v>3.9347438660481466</v>
      </c>
      <c r="I413" s="318">
        <v>25.556548854163609</v>
      </c>
      <c r="J413" s="318">
        <v>71.574671820540004</v>
      </c>
      <c r="K413" s="319">
        <v>32.078500301417399</v>
      </c>
      <c r="L413" s="319">
        <v>6.5219514472537909</v>
      </c>
      <c r="M413" s="319">
        <f t="shared" si="6"/>
        <v>6.5219514472537909</v>
      </c>
      <c r="N413" s="317">
        <v>1.0041343452977558</v>
      </c>
      <c r="O413" s="315" t="s">
        <v>1148</v>
      </c>
      <c r="P413" s="318">
        <v>198</v>
      </c>
      <c r="R413" s="320">
        <v>92.222222222222229</v>
      </c>
      <c r="S413" s="318">
        <v>40.299999999999997</v>
      </c>
      <c r="T413" s="318">
        <v>150</v>
      </c>
      <c r="U413" s="318">
        <v>22</v>
      </c>
      <c r="V413" s="315">
        <v>0.24</v>
      </c>
      <c r="W413" s="318">
        <v>700</v>
      </c>
      <c r="X413" s="315">
        <v>4</v>
      </c>
      <c r="Y413" s="315" t="s">
        <v>1149</v>
      </c>
      <c r="Z413" s="315">
        <v>0</v>
      </c>
      <c r="AA413" s="315" t="s">
        <v>1157</v>
      </c>
      <c r="AB413" s="315"/>
      <c r="AC413" s="315"/>
      <c r="AD413" s="315"/>
      <c r="AE413" s="315"/>
      <c r="AF413" s="315"/>
      <c r="AG413" s="315"/>
      <c r="AH413" s="315"/>
    </row>
    <row r="414" spans="1:34">
      <c r="A414" s="315" t="s">
        <v>1758</v>
      </c>
      <c r="B414" s="315" t="s">
        <v>663</v>
      </c>
      <c r="C414" s="316" t="s">
        <v>1902</v>
      </c>
      <c r="D414" s="316" t="s">
        <v>1902</v>
      </c>
      <c r="E414" s="317">
        <v>6.69</v>
      </c>
      <c r="F414" s="317">
        <v>0</v>
      </c>
      <c r="G414" s="317">
        <v>0</v>
      </c>
      <c r="H414" s="317">
        <v>0</v>
      </c>
      <c r="I414" s="318">
        <v>0</v>
      </c>
      <c r="J414" s="318">
        <v>77.083553446724494</v>
      </c>
      <c r="K414" s="319">
        <v>24.772771786460702</v>
      </c>
      <c r="L414" s="319">
        <v>24.772771786460702</v>
      </c>
      <c r="M414" s="319">
        <f t="shared" si="6"/>
        <v>24.772771786460702</v>
      </c>
      <c r="N414" s="317">
        <v>1.657298432514221</v>
      </c>
      <c r="O414" s="315" t="s">
        <v>1168</v>
      </c>
      <c r="P414" s="318">
        <v>198</v>
      </c>
      <c r="R414" s="320">
        <v>92.222222222222229</v>
      </c>
      <c r="S414" s="318">
        <v>34</v>
      </c>
      <c r="T414" s="318">
        <v>37.65</v>
      </c>
      <c r="U414" s="318">
        <v>630</v>
      </c>
      <c r="V414" s="315">
        <v>0.17</v>
      </c>
      <c r="W414" s="318">
        <v>10</v>
      </c>
      <c r="X414" s="315">
        <v>0</v>
      </c>
      <c r="Y414" s="315" t="s">
        <v>1149</v>
      </c>
      <c r="Z414" s="315">
        <v>0</v>
      </c>
      <c r="AA414" s="315" t="s">
        <v>1150</v>
      </c>
      <c r="AB414" s="315"/>
      <c r="AC414" s="315"/>
      <c r="AD414" s="315"/>
      <c r="AE414" s="315"/>
      <c r="AF414" s="315"/>
      <c r="AG414" s="315"/>
      <c r="AH414" s="315"/>
    </row>
    <row r="415" spans="1:34">
      <c r="A415" s="315" t="s">
        <v>1145</v>
      </c>
      <c r="B415" s="315" t="s">
        <v>648</v>
      </c>
      <c r="C415" s="316" t="s">
        <v>1506</v>
      </c>
      <c r="D415" s="316" t="s">
        <v>1506</v>
      </c>
      <c r="E415" s="317">
        <v>8.7212800000000001</v>
      </c>
      <c r="F415" s="317">
        <v>2.3898009999999998</v>
      </c>
      <c r="G415" s="317">
        <v>2.3898009999999998</v>
      </c>
      <c r="H415" s="317">
        <v>2.3898009999999998</v>
      </c>
      <c r="I415" s="318">
        <v>27.401952465693107</v>
      </c>
      <c r="J415" s="318">
        <v>59.835469977931702</v>
      </c>
      <c r="K415" s="319">
        <v>37.7458399958199</v>
      </c>
      <c r="L415" s="319">
        <v>10.343887530126793</v>
      </c>
      <c r="M415" s="319">
        <f t="shared" si="6"/>
        <v>10.343887530126793</v>
      </c>
      <c r="N415" s="317">
        <v>0.90211939438744193</v>
      </c>
      <c r="O415" s="315" t="s">
        <v>1148</v>
      </c>
      <c r="P415" s="318">
        <v>198.25</v>
      </c>
      <c r="R415" s="320">
        <v>92.361111111111114</v>
      </c>
      <c r="S415" s="318">
        <v>38.4</v>
      </c>
      <c r="T415" s="318">
        <v>0</v>
      </c>
      <c r="U415" s="318">
        <v>220</v>
      </c>
      <c r="V415" s="315">
        <v>0.24</v>
      </c>
      <c r="W415" s="318">
        <v>272</v>
      </c>
      <c r="X415" s="315">
        <v>3</v>
      </c>
      <c r="Y415" s="315" t="s">
        <v>1149</v>
      </c>
      <c r="Z415" s="315">
        <v>0</v>
      </c>
      <c r="AA415" s="315" t="s">
        <v>1157</v>
      </c>
      <c r="AB415" s="315"/>
      <c r="AC415" s="315"/>
      <c r="AD415" s="315"/>
      <c r="AE415" s="315"/>
      <c r="AF415" s="315"/>
      <c r="AG415" s="315"/>
      <c r="AH415" s="315"/>
    </row>
    <row r="416" spans="1:34">
      <c r="A416" s="315" t="s">
        <v>1145</v>
      </c>
      <c r="B416" s="315" t="s">
        <v>1071</v>
      </c>
      <c r="C416" s="316" t="s">
        <v>1465</v>
      </c>
      <c r="D416" s="316" t="s">
        <v>1465</v>
      </c>
      <c r="E416" s="317">
        <v>18.2</v>
      </c>
      <c r="F416" s="317">
        <v>6.3718007999999999</v>
      </c>
      <c r="G416" s="317">
        <v>6.5047920000000001</v>
      </c>
      <c r="H416" s="317">
        <v>8.7183340999999999</v>
      </c>
      <c r="I416" s="318">
        <v>47.902934615384616</v>
      </c>
      <c r="J416" s="318">
        <v>52.695415453337702</v>
      </c>
      <c r="K416" s="319">
        <v>44.121413760135503</v>
      </c>
      <c r="L416" s="319">
        <v>-3.7815208552491129</v>
      </c>
      <c r="M416" s="319">
        <f t="shared" si="6"/>
        <v>0</v>
      </c>
      <c r="N416" s="317">
        <v>0</v>
      </c>
      <c r="O416" s="315" t="s">
        <v>1148</v>
      </c>
      <c r="P416" s="318">
        <v>199</v>
      </c>
      <c r="R416" s="320">
        <v>92.777777777777771</v>
      </c>
      <c r="S416" s="318">
        <v>37.200000000000003</v>
      </c>
      <c r="T416" s="318">
        <v>41</v>
      </c>
      <c r="U416" s="318">
        <v>125</v>
      </c>
      <c r="V416" s="315">
        <v>0.18</v>
      </c>
      <c r="W416" s="318">
        <v>306</v>
      </c>
      <c r="X416" s="315">
        <v>1</v>
      </c>
      <c r="Y416" s="315" t="s">
        <v>1149</v>
      </c>
      <c r="Z416" s="315">
        <v>0</v>
      </c>
      <c r="AA416" s="315" t="s">
        <v>1190</v>
      </c>
      <c r="AB416" s="315"/>
      <c r="AC416" s="315"/>
      <c r="AD416" s="315"/>
      <c r="AE416" s="315"/>
      <c r="AF416" s="315"/>
      <c r="AG416" s="315"/>
      <c r="AH416" s="315"/>
    </row>
    <row r="417" spans="1:34">
      <c r="A417" s="315" t="s">
        <v>1145</v>
      </c>
      <c r="B417" s="315" t="s">
        <v>1071</v>
      </c>
      <c r="C417" s="316" t="s">
        <v>1466</v>
      </c>
      <c r="D417" s="316" t="s">
        <v>1466</v>
      </c>
      <c r="E417" s="317">
        <v>49.2</v>
      </c>
      <c r="F417" s="317">
        <v>11.502136699999999</v>
      </c>
      <c r="G417" s="317">
        <v>11.808855099999999</v>
      </c>
      <c r="H417" s="317">
        <v>14.720390499999999</v>
      </c>
      <c r="I417" s="318">
        <v>29.919492886178855</v>
      </c>
      <c r="J417" s="318">
        <v>61.475221807976602</v>
      </c>
      <c r="K417" s="319">
        <v>40.953998985762404</v>
      </c>
      <c r="L417" s="319">
        <v>11.034506099583549</v>
      </c>
      <c r="M417" s="319">
        <f t="shared" si="6"/>
        <v>11.034506099583549</v>
      </c>
      <c r="N417" s="317">
        <v>5.4289770009951068</v>
      </c>
      <c r="O417" s="315" t="s">
        <v>1148</v>
      </c>
      <c r="P417" s="318">
        <v>199</v>
      </c>
      <c r="R417" s="320">
        <v>92.777777777777771</v>
      </c>
      <c r="S417" s="318">
        <v>41</v>
      </c>
      <c r="T417" s="318">
        <v>16</v>
      </c>
      <c r="U417" s="318">
        <v>170</v>
      </c>
      <c r="V417" s="315">
        <v>0.18</v>
      </c>
      <c r="W417" s="318">
        <v>172</v>
      </c>
      <c r="X417" s="315">
        <v>2</v>
      </c>
      <c r="Y417" s="315" t="s">
        <v>1149</v>
      </c>
      <c r="Z417" s="315">
        <v>0</v>
      </c>
      <c r="AA417" s="315" t="s">
        <v>1190</v>
      </c>
      <c r="AB417" s="315"/>
      <c r="AC417" s="315"/>
      <c r="AD417" s="315"/>
      <c r="AE417" s="315"/>
      <c r="AF417" s="315"/>
      <c r="AG417" s="315"/>
      <c r="AH417" s="315"/>
    </row>
    <row r="418" spans="1:34">
      <c r="A418" s="315" t="s">
        <v>1145</v>
      </c>
      <c r="B418" s="315" t="s">
        <v>737</v>
      </c>
      <c r="C418" s="316" t="s">
        <v>1962</v>
      </c>
      <c r="D418" s="316" t="s">
        <v>1962</v>
      </c>
      <c r="E418" s="317">
        <v>116.3</v>
      </c>
      <c r="F418" s="317">
        <v>51.290199999999999</v>
      </c>
      <c r="G418" s="317">
        <v>51.290199999999999</v>
      </c>
      <c r="H418" s="317">
        <v>51.290199999999999</v>
      </c>
      <c r="I418" s="318">
        <v>44.101633705932933</v>
      </c>
      <c r="J418" s="318">
        <v>57.531273344246898</v>
      </c>
      <c r="K418" s="319">
        <v>43.573790094409794</v>
      </c>
      <c r="L418" s="319">
        <v>-0.52784361152313863</v>
      </c>
      <c r="M418" s="319">
        <f t="shared" si="6"/>
        <v>0</v>
      </c>
      <c r="N418" s="317">
        <v>0</v>
      </c>
      <c r="O418" s="315" t="s">
        <v>1148</v>
      </c>
      <c r="P418" s="318">
        <v>199</v>
      </c>
      <c r="R418" s="320">
        <v>92.777777777777771</v>
      </c>
      <c r="S418" s="318">
        <v>46.2</v>
      </c>
      <c r="T418" s="318">
        <v>105.64150339888236</v>
      </c>
      <c r="U418" s="318">
        <v>223.108</v>
      </c>
      <c r="V418" s="315">
        <v>0.24404735942163366</v>
      </c>
      <c r="W418" s="318">
        <v>209.375</v>
      </c>
      <c r="X418" s="315">
        <v>21</v>
      </c>
      <c r="Y418" s="315" t="s">
        <v>1440</v>
      </c>
      <c r="Z418" s="315">
        <v>0</v>
      </c>
      <c r="AA418" s="315" t="s">
        <v>1150</v>
      </c>
      <c r="AB418" s="315"/>
      <c r="AC418" s="315"/>
      <c r="AD418" s="315"/>
      <c r="AE418" s="315"/>
      <c r="AF418" s="315"/>
      <c r="AG418" s="315"/>
      <c r="AH418" s="315"/>
    </row>
    <row r="419" spans="1:34">
      <c r="A419" s="315" t="s">
        <v>1229</v>
      </c>
      <c r="B419" s="315" t="s">
        <v>737</v>
      </c>
      <c r="C419" s="316" t="s">
        <v>1964</v>
      </c>
      <c r="D419" s="316" t="s">
        <v>1964</v>
      </c>
      <c r="E419" s="317">
        <v>103.45</v>
      </c>
      <c r="F419" s="317">
        <v>52.742899999999999</v>
      </c>
      <c r="G419" s="317">
        <v>52.742899999999999</v>
      </c>
      <c r="H419" s="317">
        <v>52.742899999999999</v>
      </c>
      <c r="I419" s="318">
        <v>50.983953600773312</v>
      </c>
      <c r="J419" s="318">
        <v>50.328033689181296</v>
      </c>
      <c r="K419" s="319">
        <v>45.53778942268</v>
      </c>
      <c r="L419" s="319">
        <v>-5.4461641780933121</v>
      </c>
      <c r="M419" s="319">
        <f t="shared" si="6"/>
        <v>0</v>
      </c>
      <c r="N419" s="317">
        <v>0</v>
      </c>
      <c r="O419" s="315" t="s">
        <v>1148</v>
      </c>
      <c r="P419" s="318">
        <v>199</v>
      </c>
      <c r="R419" s="320">
        <v>92.777777777777771</v>
      </c>
      <c r="S419" s="318">
        <v>46.2</v>
      </c>
      <c r="T419" s="318">
        <v>159.91594000000001</v>
      </c>
      <c r="U419" s="318">
        <v>223.108</v>
      </c>
      <c r="V419" s="315">
        <v>0.28599999999999998</v>
      </c>
      <c r="W419" s="318">
        <v>1000</v>
      </c>
      <c r="X419" s="315">
        <v>16</v>
      </c>
      <c r="Y419" s="315" t="s">
        <v>1149</v>
      </c>
      <c r="Z419" s="315">
        <v>0</v>
      </c>
      <c r="AA419" s="315" t="s">
        <v>1157</v>
      </c>
      <c r="AB419" s="315"/>
      <c r="AC419" s="315"/>
      <c r="AD419" s="315"/>
      <c r="AE419" s="315"/>
      <c r="AF419" s="315"/>
      <c r="AG419" s="315"/>
      <c r="AH419" s="315"/>
    </row>
    <row r="420" spans="1:34">
      <c r="A420" s="315" t="s">
        <v>1145</v>
      </c>
      <c r="B420" s="315" t="s">
        <v>1066</v>
      </c>
      <c r="C420" s="316" t="s">
        <v>1375</v>
      </c>
      <c r="D420" s="316" t="s">
        <v>1375</v>
      </c>
      <c r="E420" s="317">
        <v>2.69</v>
      </c>
      <c r="F420" s="317">
        <v>0</v>
      </c>
      <c r="G420" s="317">
        <v>0</v>
      </c>
      <c r="H420" s="317">
        <v>0</v>
      </c>
      <c r="I420" s="318">
        <v>0</v>
      </c>
      <c r="J420" s="318">
        <v>77.638466961971105</v>
      </c>
      <c r="K420" s="319">
        <v>26.599897541285699</v>
      </c>
      <c r="L420" s="319">
        <v>26.599897541285699</v>
      </c>
      <c r="M420" s="319">
        <f t="shared" si="6"/>
        <v>26.599897541285699</v>
      </c>
      <c r="N420" s="317">
        <v>0.71553724386058526</v>
      </c>
      <c r="O420" s="315" t="s">
        <v>1168</v>
      </c>
      <c r="P420" s="318">
        <v>200</v>
      </c>
      <c r="R420" s="320">
        <v>93.333333333333329</v>
      </c>
      <c r="S420" s="318">
        <v>40</v>
      </c>
      <c r="T420" s="318">
        <v>142.30000000000001</v>
      </c>
      <c r="U420" s="318">
        <v>363.5</v>
      </c>
      <c r="V420" s="315">
        <v>0.10299999999999999</v>
      </c>
      <c r="W420" s="318">
        <v>3.27</v>
      </c>
      <c r="X420" s="315">
        <v>1</v>
      </c>
      <c r="Y420" s="315" t="s">
        <v>1149</v>
      </c>
      <c r="Z420" s="315">
        <v>0</v>
      </c>
      <c r="AA420" s="315" t="s">
        <v>1157</v>
      </c>
      <c r="AB420" s="316">
        <v>0</v>
      </c>
      <c r="AC420" s="316">
        <v>2692</v>
      </c>
      <c r="AD420" s="316">
        <v>2640</v>
      </c>
      <c r="AE420" s="316">
        <v>0.3</v>
      </c>
      <c r="AF420" s="316">
        <v>1.3959999999999999</v>
      </c>
      <c r="AG420" s="316">
        <v>0.36</v>
      </c>
      <c r="AH420" s="316">
        <v>668</v>
      </c>
    </row>
    <row r="421" spans="1:34">
      <c r="A421" s="315" t="s">
        <v>1772</v>
      </c>
      <c r="B421" s="315" t="s">
        <v>1425</v>
      </c>
      <c r="C421" s="316" t="s">
        <v>1426</v>
      </c>
      <c r="D421" s="316" t="s">
        <v>1427</v>
      </c>
      <c r="E421" s="317">
        <v>17.664999999999999</v>
      </c>
      <c r="F421" s="317">
        <v>13.645280554920687</v>
      </c>
      <c r="G421" s="317">
        <v>13.645280554920687</v>
      </c>
      <c r="H421" s="317">
        <v>13.645280554920687</v>
      </c>
      <c r="I421" s="318">
        <v>77.244724341470075</v>
      </c>
      <c r="J421" s="318">
        <v>64.685012522808805</v>
      </c>
      <c r="K421" s="319">
        <v>34.194382427183399</v>
      </c>
      <c r="L421" s="319">
        <v>-43.050341914286676</v>
      </c>
      <c r="M421" s="319">
        <f t="shared" si="6"/>
        <v>0</v>
      </c>
      <c r="N421" s="317">
        <v>0</v>
      </c>
      <c r="O421" s="315" t="s">
        <v>1148</v>
      </c>
      <c r="P421" s="318">
        <v>200</v>
      </c>
      <c r="R421" s="320">
        <v>93.333333333333329</v>
      </c>
      <c r="S421" s="318">
        <v>34</v>
      </c>
      <c r="T421" s="318">
        <v>90</v>
      </c>
      <c r="U421" s="318">
        <v>319.5</v>
      </c>
      <c r="V421" s="315">
        <v>0.183</v>
      </c>
      <c r="W421" s="318">
        <v>10</v>
      </c>
      <c r="X421" s="315">
        <v>1</v>
      </c>
      <c r="Y421" s="315" t="s">
        <v>1149</v>
      </c>
      <c r="Z421" s="315">
        <v>0</v>
      </c>
      <c r="AA421" s="315" t="s">
        <v>1150</v>
      </c>
      <c r="AB421" s="315"/>
      <c r="AC421" s="315"/>
      <c r="AD421" s="315"/>
      <c r="AE421" s="315"/>
      <c r="AF421" s="315"/>
      <c r="AG421" s="315"/>
      <c r="AH421" s="315"/>
    </row>
    <row r="422" spans="1:34">
      <c r="A422" s="315" t="s">
        <v>1145</v>
      </c>
      <c r="B422" s="315" t="s">
        <v>696</v>
      </c>
      <c r="C422" s="316" t="s">
        <v>1533</v>
      </c>
      <c r="D422" s="316" t="s">
        <v>1533</v>
      </c>
      <c r="E422" s="317">
        <v>24.05</v>
      </c>
      <c r="F422" s="317">
        <v>8.4342824933965179</v>
      </c>
      <c r="G422" s="317">
        <v>9.0578518237438317</v>
      </c>
      <c r="H422" s="317">
        <v>9.0578518237438317</v>
      </c>
      <c r="I422" s="318">
        <v>37.662585545712396</v>
      </c>
      <c r="J422" s="318">
        <v>57.490523804396702</v>
      </c>
      <c r="K422" s="319">
        <v>36.596713166494702</v>
      </c>
      <c r="L422" s="319">
        <v>-1.0658723792176943</v>
      </c>
      <c r="M422" s="319">
        <f t="shared" si="6"/>
        <v>0</v>
      </c>
      <c r="N422" s="317">
        <v>0</v>
      </c>
      <c r="O422" s="315" t="s">
        <v>1148</v>
      </c>
      <c r="P422" s="318">
        <v>200</v>
      </c>
      <c r="R422" s="320">
        <v>93.333333333333329</v>
      </c>
      <c r="S422" s="318">
        <v>35.49</v>
      </c>
      <c r="T422" s="318">
        <v>150</v>
      </c>
      <c r="U422" s="318">
        <v>209.5</v>
      </c>
      <c r="V422" s="315">
        <v>0.22</v>
      </c>
      <c r="W422" s="318">
        <v>42</v>
      </c>
      <c r="X422" s="315">
        <v>22</v>
      </c>
      <c r="Y422" s="315" t="s">
        <v>1154</v>
      </c>
      <c r="Z422" s="315">
        <v>6</v>
      </c>
      <c r="AA422" s="315" t="s">
        <v>1435</v>
      </c>
      <c r="AB422" s="315"/>
      <c r="AC422" s="315"/>
      <c r="AD422" s="315"/>
      <c r="AE422" s="315"/>
      <c r="AF422" s="315"/>
      <c r="AG422" s="315"/>
      <c r="AH422" s="315"/>
    </row>
    <row r="423" spans="1:34">
      <c r="A423" s="315" t="s">
        <v>1485</v>
      </c>
      <c r="B423" s="315" t="s">
        <v>696</v>
      </c>
      <c r="C423" s="316" t="s">
        <v>1534</v>
      </c>
      <c r="D423" s="316" t="s">
        <v>1534</v>
      </c>
      <c r="E423" s="317">
        <v>22.65</v>
      </c>
      <c r="F423" s="317">
        <v>6.1316065301300942</v>
      </c>
      <c r="G423" s="317">
        <v>6.5913170305948388</v>
      </c>
      <c r="H423" s="317">
        <v>6.5913170305948388</v>
      </c>
      <c r="I423" s="318">
        <v>29.100737441919822</v>
      </c>
      <c r="J423" s="318">
        <v>47.493139771560102</v>
      </c>
      <c r="K423" s="319">
        <v>43.730722467973202</v>
      </c>
      <c r="L423" s="319">
        <v>14.629985026053379</v>
      </c>
      <c r="M423" s="319">
        <f t="shared" si="6"/>
        <v>14.629985026053379</v>
      </c>
      <c r="N423" s="317">
        <v>3.3136916084010903</v>
      </c>
      <c r="O423" s="315" t="s">
        <v>1148</v>
      </c>
      <c r="P423" s="318">
        <v>200</v>
      </c>
      <c r="R423" s="320">
        <v>93.333333333333329</v>
      </c>
      <c r="S423" s="318">
        <v>35</v>
      </c>
      <c r="T423" s="318">
        <v>399.33333333333331</v>
      </c>
      <c r="U423" s="318">
        <v>24</v>
      </c>
      <c r="V423" s="315">
        <v>0.24</v>
      </c>
      <c r="W423" s="318">
        <v>80</v>
      </c>
      <c r="X423" s="315">
        <v>10</v>
      </c>
      <c r="Y423" s="315" t="s">
        <v>1420</v>
      </c>
      <c r="Z423" s="315">
        <v>5</v>
      </c>
      <c r="AA423" s="315" t="s">
        <v>1435</v>
      </c>
      <c r="AB423" s="315"/>
      <c r="AC423" s="315"/>
      <c r="AD423" s="315"/>
      <c r="AE423" s="315"/>
      <c r="AF423" s="315"/>
      <c r="AG423" s="315"/>
      <c r="AH423" s="315"/>
    </row>
    <row r="424" spans="1:34">
      <c r="A424" s="315" t="s">
        <v>1145</v>
      </c>
      <c r="B424" s="315" t="s">
        <v>696</v>
      </c>
      <c r="C424" s="316" t="s">
        <v>1535</v>
      </c>
      <c r="D424" s="316" t="s">
        <v>1535</v>
      </c>
      <c r="E424" s="317">
        <v>7.38</v>
      </c>
      <c r="F424" s="317">
        <v>0</v>
      </c>
      <c r="G424" s="317">
        <v>0</v>
      </c>
      <c r="H424" s="317">
        <v>0.58967260484904538</v>
      </c>
      <c r="I424" s="318">
        <v>7.9901436971415372</v>
      </c>
      <c r="J424" s="318">
        <v>50.967298557669302</v>
      </c>
      <c r="K424" s="319">
        <v>43.292097158398001</v>
      </c>
      <c r="L424" s="319">
        <v>35.30195346125646</v>
      </c>
      <c r="M424" s="319">
        <f t="shared" si="6"/>
        <v>35.30195346125646</v>
      </c>
      <c r="N424" s="317">
        <v>2.6052841654407266</v>
      </c>
      <c r="O424" s="315" t="s">
        <v>1168</v>
      </c>
      <c r="P424" s="318">
        <v>200</v>
      </c>
      <c r="R424" s="320">
        <v>93.333333333333329</v>
      </c>
      <c r="S424" s="318">
        <v>36</v>
      </c>
      <c r="T424" s="318">
        <v>213</v>
      </c>
      <c r="U424" s="318">
        <v>85</v>
      </c>
      <c r="V424" s="315">
        <v>0.24</v>
      </c>
      <c r="W424" s="318">
        <v>90</v>
      </c>
      <c r="X424" s="315">
        <v>4</v>
      </c>
      <c r="Y424" s="315" t="s">
        <v>1154</v>
      </c>
      <c r="Z424" s="315">
        <v>2</v>
      </c>
      <c r="AA424" s="315" t="s">
        <v>1435</v>
      </c>
      <c r="AB424" s="315"/>
      <c r="AC424" s="315"/>
      <c r="AD424" s="315"/>
      <c r="AE424" s="315"/>
      <c r="AF424" s="315"/>
      <c r="AG424" s="315"/>
      <c r="AH424" s="315"/>
    </row>
    <row r="425" spans="1:34">
      <c r="A425" s="315" t="s">
        <v>1782</v>
      </c>
      <c r="B425" s="315" t="s">
        <v>696</v>
      </c>
      <c r="C425" s="316" t="s">
        <v>1536</v>
      </c>
      <c r="D425" s="316" t="s">
        <v>1536</v>
      </c>
      <c r="E425" s="317">
        <v>5.65</v>
      </c>
      <c r="F425" s="317">
        <v>0</v>
      </c>
      <c r="G425" s="317">
        <v>0</v>
      </c>
      <c r="H425" s="317">
        <v>0.29721714315770437</v>
      </c>
      <c r="I425" s="318">
        <v>5.2604804098708735</v>
      </c>
      <c r="J425" s="318">
        <v>48.596451069716103</v>
      </c>
      <c r="K425" s="319">
        <v>43.5294159248526</v>
      </c>
      <c r="L425" s="319">
        <v>38.268935514981727</v>
      </c>
      <c r="M425" s="319">
        <f t="shared" si="6"/>
        <v>38.268935514981727</v>
      </c>
      <c r="N425" s="317">
        <v>2.1621948565964679</v>
      </c>
      <c r="O425" s="315" t="s">
        <v>1168</v>
      </c>
      <c r="P425" s="318">
        <v>200</v>
      </c>
      <c r="R425" s="320">
        <v>93.333333333333329</v>
      </c>
      <c r="S425" s="318">
        <v>38.47</v>
      </c>
      <c r="T425" s="318">
        <v>318.33333333333331</v>
      </c>
      <c r="U425" s="318">
        <v>96</v>
      </c>
      <c r="V425" s="315">
        <v>0.23</v>
      </c>
      <c r="W425" s="318">
        <v>100</v>
      </c>
      <c r="X425" s="315">
        <v>0</v>
      </c>
      <c r="Y425" s="315" t="s">
        <v>1420</v>
      </c>
      <c r="Z425" s="315">
        <v>4</v>
      </c>
      <c r="AA425" s="315" t="s">
        <v>1435</v>
      </c>
      <c r="AB425" s="315"/>
      <c r="AC425" s="315"/>
      <c r="AD425" s="315"/>
      <c r="AE425" s="315"/>
      <c r="AF425" s="315"/>
      <c r="AG425" s="315"/>
      <c r="AH425" s="315"/>
    </row>
    <row r="426" spans="1:34">
      <c r="A426" s="315" t="s">
        <v>1145</v>
      </c>
      <c r="B426" s="315" t="s">
        <v>696</v>
      </c>
      <c r="C426" s="316" t="s">
        <v>1537</v>
      </c>
      <c r="D426" s="316" t="s">
        <v>1537</v>
      </c>
      <c r="E426" s="317">
        <v>20.63</v>
      </c>
      <c r="F426" s="317">
        <v>3.0305426941895299</v>
      </c>
      <c r="G426" s="317">
        <v>3.2559626982915009</v>
      </c>
      <c r="H426" s="317">
        <v>3.2559626982915009</v>
      </c>
      <c r="I426" s="318">
        <v>15.782659710574412</v>
      </c>
      <c r="J426" s="318">
        <v>48.389118761287897</v>
      </c>
      <c r="K426" s="319">
        <v>44.146613071843596</v>
      </c>
      <c r="L426" s="319">
        <v>28.363953361269182</v>
      </c>
      <c r="M426" s="319">
        <f t="shared" si="6"/>
        <v>28.363953361269182</v>
      </c>
      <c r="N426" s="317">
        <v>5.851483578429832</v>
      </c>
      <c r="O426" s="315" t="s">
        <v>1148</v>
      </c>
      <c r="P426" s="318">
        <v>200</v>
      </c>
      <c r="R426" s="320">
        <v>93.333333333333329</v>
      </c>
      <c r="S426" s="318">
        <v>36</v>
      </c>
      <c r="T426" s="318">
        <v>908.33333333333337</v>
      </c>
      <c r="U426" s="318">
        <v>96</v>
      </c>
      <c r="V426" s="315">
        <v>0.25</v>
      </c>
      <c r="W426" s="318">
        <v>100</v>
      </c>
      <c r="X426" s="315">
        <v>0</v>
      </c>
      <c r="Y426" s="315" t="s">
        <v>1420</v>
      </c>
      <c r="Z426" s="315">
        <v>4</v>
      </c>
      <c r="AA426" s="315" t="s">
        <v>1435</v>
      </c>
      <c r="AB426" s="315"/>
      <c r="AC426" s="315"/>
      <c r="AD426" s="315"/>
      <c r="AE426" s="315"/>
      <c r="AF426" s="315"/>
      <c r="AG426" s="315"/>
      <c r="AH426" s="315"/>
    </row>
    <row r="427" spans="1:34">
      <c r="A427" s="315" t="s">
        <v>1145</v>
      </c>
      <c r="B427" s="315" t="s">
        <v>696</v>
      </c>
      <c r="C427" s="316" t="s">
        <v>1538</v>
      </c>
      <c r="D427" s="316" t="s">
        <v>1538</v>
      </c>
      <c r="E427" s="317">
        <v>11.07</v>
      </c>
      <c r="F427" s="317">
        <v>0</v>
      </c>
      <c r="G427" s="317">
        <v>0</v>
      </c>
      <c r="H427" s="317">
        <v>0</v>
      </c>
      <c r="I427" s="318">
        <v>0</v>
      </c>
      <c r="J427" s="318">
        <v>49.405099369565399</v>
      </c>
      <c r="K427" s="319">
        <v>43.1181481032569</v>
      </c>
      <c r="L427" s="319">
        <v>43.1181481032569</v>
      </c>
      <c r="M427" s="319">
        <f t="shared" si="6"/>
        <v>43.1181481032569</v>
      </c>
      <c r="N427" s="317">
        <v>4.7731789950305386</v>
      </c>
      <c r="O427" s="315" t="s">
        <v>1168</v>
      </c>
      <c r="P427" s="318">
        <v>200</v>
      </c>
      <c r="R427" s="320">
        <v>93.333333333333329</v>
      </c>
      <c r="S427" s="318">
        <v>36</v>
      </c>
      <c r="T427" s="318">
        <v>472.66666666666669</v>
      </c>
      <c r="U427" s="318">
        <v>96</v>
      </c>
      <c r="V427" s="315">
        <v>0.24</v>
      </c>
      <c r="W427" s="318">
        <v>100</v>
      </c>
      <c r="X427" s="315">
        <v>0</v>
      </c>
      <c r="Y427" s="315" t="s">
        <v>1420</v>
      </c>
      <c r="Z427" s="315">
        <v>4</v>
      </c>
      <c r="AA427" s="315" t="s">
        <v>1435</v>
      </c>
      <c r="AB427" s="315"/>
      <c r="AC427" s="315"/>
      <c r="AD427" s="315"/>
      <c r="AE427" s="315"/>
      <c r="AF427" s="315"/>
      <c r="AG427" s="315"/>
      <c r="AH427" s="315"/>
    </row>
    <row r="428" spans="1:34">
      <c r="A428" s="315" t="s">
        <v>1145</v>
      </c>
      <c r="B428" s="315" t="s">
        <v>696</v>
      </c>
      <c r="C428" s="316" t="s">
        <v>1539</v>
      </c>
      <c r="D428" s="316" t="s">
        <v>1539</v>
      </c>
      <c r="E428" s="317">
        <v>26.97</v>
      </c>
      <c r="F428" s="317">
        <v>17.80895524353766</v>
      </c>
      <c r="G428" s="317">
        <v>19.125809829757177</v>
      </c>
      <c r="H428" s="317">
        <v>19.125809829757177</v>
      </c>
      <c r="I428" s="318">
        <v>70.915127288680679</v>
      </c>
      <c r="J428" s="318">
        <v>56.703161529337898</v>
      </c>
      <c r="K428" s="319">
        <v>39.290428412545999</v>
      </c>
      <c r="L428" s="319">
        <v>-31.62469887613468</v>
      </c>
      <c r="M428" s="319">
        <f t="shared" si="6"/>
        <v>0</v>
      </c>
      <c r="N428" s="317">
        <v>0</v>
      </c>
      <c r="O428" s="315" t="s">
        <v>1148</v>
      </c>
      <c r="P428" s="318">
        <v>200</v>
      </c>
      <c r="R428" s="320">
        <v>93.333333333333329</v>
      </c>
      <c r="S428" s="318">
        <v>36</v>
      </c>
      <c r="T428" s="318">
        <v>672.66666666666663</v>
      </c>
      <c r="U428" s="318">
        <v>30.433333333333334</v>
      </c>
      <c r="V428" s="315">
        <v>0.25</v>
      </c>
      <c r="W428" s="318">
        <v>54</v>
      </c>
      <c r="X428" s="315">
        <v>21</v>
      </c>
      <c r="Y428" s="315" t="s">
        <v>1154</v>
      </c>
      <c r="Z428" s="315">
        <v>6</v>
      </c>
      <c r="AA428" s="315" t="s">
        <v>1435</v>
      </c>
      <c r="AB428" s="315"/>
      <c r="AC428" s="315"/>
      <c r="AD428" s="315"/>
      <c r="AE428" s="315"/>
      <c r="AF428" s="315"/>
      <c r="AG428" s="315"/>
      <c r="AH428" s="315"/>
    </row>
    <row r="429" spans="1:34">
      <c r="A429" s="315" t="s">
        <v>1145</v>
      </c>
      <c r="B429" s="315" t="s">
        <v>696</v>
      </c>
      <c r="C429" s="316" t="s">
        <v>1540</v>
      </c>
      <c r="D429" s="316" t="s">
        <v>1540</v>
      </c>
      <c r="E429" s="317">
        <v>0.95</v>
      </c>
      <c r="F429" s="317">
        <v>0</v>
      </c>
      <c r="G429" s="317">
        <v>0</v>
      </c>
      <c r="H429" s="317">
        <v>0</v>
      </c>
      <c r="I429" s="318">
        <v>0</v>
      </c>
      <c r="J429" s="318">
        <v>51.818645644954003</v>
      </c>
      <c r="K429" s="319">
        <v>40.2376729702356</v>
      </c>
      <c r="L429" s="319">
        <v>40.2376729702356</v>
      </c>
      <c r="M429" s="319">
        <f t="shared" si="6"/>
        <v>40.2376729702356</v>
      </c>
      <c r="N429" s="317">
        <v>0.38225789321723819</v>
      </c>
      <c r="O429" s="315" t="s">
        <v>1168</v>
      </c>
      <c r="P429" s="318">
        <v>200</v>
      </c>
      <c r="R429" s="320">
        <v>93.333333333333329</v>
      </c>
      <c r="S429" s="318">
        <v>36</v>
      </c>
      <c r="T429" s="318">
        <v>231.66666666666666</v>
      </c>
      <c r="U429" s="318">
        <v>16</v>
      </c>
      <c r="V429" s="315">
        <v>0.25</v>
      </c>
      <c r="W429" s="318">
        <v>70</v>
      </c>
      <c r="X429" s="315">
        <v>3</v>
      </c>
      <c r="Y429" s="315" t="s">
        <v>1154</v>
      </c>
      <c r="Z429" s="315">
        <v>1</v>
      </c>
      <c r="AA429" s="315" t="s">
        <v>1435</v>
      </c>
      <c r="AB429" s="315"/>
      <c r="AC429" s="315"/>
      <c r="AD429" s="315"/>
      <c r="AE429" s="315"/>
      <c r="AF429" s="315"/>
      <c r="AG429" s="315"/>
      <c r="AH429" s="315"/>
    </row>
    <row r="430" spans="1:34">
      <c r="A430" s="315" t="s">
        <v>1145</v>
      </c>
      <c r="B430" s="315" t="s">
        <v>1624</v>
      </c>
      <c r="C430" s="316" t="s">
        <v>1641</v>
      </c>
      <c r="D430" s="316" t="s">
        <v>1641</v>
      </c>
      <c r="E430" s="317">
        <v>36.533891846546915</v>
      </c>
      <c r="F430" s="317">
        <v>14.7765041</v>
      </c>
      <c r="G430" s="317">
        <v>15.5673133</v>
      </c>
      <c r="H430" s="317">
        <v>15.5673133</v>
      </c>
      <c r="I430" s="318">
        <v>42.610607611659042</v>
      </c>
      <c r="J430" s="318">
        <v>44.147731100082801</v>
      </c>
      <c r="K430" s="319">
        <v>45.8595329749472</v>
      </c>
      <c r="L430" s="319">
        <v>3.2489253632881585</v>
      </c>
      <c r="M430" s="319">
        <f t="shared" si="6"/>
        <v>3.2489253632881585</v>
      </c>
      <c r="N430" s="317">
        <v>1.1869588783987273</v>
      </c>
      <c r="O430" s="315" t="s">
        <v>1148</v>
      </c>
      <c r="P430" s="318">
        <v>200</v>
      </c>
      <c r="R430" s="320">
        <v>93.333333333333329</v>
      </c>
      <c r="S430" s="318">
        <v>39.700000000000003</v>
      </c>
      <c r="T430" s="318">
        <v>45</v>
      </c>
      <c r="U430" s="318">
        <v>0</v>
      </c>
      <c r="V430" s="315">
        <v>0.21</v>
      </c>
      <c r="W430" s="318">
        <v>500</v>
      </c>
      <c r="X430" s="315">
        <v>0</v>
      </c>
      <c r="Y430" s="315" t="s">
        <v>1149</v>
      </c>
      <c r="Z430" s="315">
        <v>0</v>
      </c>
      <c r="AA430" s="315" t="s">
        <v>1157</v>
      </c>
      <c r="AB430" s="315"/>
      <c r="AC430" s="315"/>
      <c r="AD430" s="315"/>
      <c r="AE430" s="315"/>
      <c r="AF430" s="315"/>
      <c r="AG430" s="315"/>
      <c r="AH430" s="315"/>
    </row>
    <row r="431" spans="1:34">
      <c r="A431" s="315" t="s">
        <v>1145</v>
      </c>
      <c r="B431" s="315" t="s">
        <v>648</v>
      </c>
      <c r="C431" s="316" t="s">
        <v>1507</v>
      </c>
      <c r="D431" s="316" t="s">
        <v>1507</v>
      </c>
      <c r="E431" s="317">
        <v>13.53443</v>
      </c>
      <c r="F431" s="317">
        <v>6.9608306999999998</v>
      </c>
      <c r="G431" s="317">
        <v>7.2144740000000001</v>
      </c>
      <c r="H431" s="317">
        <v>7.2144740000000001</v>
      </c>
      <c r="I431" s="318">
        <v>53.304601671440906</v>
      </c>
      <c r="J431" s="318">
        <v>51.288895466031299</v>
      </c>
      <c r="K431" s="319">
        <v>40.978463445931204</v>
      </c>
      <c r="L431" s="319">
        <v>-12.326138225509702</v>
      </c>
      <c r="M431" s="319">
        <f t="shared" si="6"/>
        <v>0</v>
      </c>
      <c r="N431" s="317">
        <v>0</v>
      </c>
      <c r="O431" s="315" t="s">
        <v>1148</v>
      </c>
      <c r="P431" s="318">
        <v>200.09870000000001</v>
      </c>
      <c r="R431" s="320">
        <v>93.388166666666677</v>
      </c>
      <c r="S431" s="318">
        <v>38.4</v>
      </c>
      <c r="T431" s="318">
        <v>47.5</v>
      </c>
      <c r="U431" s="318">
        <v>29</v>
      </c>
      <c r="V431" s="315">
        <v>0.24</v>
      </c>
      <c r="W431" s="318">
        <v>908</v>
      </c>
      <c r="X431" s="315">
        <v>3</v>
      </c>
      <c r="Y431" s="315" t="s">
        <v>1149</v>
      </c>
      <c r="Z431" s="315">
        <v>0</v>
      </c>
      <c r="AA431" s="315" t="s">
        <v>1157</v>
      </c>
      <c r="AB431" s="315"/>
      <c r="AC431" s="315"/>
      <c r="AD431" s="315"/>
      <c r="AE431" s="315"/>
      <c r="AF431" s="315"/>
      <c r="AG431" s="315"/>
      <c r="AH431" s="315"/>
    </row>
    <row r="432" spans="1:34">
      <c r="A432" s="315" t="s">
        <v>1145</v>
      </c>
      <c r="B432" s="315" t="s">
        <v>1066</v>
      </c>
      <c r="C432" s="316" t="s">
        <v>1376</v>
      </c>
      <c r="D432" s="316" t="s">
        <v>1376</v>
      </c>
      <c r="E432" s="317">
        <v>11.17</v>
      </c>
      <c r="F432" s="317">
        <v>0</v>
      </c>
      <c r="G432" s="317">
        <v>0</v>
      </c>
      <c r="H432" s="317">
        <v>2.5044727</v>
      </c>
      <c r="I432" s="318">
        <v>22.421420769919429</v>
      </c>
      <c r="J432" s="318">
        <v>79.971432578925402</v>
      </c>
      <c r="K432" s="319">
        <v>27.766121543505502</v>
      </c>
      <c r="L432" s="319">
        <v>5.344700773586073</v>
      </c>
      <c r="M432" s="319">
        <f t="shared" si="6"/>
        <v>5.344700773586073</v>
      </c>
      <c r="N432" s="317">
        <v>0.5970030764095644</v>
      </c>
      <c r="O432" s="315" t="s">
        <v>1168</v>
      </c>
      <c r="P432" s="318">
        <v>200.6</v>
      </c>
      <c r="R432" s="320">
        <v>93.666666666666671</v>
      </c>
      <c r="S432" s="318">
        <v>40</v>
      </c>
      <c r="T432" s="318">
        <v>250.3</v>
      </c>
      <c r="U432" s="318">
        <v>25.5</v>
      </c>
      <c r="V432" s="315">
        <v>0.16</v>
      </c>
      <c r="W432" s="318">
        <v>44.8</v>
      </c>
      <c r="X432" s="315">
        <v>6</v>
      </c>
      <c r="Y432" s="315" t="s">
        <v>1149</v>
      </c>
      <c r="Z432" s="315">
        <v>0</v>
      </c>
      <c r="AA432" s="315" t="s">
        <v>1157</v>
      </c>
      <c r="AB432" s="316">
        <v>0</v>
      </c>
      <c r="AC432" s="316">
        <v>3377</v>
      </c>
      <c r="AD432" s="316">
        <v>3356</v>
      </c>
      <c r="AE432" s="316">
        <v>0.26</v>
      </c>
      <c r="AF432" s="316">
        <v>1.5209999999999999</v>
      </c>
      <c r="AG432" s="316">
        <v>0.27</v>
      </c>
      <c r="AH432" s="316">
        <v>934</v>
      </c>
    </row>
    <row r="433" spans="1:34">
      <c r="A433" s="315" t="s">
        <v>1145</v>
      </c>
      <c r="B433" s="315" t="s">
        <v>1066</v>
      </c>
      <c r="C433" s="316" t="s">
        <v>1377</v>
      </c>
      <c r="D433" s="316" t="s">
        <v>1377</v>
      </c>
      <c r="E433" s="317">
        <v>7.6</v>
      </c>
      <c r="F433" s="317">
        <v>8.1129715999999998</v>
      </c>
      <c r="G433" s="317">
        <v>8.8449395000000006</v>
      </c>
      <c r="H433" s="317">
        <v>11.934891500000001</v>
      </c>
      <c r="I433" s="318">
        <v>157.03804605263161</v>
      </c>
      <c r="J433" s="318">
        <v>68.707906698467994</v>
      </c>
      <c r="K433" s="319">
        <v>33.946488412768602</v>
      </c>
      <c r="L433" s="319">
        <v>-123.09155763986301</v>
      </c>
      <c r="M433" s="319">
        <f t="shared" si="6"/>
        <v>0</v>
      </c>
      <c r="N433" s="317">
        <v>0</v>
      </c>
      <c r="O433" s="315" t="s">
        <v>1148</v>
      </c>
      <c r="P433" s="318">
        <v>201</v>
      </c>
      <c r="R433" s="320">
        <v>93.888888888888886</v>
      </c>
      <c r="S433" s="318">
        <v>40</v>
      </c>
      <c r="T433" s="318">
        <v>415.4</v>
      </c>
      <c r="U433" s="318">
        <v>363</v>
      </c>
      <c r="V433" s="315">
        <v>0.18</v>
      </c>
      <c r="W433" s="318">
        <v>37.32</v>
      </c>
      <c r="X433" s="315">
        <v>4</v>
      </c>
      <c r="Y433" s="315" t="s">
        <v>1149</v>
      </c>
      <c r="Z433" s="315">
        <v>0</v>
      </c>
      <c r="AA433" s="315" t="s">
        <v>1157</v>
      </c>
      <c r="AB433" s="316">
        <v>0</v>
      </c>
      <c r="AC433" s="316">
        <v>3386</v>
      </c>
      <c r="AD433" s="316">
        <v>3373</v>
      </c>
      <c r="AE433" s="316">
        <v>0.37</v>
      </c>
      <c r="AF433" s="316">
        <v>1.5772870662460567</v>
      </c>
      <c r="AG433" s="316">
        <v>0.28000000000000003</v>
      </c>
      <c r="AH433" s="316">
        <v>1022</v>
      </c>
    </row>
    <row r="434" spans="1:34">
      <c r="A434" s="315" t="s">
        <v>1717</v>
      </c>
      <c r="B434" s="315" t="s">
        <v>1066</v>
      </c>
      <c r="C434" s="316" t="s">
        <v>1378</v>
      </c>
      <c r="D434" s="316" t="s">
        <v>1378</v>
      </c>
      <c r="E434" s="317">
        <v>21.84</v>
      </c>
      <c r="F434" s="317">
        <v>2.5484084</v>
      </c>
      <c r="G434" s="317">
        <v>2.7783307000000002</v>
      </c>
      <c r="H434" s="317">
        <v>2.8847810000000003</v>
      </c>
      <c r="I434" s="318">
        <v>13.208704212454215</v>
      </c>
      <c r="J434" s="318">
        <v>76.076721451928407</v>
      </c>
      <c r="K434" s="319">
        <v>30.144130001281301</v>
      </c>
      <c r="L434" s="319">
        <v>16.935425788827086</v>
      </c>
      <c r="M434" s="319">
        <f t="shared" si="6"/>
        <v>16.935425788827086</v>
      </c>
      <c r="N434" s="317">
        <v>3.6986969922798356</v>
      </c>
      <c r="O434" s="315" t="s">
        <v>1148</v>
      </c>
      <c r="P434" s="318">
        <v>201</v>
      </c>
      <c r="R434" s="320">
        <v>93.888888888888886</v>
      </c>
      <c r="S434" s="318">
        <v>40</v>
      </c>
      <c r="T434" s="318">
        <v>410.8</v>
      </c>
      <c r="U434" s="318">
        <v>2364.873</v>
      </c>
      <c r="V434" s="315">
        <v>0.16</v>
      </c>
      <c r="W434" s="318">
        <v>46.2</v>
      </c>
      <c r="X434" s="315">
        <v>26</v>
      </c>
      <c r="Y434" s="315" t="s">
        <v>1149</v>
      </c>
      <c r="Z434" s="315">
        <v>0</v>
      </c>
      <c r="AA434" s="315" t="s">
        <v>1157</v>
      </c>
      <c r="AB434" s="316">
        <v>0</v>
      </c>
      <c r="AC434" s="316">
        <v>3386</v>
      </c>
      <c r="AD434" s="316">
        <v>3373</v>
      </c>
      <c r="AE434" s="316">
        <v>0.29199999999999998</v>
      </c>
      <c r="AF434" s="316">
        <v>1.577</v>
      </c>
      <c r="AG434" s="316">
        <v>0.28000000000000003</v>
      </c>
      <c r="AH434" s="316">
        <v>1022</v>
      </c>
    </row>
    <row r="435" spans="1:34">
      <c r="A435" s="315" t="s">
        <v>1717</v>
      </c>
      <c r="B435" s="315" t="s">
        <v>1066</v>
      </c>
      <c r="C435" s="316" t="s">
        <v>1379</v>
      </c>
      <c r="D435" s="316" t="s">
        <v>1379</v>
      </c>
      <c r="E435" s="317">
        <v>12.4</v>
      </c>
      <c r="F435" s="317">
        <v>0.71348860000000003</v>
      </c>
      <c r="G435" s="317">
        <v>0.77786090000000008</v>
      </c>
      <c r="H435" s="317">
        <v>2.0234341000000002</v>
      </c>
      <c r="I435" s="318">
        <v>16.318016935483872</v>
      </c>
      <c r="J435" s="318">
        <v>69.619714361622798</v>
      </c>
      <c r="K435" s="319">
        <v>34.652504723851699</v>
      </c>
      <c r="L435" s="319">
        <v>18.334487788367827</v>
      </c>
      <c r="M435" s="319">
        <f t="shared" si="6"/>
        <v>18.334487788367827</v>
      </c>
      <c r="N435" s="317">
        <v>2.2734764857576106</v>
      </c>
      <c r="O435" s="315" t="s">
        <v>1148</v>
      </c>
      <c r="P435" s="318">
        <v>201</v>
      </c>
      <c r="R435" s="320">
        <v>93.888888888888886</v>
      </c>
      <c r="S435" s="318">
        <v>40</v>
      </c>
      <c r="T435" s="318">
        <v>201.4</v>
      </c>
      <c r="U435" s="318">
        <v>441</v>
      </c>
      <c r="V435" s="315">
        <v>0.157</v>
      </c>
      <c r="W435" s="318">
        <v>97.7</v>
      </c>
      <c r="X435" s="315">
        <v>20</v>
      </c>
      <c r="Y435" s="315" t="s">
        <v>1149</v>
      </c>
      <c r="Z435" s="315">
        <v>0</v>
      </c>
      <c r="AA435" s="315" t="s">
        <v>1190</v>
      </c>
      <c r="AB435" s="316">
        <v>0</v>
      </c>
      <c r="AC435" s="316">
        <v>3386</v>
      </c>
      <c r="AD435" s="316">
        <v>3373</v>
      </c>
      <c r="AE435" s="316">
        <v>0.34</v>
      </c>
      <c r="AF435" s="316">
        <v>1.577</v>
      </c>
      <c r="AG435" s="316">
        <v>0.28000000000000003</v>
      </c>
      <c r="AH435" s="316">
        <v>1022</v>
      </c>
    </row>
    <row r="436" spans="1:34">
      <c r="A436" s="315" t="s">
        <v>1797</v>
      </c>
      <c r="B436" s="315" t="s">
        <v>696</v>
      </c>
      <c r="C436" s="316" t="s">
        <v>1541</v>
      </c>
      <c r="D436" s="316" t="s">
        <v>1541</v>
      </c>
      <c r="E436" s="317">
        <v>3.99</v>
      </c>
      <c r="F436" s="317">
        <v>5.9986308514037416</v>
      </c>
      <c r="G436" s="317">
        <v>6.4421258634295349</v>
      </c>
      <c r="H436" s="317">
        <v>6.4421258634295349</v>
      </c>
      <c r="I436" s="318">
        <v>161.4567885571312</v>
      </c>
      <c r="J436" s="318">
        <v>50.937587379430198</v>
      </c>
      <c r="K436" s="319">
        <v>38.4329088676105</v>
      </c>
      <c r="L436" s="319">
        <v>-123.0238796895207</v>
      </c>
      <c r="M436" s="319">
        <f t="shared" si="6"/>
        <v>0</v>
      </c>
      <c r="N436" s="317">
        <v>0</v>
      </c>
      <c r="O436" s="315" t="s">
        <v>1148</v>
      </c>
      <c r="P436" s="318">
        <v>202</v>
      </c>
      <c r="R436" s="320">
        <v>94.444444444444443</v>
      </c>
      <c r="S436" s="318">
        <v>38</v>
      </c>
      <c r="T436" s="318">
        <v>331</v>
      </c>
      <c r="U436" s="318">
        <v>372</v>
      </c>
      <c r="V436" s="315">
        <v>0.23</v>
      </c>
      <c r="W436" s="318">
        <v>75</v>
      </c>
      <c r="X436" s="315">
        <v>10</v>
      </c>
      <c r="Y436" s="315" t="s">
        <v>1154</v>
      </c>
      <c r="Z436" s="315">
        <v>2</v>
      </c>
      <c r="AA436" s="315" t="s">
        <v>1435</v>
      </c>
      <c r="AB436" s="315"/>
      <c r="AC436" s="315"/>
      <c r="AD436" s="315"/>
      <c r="AE436" s="315"/>
      <c r="AF436" s="315"/>
      <c r="AG436" s="315"/>
      <c r="AH436" s="315"/>
    </row>
    <row r="437" spans="1:34">
      <c r="A437" s="315" t="s">
        <v>1161</v>
      </c>
      <c r="B437" s="315" t="s">
        <v>696</v>
      </c>
      <c r="C437" s="316" t="s">
        <v>1542</v>
      </c>
      <c r="D437" s="316" t="s">
        <v>1542</v>
      </c>
      <c r="E437" s="317">
        <v>8.91</v>
      </c>
      <c r="F437" s="317">
        <v>0.90843573782640707</v>
      </c>
      <c r="G437" s="317">
        <v>0.97559877331997191</v>
      </c>
      <c r="H437" s="317">
        <v>0.97559877331997191</v>
      </c>
      <c r="I437" s="318">
        <v>10.949481182042334</v>
      </c>
      <c r="J437" s="318">
        <v>47.438900003353403</v>
      </c>
      <c r="K437" s="319">
        <v>39.119113973744703</v>
      </c>
      <c r="L437" s="319">
        <v>28.169632791702369</v>
      </c>
      <c r="M437" s="319">
        <f t="shared" si="6"/>
        <v>28.169632791702369</v>
      </c>
      <c r="N437" s="317">
        <v>2.5099142817406812</v>
      </c>
      <c r="O437" s="315" t="s">
        <v>1148</v>
      </c>
      <c r="P437" s="318">
        <v>202</v>
      </c>
      <c r="R437" s="320">
        <v>94.444444444444443</v>
      </c>
      <c r="S437" s="318">
        <v>38.869999999999997</v>
      </c>
      <c r="T437" s="318">
        <v>205.5</v>
      </c>
      <c r="U437" s="318">
        <v>387</v>
      </c>
      <c r="V437" s="315">
        <v>0.22</v>
      </c>
      <c r="W437" s="318">
        <v>50</v>
      </c>
      <c r="X437" s="315">
        <v>4</v>
      </c>
      <c r="Y437" s="315" t="s">
        <v>1154</v>
      </c>
      <c r="Z437" s="315">
        <v>1</v>
      </c>
      <c r="AA437" s="315" t="s">
        <v>1435</v>
      </c>
      <c r="AB437" s="315"/>
      <c r="AC437" s="315"/>
      <c r="AD437" s="315"/>
      <c r="AE437" s="315"/>
      <c r="AF437" s="315"/>
      <c r="AG437" s="315"/>
      <c r="AH437" s="315"/>
    </row>
    <row r="438" spans="1:34">
      <c r="A438" s="315" t="s">
        <v>1161</v>
      </c>
      <c r="B438" s="315" t="s">
        <v>696</v>
      </c>
      <c r="C438" s="316" t="s">
        <v>1543</v>
      </c>
      <c r="D438" s="316" t="s">
        <v>1543</v>
      </c>
      <c r="E438" s="317">
        <v>1.83</v>
      </c>
      <c r="F438" s="317">
        <v>0</v>
      </c>
      <c r="G438" s="317">
        <v>0</v>
      </c>
      <c r="H438" s="317">
        <v>0</v>
      </c>
      <c r="I438" s="318">
        <v>0</v>
      </c>
      <c r="J438" s="318">
        <v>48.122322157975397</v>
      </c>
      <c r="K438" s="319">
        <v>42.476317743372</v>
      </c>
      <c r="L438" s="319">
        <v>42.476317743372</v>
      </c>
      <c r="M438" s="319">
        <f t="shared" si="6"/>
        <v>42.476317743372</v>
      </c>
      <c r="N438" s="317">
        <v>0.77731661470370761</v>
      </c>
      <c r="O438" s="315" t="s">
        <v>1168</v>
      </c>
      <c r="P438" s="318">
        <v>202</v>
      </c>
      <c r="R438" s="320">
        <v>94.444444444444443</v>
      </c>
      <c r="S438" s="318">
        <v>38</v>
      </c>
      <c r="T438" s="318">
        <v>246.5</v>
      </c>
      <c r="U438" s="318">
        <v>354</v>
      </c>
      <c r="V438" s="315">
        <v>0.2</v>
      </c>
      <c r="W438" s="318">
        <v>45</v>
      </c>
      <c r="X438" s="315">
        <v>0</v>
      </c>
      <c r="Y438" s="315" t="s">
        <v>1154</v>
      </c>
      <c r="Z438" s="315">
        <v>2</v>
      </c>
      <c r="AA438" s="315" t="s">
        <v>1435</v>
      </c>
      <c r="AB438" s="315"/>
      <c r="AC438" s="315"/>
      <c r="AD438" s="315"/>
      <c r="AE438" s="315"/>
      <c r="AF438" s="315"/>
      <c r="AG438" s="315"/>
      <c r="AH438" s="315"/>
    </row>
    <row r="439" spans="1:34">
      <c r="A439" s="315" t="s">
        <v>1161</v>
      </c>
      <c r="B439" s="315" t="s">
        <v>696</v>
      </c>
      <c r="C439" s="316" t="s">
        <v>1544</v>
      </c>
      <c r="D439" s="316" t="s">
        <v>1544</v>
      </c>
      <c r="E439" s="317">
        <v>6.96</v>
      </c>
      <c r="F439" s="317">
        <v>0</v>
      </c>
      <c r="G439" s="317">
        <v>2.2767554435947357E-3</v>
      </c>
      <c r="H439" s="317">
        <v>2.2767554435947357E-3</v>
      </c>
      <c r="I439" s="318">
        <v>3.2712003499924362E-2</v>
      </c>
      <c r="J439" s="318">
        <v>51.939267103343198</v>
      </c>
      <c r="K439" s="319">
        <v>37.602324788540095</v>
      </c>
      <c r="L439" s="319">
        <v>37.569612785040171</v>
      </c>
      <c r="M439" s="319">
        <f t="shared" si="6"/>
        <v>37.569612785040171</v>
      </c>
      <c r="N439" s="317">
        <v>2.6148450498387956</v>
      </c>
      <c r="O439" s="315" t="s">
        <v>1168</v>
      </c>
      <c r="P439" s="318">
        <v>202</v>
      </c>
      <c r="R439" s="320">
        <v>94.444444444444443</v>
      </c>
      <c r="S439" s="318">
        <v>38</v>
      </c>
      <c r="T439" s="318">
        <v>200</v>
      </c>
      <c r="U439" s="318">
        <v>354</v>
      </c>
      <c r="V439" s="315">
        <v>0.21</v>
      </c>
      <c r="W439" s="318">
        <v>55</v>
      </c>
      <c r="X439" s="315">
        <v>0</v>
      </c>
      <c r="Y439" s="315" t="s">
        <v>1154</v>
      </c>
      <c r="Z439" s="315">
        <v>2</v>
      </c>
      <c r="AA439" s="315" t="s">
        <v>1435</v>
      </c>
      <c r="AB439" s="315"/>
      <c r="AC439" s="315"/>
      <c r="AD439" s="315"/>
      <c r="AE439" s="315"/>
      <c r="AF439" s="315"/>
      <c r="AG439" s="315"/>
      <c r="AH439" s="315"/>
    </row>
    <row r="440" spans="1:34">
      <c r="A440" s="315" t="s">
        <v>1145</v>
      </c>
      <c r="B440" s="315" t="s">
        <v>696</v>
      </c>
      <c r="C440" s="316" t="s">
        <v>1545</v>
      </c>
      <c r="D440" s="316" t="s">
        <v>1545</v>
      </c>
      <c r="E440" s="317">
        <v>6.4</v>
      </c>
      <c r="F440" s="317">
        <v>1.5479719164546699</v>
      </c>
      <c r="G440" s="317">
        <v>1.6624176841093881</v>
      </c>
      <c r="H440" s="317">
        <v>1.6624176841093881</v>
      </c>
      <c r="I440" s="318">
        <v>25.975276314209189</v>
      </c>
      <c r="J440" s="318">
        <v>54.324913728831199</v>
      </c>
      <c r="K440" s="319">
        <v>37.152463206051898</v>
      </c>
      <c r="L440" s="319">
        <v>11.177186891842709</v>
      </c>
      <c r="M440" s="319">
        <f t="shared" si="6"/>
        <v>11.177186891842709</v>
      </c>
      <c r="N440" s="317">
        <v>0.71533996107793341</v>
      </c>
      <c r="O440" s="315" t="s">
        <v>1148</v>
      </c>
      <c r="P440" s="318">
        <v>202</v>
      </c>
      <c r="R440" s="320">
        <v>94.444444444444443</v>
      </c>
      <c r="S440" s="318">
        <v>38</v>
      </c>
      <c r="T440" s="318">
        <v>150</v>
      </c>
      <c r="U440" s="318">
        <v>200</v>
      </c>
      <c r="V440" s="315">
        <v>0.2</v>
      </c>
      <c r="W440" s="318">
        <v>20</v>
      </c>
      <c r="X440" s="315">
        <v>0</v>
      </c>
      <c r="Y440" s="315" t="s">
        <v>1154</v>
      </c>
      <c r="Z440" s="315">
        <v>2</v>
      </c>
      <c r="AA440" s="315" t="s">
        <v>1435</v>
      </c>
      <c r="AB440" s="315"/>
      <c r="AC440" s="315"/>
      <c r="AD440" s="315"/>
      <c r="AE440" s="315"/>
      <c r="AF440" s="315"/>
      <c r="AG440" s="315"/>
      <c r="AH440" s="315"/>
    </row>
    <row r="441" spans="1:34">
      <c r="A441" s="315" t="s">
        <v>1145</v>
      </c>
      <c r="B441" s="315" t="s">
        <v>696</v>
      </c>
      <c r="C441" s="316" t="s">
        <v>1546</v>
      </c>
      <c r="D441" s="316" t="s">
        <v>1546</v>
      </c>
      <c r="E441" s="317">
        <v>2.02</v>
      </c>
      <c r="F441" s="317">
        <v>0</v>
      </c>
      <c r="G441" s="317">
        <v>0</v>
      </c>
      <c r="H441" s="317">
        <v>0</v>
      </c>
      <c r="I441" s="318">
        <v>0</v>
      </c>
      <c r="J441" s="318">
        <v>58.160264444375002</v>
      </c>
      <c r="K441" s="319">
        <v>36.478671892442101</v>
      </c>
      <c r="L441" s="319">
        <v>36.478671892442101</v>
      </c>
      <c r="M441" s="319">
        <f t="shared" si="6"/>
        <v>36.478671892442101</v>
      </c>
      <c r="N441" s="317">
        <v>0.73686917222733039</v>
      </c>
      <c r="O441" s="315" t="s">
        <v>1168</v>
      </c>
      <c r="P441" s="318">
        <v>202</v>
      </c>
      <c r="R441" s="320">
        <v>94.444444444444443</v>
      </c>
      <c r="S441" s="318">
        <v>39</v>
      </c>
      <c r="T441" s="318">
        <v>100</v>
      </c>
      <c r="U441" s="318">
        <v>200</v>
      </c>
      <c r="V441" s="315">
        <v>0.22</v>
      </c>
      <c r="W441" s="318">
        <v>30</v>
      </c>
      <c r="X441" s="315">
        <v>6</v>
      </c>
      <c r="Y441" s="315" t="s">
        <v>1154</v>
      </c>
      <c r="Z441" s="315">
        <v>1</v>
      </c>
      <c r="AA441" s="315" t="s">
        <v>1435</v>
      </c>
      <c r="AB441" s="315"/>
      <c r="AC441" s="315"/>
      <c r="AD441" s="315"/>
      <c r="AE441" s="315"/>
      <c r="AF441" s="315"/>
      <c r="AG441" s="315"/>
      <c r="AH441" s="315"/>
    </row>
    <row r="442" spans="1:34">
      <c r="A442" s="315" t="s">
        <v>1806</v>
      </c>
      <c r="B442" s="315" t="s">
        <v>696</v>
      </c>
      <c r="C442" s="316" t="s">
        <v>1547</v>
      </c>
      <c r="D442" s="316" t="s">
        <v>1547</v>
      </c>
      <c r="E442" s="317">
        <v>0</v>
      </c>
      <c r="F442" s="317">
        <v>0</v>
      </c>
      <c r="G442" s="317">
        <v>0</v>
      </c>
      <c r="H442" s="317">
        <v>0</v>
      </c>
      <c r="I442" s="318">
        <v>0</v>
      </c>
      <c r="J442" s="318">
        <v>56.874527621524798</v>
      </c>
      <c r="K442" s="319">
        <v>40.192020551815098</v>
      </c>
      <c r="L442" s="319">
        <v>0</v>
      </c>
      <c r="M442" s="319">
        <f t="shared" si="6"/>
        <v>0</v>
      </c>
      <c r="N442" s="317">
        <v>0</v>
      </c>
      <c r="O442" s="315" t="s">
        <v>1168</v>
      </c>
      <c r="P442" s="318">
        <v>202</v>
      </c>
      <c r="R442" s="320">
        <v>94.444444444444443</v>
      </c>
      <c r="S442" s="318">
        <v>38</v>
      </c>
      <c r="T442" s="318">
        <v>150</v>
      </c>
      <c r="U442" s="318">
        <v>300</v>
      </c>
      <c r="V442" s="315">
        <v>0.2</v>
      </c>
      <c r="W442" s="318">
        <v>40</v>
      </c>
      <c r="X442" s="315">
        <v>0</v>
      </c>
      <c r="Y442" s="315" t="s">
        <v>1149</v>
      </c>
      <c r="Z442" s="315">
        <v>0</v>
      </c>
      <c r="AA442" s="315" t="s">
        <v>1435</v>
      </c>
      <c r="AB442" s="315"/>
      <c r="AC442" s="315"/>
      <c r="AD442" s="315"/>
      <c r="AE442" s="315"/>
      <c r="AF442" s="315"/>
      <c r="AG442" s="315"/>
      <c r="AH442" s="315"/>
    </row>
    <row r="443" spans="1:34">
      <c r="A443" s="315" t="s">
        <v>1808</v>
      </c>
      <c r="B443" s="315" t="s">
        <v>648</v>
      </c>
      <c r="C443" s="316" t="s">
        <v>1509</v>
      </c>
      <c r="D443" s="316" t="s">
        <v>1509</v>
      </c>
      <c r="E443" s="317">
        <v>40.170279999999998</v>
      </c>
      <c r="F443" s="317">
        <v>4.3398003000000003</v>
      </c>
      <c r="G443" s="317">
        <v>4.5439750000000005</v>
      </c>
      <c r="H443" s="317">
        <v>4.5439750000000005</v>
      </c>
      <c r="I443" s="318">
        <v>11.311783238752632</v>
      </c>
      <c r="J443" s="318">
        <v>51.848461894438898</v>
      </c>
      <c r="K443" s="319">
        <v>41.3110992394273</v>
      </c>
      <c r="L443" s="319">
        <v>29.999316000674668</v>
      </c>
      <c r="M443" s="319">
        <f t="shared" si="6"/>
        <v>29.999316000674668</v>
      </c>
      <c r="N443" s="317">
        <v>12.050809235555816</v>
      </c>
      <c r="O443" s="315" t="s">
        <v>1148</v>
      </c>
      <c r="P443" s="318">
        <v>202.39540000000002</v>
      </c>
      <c r="R443" s="320">
        <v>94.664111111111126</v>
      </c>
      <c r="S443" s="318">
        <v>38.4</v>
      </c>
      <c r="T443" s="318">
        <v>37.299999999999997</v>
      </c>
      <c r="U443" s="318">
        <v>375</v>
      </c>
      <c r="V443" s="315">
        <v>0.25</v>
      </c>
      <c r="W443" s="318">
        <v>558</v>
      </c>
      <c r="X443" s="315">
        <v>5</v>
      </c>
      <c r="Y443" s="315" t="s">
        <v>1154</v>
      </c>
      <c r="Z443" s="315">
        <v>1</v>
      </c>
      <c r="AA443" s="315" t="s">
        <v>1157</v>
      </c>
      <c r="AB443" s="315"/>
      <c r="AC443" s="315"/>
      <c r="AD443" s="315"/>
      <c r="AE443" s="315"/>
      <c r="AF443" s="315"/>
      <c r="AG443" s="315"/>
      <c r="AH443" s="315"/>
    </row>
    <row r="444" spans="1:34">
      <c r="A444" s="315" t="s">
        <v>1145</v>
      </c>
      <c r="B444" s="315" t="s">
        <v>696</v>
      </c>
      <c r="C444" s="316" t="s">
        <v>1548</v>
      </c>
      <c r="D444" s="316" t="s">
        <v>1548</v>
      </c>
      <c r="E444" s="317">
        <v>6.5</v>
      </c>
      <c r="F444" s="317">
        <v>0</v>
      </c>
      <c r="G444" s="317">
        <v>0</v>
      </c>
      <c r="H444" s="317">
        <v>0.52685239351215996</v>
      </c>
      <c r="I444" s="318">
        <v>8.1054214386486141</v>
      </c>
      <c r="J444" s="318">
        <v>57.684265457763203</v>
      </c>
      <c r="K444" s="319">
        <v>36.591459300856897</v>
      </c>
      <c r="L444" s="319">
        <v>28.486037862208285</v>
      </c>
      <c r="M444" s="319">
        <f t="shared" si="6"/>
        <v>28.486037862208285</v>
      </c>
      <c r="N444" s="317">
        <v>1.8515924610435386</v>
      </c>
      <c r="O444" s="315" t="s">
        <v>1168</v>
      </c>
      <c r="P444" s="318">
        <v>202.9</v>
      </c>
      <c r="R444" s="320">
        <v>94.944444444444443</v>
      </c>
      <c r="S444" s="318">
        <v>36</v>
      </c>
      <c r="T444" s="318">
        <v>580</v>
      </c>
      <c r="U444" s="318">
        <v>88</v>
      </c>
      <c r="V444" s="315">
        <v>0.22</v>
      </c>
      <c r="W444" s="318">
        <v>60</v>
      </c>
      <c r="X444" s="315">
        <v>0</v>
      </c>
      <c r="Y444" s="315" t="s">
        <v>1149</v>
      </c>
      <c r="Z444" s="315">
        <v>0</v>
      </c>
      <c r="AA444" s="315" t="s">
        <v>1435</v>
      </c>
      <c r="AB444" s="315"/>
      <c r="AC444" s="315"/>
      <c r="AD444" s="315"/>
      <c r="AE444" s="315"/>
      <c r="AF444" s="315"/>
      <c r="AG444" s="315"/>
      <c r="AH444" s="315"/>
    </row>
    <row r="445" spans="1:34">
      <c r="A445" s="315" t="s">
        <v>1145</v>
      </c>
      <c r="B445" s="315" t="s">
        <v>1430</v>
      </c>
      <c r="C445" s="316" t="s">
        <v>1439</v>
      </c>
      <c r="D445" s="316" t="s">
        <v>1439</v>
      </c>
      <c r="E445" s="317">
        <v>34.646357943692351</v>
      </c>
      <c r="F445" s="317">
        <v>13.483028785970925</v>
      </c>
      <c r="G445" s="317">
        <v>15.729633763116595</v>
      </c>
      <c r="H445" s="317">
        <v>15.729633763116595</v>
      </c>
      <c r="I445" s="318">
        <v>45.400540480129465</v>
      </c>
      <c r="J445" s="318">
        <v>45.544540039787499</v>
      </c>
      <c r="K445" s="319">
        <v>43.843118734813601</v>
      </c>
      <c r="L445" s="319">
        <v>-1.5574217453158639</v>
      </c>
      <c r="M445" s="319">
        <f t="shared" si="6"/>
        <v>0</v>
      </c>
      <c r="N445" s="317">
        <v>0</v>
      </c>
      <c r="O445" s="315" t="s">
        <v>1148</v>
      </c>
      <c r="P445" s="318">
        <v>203</v>
      </c>
      <c r="R445" s="320">
        <v>95</v>
      </c>
      <c r="S445" s="318">
        <v>37</v>
      </c>
      <c r="T445" s="318">
        <v>51</v>
      </c>
      <c r="U445" s="318">
        <v>257</v>
      </c>
      <c r="V445" s="315">
        <v>0.25</v>
      </c>
      <c r="W445" s="318">
        <v>1000</v>
      </c>
      <c r="X445" s="315">
        <v>7</v>
      </c>
      <c r="Y445" s="315" t="s">
        <v>1440</v>
      </c>
      <c r="Z445" s="315">
        <v>1</v>
      </c>
      <c r="AA445" s="315" t="s">
        <v>1150</v>
      </c>
      <c r="AB445" s="315"/>
      <c r="AC445" s="315"/>
      <c r="AD445" s="315"/>
      <c r="AE445" s="315"/>
      <c r="AF445" s="315"/>
      <c r="AG445" s="315"/>
      <c r="AH445" s="315"/>
    </row>
    <row r="446" spans="1:34">
      <c r="A446" s="315" t="s">
        <v>1813</v>
      </c>
      <c r="B446" s="315" t="s">
        <v>1430</v>
      </c>
      <c r="C446" s="316" t="s">
        <v>1442</v>
      </c>
      <c r="D446" s="316" t="s">
        <v>1442</v>
      </c>
      <c r="E446" s="317">
        <v>8.5213057868070283</v>
      </c>
      <c r="F446" s="317">
        <v>3.339194</v>
      </c>
      <c r="G446" s="317">
        <v>3.339194</v>
      </c>
      <c r="H446" s="317">
        <v>6.6356689384810181</v>
      </c>
      <c r="I446" s="318">
        <v>77.87150355236146</v>
      </c>
      <c r="J446" s="318">
        <v>48.595723216149203</v>
      </c>
      <c r="K446" s="319">
        <v>43.142312100458199</v>
      </c>
      <c r="L446" s="319">
        <v>-34.729191451903262</v>
      </c>
      <c r="M446" s="319">
        <f t="shared" si="6"/>
        <v>0</v>
      </c>
      <c r="N446" s="317">
        <v>0</v>
      </c>
      <c r="O446" s="315" t="s">
        <v>1148</v>
      </c>
      <c r="P446" s="318">
        <v>203</v>
      </c>
      <c r="R446" s="320">
        <v>95</v>
      </c>
      <c r="S446" s="318">
        <v>37</v>
      </c>
      <c r="T446" s="318">
        <v>41</v>
      </c>
      <c r="U446" s="318">
        <v>126</v>
      </c>
      <c r="V446" s="315">
        <v>0.25</v>
      </c>
      <c r="W446" s="318">
        <v>1000</v>
      </c>
      <c r="X446" s="315">
        <v>3</v>
      </c>
      <c r="Y446" s="315" t="s">
        <v>1149</v>
      </c>
      <c r="Z446" s="315">
        <v>0</v>
      </c>
      <c r="AA446" s="315" t="s">
        <v>1190</v>
      </c>
      <c r="AB446" s="315"/>
      <c r="AC446" s="315"/>
      <c r="AD446" s="315"/>
      <c r="AE446" s="315"/>
      <c r="AF446" s="315"/>
      <c r="AG446" s="315"/>
      <c r="AH446" s="315"/>
    </row>
    <row r="447" spans="1:34">
      <c r="A447" s="315" t="s">
        <v>1145</v>
      </c>
      <c r="B447" s="315" t="s">
        <v>696</v>
      </c>
      <c r="C447" s="316" t="s">
        <v>1549</v>
      </c>
      <c r="D447" s="316" t="s">
        <v>1549</v>
      </c>
      <c r="E447" s="317">
        <v>8.18</v>
      </c>
      <c r="F447" s="317">
        <v>0</v>
      </c>
      <c r="G447" s="317">
        <v>0</v>
      </c>
      <c r="H447" s="317">
        <v>0.51415259879150188</v>
      </c>
      <c r="I447" s="318">
        <v>6.2854840928056461</v>
      </c>
      <c r="J447" s="318">
        <v>56.6734451209215</v>
      </c>
      <c r="K447" s="319">
        <v>40.381519653489498</v>
      </c>
      <c r="L447" s="319">
        <v>34.096035560683852</v>
      </c>
      <c r="M447" s="319">
        <f t="shared" si="6"/>
        <v>34.096035560683852</v>
      </c>
      <c r="N447" s="317">
        <v>2.7890557088639389</v>
      </c>
      <c r="O447" s="315" t="s">
        <v>1168</v>
      </c>
      <c r="P447" s="318">
        <v>203</v>
      </c>
      <c r="R447" s="320">
        <v>95</v>
      </c>
      <c r="S447" s="318">
        <v>37.200000000000003</v>
      </c>
      <c r="T447" s="318">
        <v>120</v>
      </c>
      <c r="U447" s="318">
        <v>240</v>
      </c>
      <c r="V447" s="315">
        <v>0.28000000000000003</v>
      </c>
      <c r="W447" s="318">
        <v>71</v>
      </c>
      <c r="X447" s="315">
        <v>2</v>
      </c>
      <c r="Y447" s="315" t="s">
        <v>1154</v>
      </c>
      <c r="Z447" s="315">
        <v>4</v>
      </c>
      <c r="AA447" s="315" t="s">
        <v>1435</v>
      </c>
      <c r="AB447" s="315"/>
      <c r="AC447" s="315"/>
      <c r="AD447" s="315"/>
      <c r="AE447" s="315"/>
      <c r="AF447" s="315"/>
      <c r="AG447" s="315"/>
      <c r="AH447" s="315"/>
    </row>
    <row r="448" spans="1:34">
      <c r="A448" s="315" t="s">
        <v>1145</v>
      </c>
      <c r="B448" s="315" t="s">
        <v>696</v>
      </c>
      <c r="C448" s="316" t="s">
        <v>1550</v>
      </c>
      <c r="D448" s="316" t="s">
        <v>1550</v>
      </c>
      <c r="E448" s="317">
        <v>16.417999999999999</v>
      </c>
      <c r="F448" s="317">
        <v>2.1982152014219221</v>
      </c>
      <c r="G448" s="317">
        <v>2.629874677873314</v>
      </c>
      <c r="H448" s="317">
        <v>2.629874677873314</v>
      </c>
      <c r="I448" s="318">
        <v>16.01824021119085</v>
      </c>
      <c r="J448" s="318">
        <v>56.822327529237597</v>
      </c>
      <c r="K448" s="319">
        <v>36.243458618359597</v>
      </c>
      <c r="L448" s="319">
        <v>20.225218407168747</v>
      </c>
      <c r="M448" s="319">
        <f t="shared" si="6"/>
        <v>20.225218407168747</v>
      </c>
      <c r="N448" s="317">
        <v>3.3205763580889647</v>
      </c>
      <c r="O448" s="315" t="s">
        <v>1148</v>
      </c>
      <c r="P448" s="318">
        <v>203</v>
      </c>
      <c r="R448" s="320">
        <v>95</v>
      </c>
      <c r="S448" s="318">
        <v>34.97</v>
      </c>
      <c r="T448" s="318">
        <v>100</v>
      </c>
      <c r="U448" s="318">
        <v>120</v>
      </c>
      <c r="V448" s="315">
        <v>0.22</v>
      </c>
      <c r="W448" s="318">
        <v>42</v>
      </c>
      <c r="X448" s="315">
        <v>9</v>
      </c>
      <c r="Y448" s="315" t="s">
        <v>1154</v>
      </c>
      <c r="Z448" s="315">
        <v>6</v>
      </c>
      <c r="AA448" s="315" t="s">
        <v>1435</v>
      </c>
      <c r="AB448" s="315"/>
      <c r="AC448" s="315"/>
      <c r="AD448" s="315"/>
      <c r="AE448" s="315"/>
      <c r="AF448" s="315"/>
      <c r="AG448" s="315"/>
      <c r="AH448" s="315"/>
    </row>
    <row r="449" spans="1:27" s="315" customFormat="1">
      <c r="A449" s="315" t="s">
        <v>1817</v>
      </c>
      <c r="B449" s="315" t="s">
        <v>696</v>
      </c>
      <c r="C449" s="316" t="s">
        <v>1551</v>
      </c>
      <c r="D449" s="316" t="s">
        <v>1551</v>
      </c>
      <c r="E449" s="317">
        <v>19.14</v>
      </c>
      <c r="F449" s="317">
        <v>2.1466649709023442</v>
      </c>
      <c r="G449" s="317">
        <v>2.3053737006318373</v>
      </c>
      <c r="H449" s="317">
        <v>2.4742015435123079</v>
      </c>
      <c r="I449" s="318">
        <v>12.926862818768589</v>
      </c>
      <c r="J449" s="318">
        <v>51.985032088979601</v>
      </c>
      <c r="K449" s="319">
        <v>43.535847010961298</v>
      </c>
      <c r="L449" s="319">
        <v>30.608984192192707</v>
      </c>
      <c r="M449" s="319">
        <f t="shared" si="6"/>
        <v>30.608984192192707</v>
      </c>
      <c r="N449" s="317">
        <v>5.8585595743856844</v>
      </c>
      <c r="O449" s="315" t="s">
        <v>1148</v>
      </c>
      <c r="P449" s="318">
        <v>203</v>
      </c>
      <c r="R449" s="320">
        <v>95</v>
      </c>
      <c r="S449" s="318">
        <v>37.200000000000003</v>
      </c>
      <c r="T449" s="318">
        <v>30847.64</v>
      </c>
      <c r="U449" s="318">
        <v>66.5</v>
      </c>
      <c r="V449" s="315">
        <v>0.26</v>
      </c>
      <c r="W449" s="318">
        <v>54</v>
      </c>
      <c r="X449" s="315">
        <v>6</v>
      </c>
      <c r="Y449" s="315" t="s">
        <v>1149</v>
      </c>
      <c r="Z449" s="315">
        <v>0</v>
      </c>
      <c r="AA449" s="315" t="s">
        <v>1435</v>
      </c>
    </row>
    <row r="450" spans="1:27" s="315" customFormat="1">
      <c r="A450" s="315" t="s">
        <v>1145</v>
      </c>
      <c r="B450" s="315" t="s">
        <v>696</v>
      </c>
      <c r="C450" s="316" t="s">
        <v>1553</v>
      </c>
      <c r="D450" s="316" t="s">
        <v>1553</v>
      </c>
      <c r="E450" s="317">
        <v>0.82</v>
      </c>
      <c r="F450" s="317">
        <v>0</v>
      </c>
      <c r="G450" s="317">
        <v>0</v>
      </c>
      <c r="H450" s="317">
        <v>0</v>
      </c>
      <c r="I450" s="318">
        <v>0</v>
      </c>
      <c r="J450" s="318">
        <v>52.846788604687099</v>
      </c>
      <c r="K450" s="319">
        <v>43.558531763262401</v>
      </c>
      <c r="L450" s="319">
        <v>43.558531763262401</v>
      </c>
      <c r="M450" s="319">
        <f t="shared" si="6"/>
        <v>43.558531763262401</v>
      </c>
      <c r="N450" s="317">
        <v>0.35717996045875167</v>
      </c>
      <c r="O450" s="315" t="s">
        <v>1168</v>
      </c>
      <c r="P450" s="318">
        <v>203</v>
      </c>
      <c r="R450" s="320">
        <v>95</v>
      </c>
      <c r="S450" s="318">
        <v>36</v>
      </c>
      <c r="T450" s="318">
        <v>466</v>
      </c>
      <c r="U450" s="318">
        <v>100</v>
      </c>
      <c r="V450" s="315">
        <v>0.28000000000000003</v>
      </c>
      <c r="W450" s="318">
        <v>363</v>
      </c>
      <c r="X450" s="315">
        <v>1</v>
      </c>
      <c r="Y450" s="315" t="s">
        <v>1149</v>
      </c>
      <c r="Z450" s="315">
        <v>0</v>
      </c>
      <c r="AA450" s="315" t="s">
        <v>1435</v>
      </c>
    </row>
    <row r="451" spans="1:27" s="315" customFormat="1">
      <c r="A451" s="315" t="s">
        <v>1145</v>
      </c>
      <c r="B451" s="315" t="s">
        <v>696</v>
      </c>
      <c r="C451" s="316" t="s">
        <v>1554</v>
      </c>
      <c r="D451" s="316" t="s">
        <v>1554</v>
      </c>
      <c r="E451" s="317">
        <v>9.5399999999999991</v>
      </c>
      <c r="F451" s="317">
        <v>2.1016678442624377</v>
      </c>
      <c r="G451" s="317">
        <v>2.2570498068976872</v>
      </c>
      <c r="H451" s="317">
        <v>2.2570498068976872</v>
      </c>
      <c r="I451" s="318">
        <v>23.658803007313285</v>
      </c>
      <c r="J451" s="318">
        <v>54.881952432139897</v>
      </c>
      <c r="K451" s="319">
        <v>42.515665620683698</v>
      </c>
      <c r="L451" s="319">
        <v>18.856862613370414</v>
      </c>
      <c r="M451" s="319">
        <f t="shared" ref="M451:M514" si="7">IF(L451&lt;0,0,L451)</f>
        <v>18.856862613370414</v>
      </c>
      <c r="N451" s="317">
        <v>1.7989446933155373</v>
      </c>
      <c r="O451" s="315" t="s">
        <v>1148</v>
      </c>
      <c r="P451" s="318">
        <v>203</v>
      </c>
      <c r="R451" s="320">
        <v>95</v>
      </c>
      <c r="S451" s="318">
        <v>37.200000000000003</v>
      </c>
      <c r="T451" s="318">
        <v>119</v>
      </c>
      <c r="U451" s="318">
        <v>100</v>
      </c>
      <c r="V451" s="315">
        <v>0.3</v>
      </c>
      <c r="W451" s="318">
        <v>210</v>
      </c>
      <c r="X451" s="315">
        <v>4</v>
      </c>
      <c r="Y451" s="315" t="s">
        <v>1149</v>
      </c>
      <c r="Z451" s="315">
        <v>0</v>
      </c>
      <c r="AA451" s="315" t="s">
        <v>1435</v>
      </c>
    </row>
    <row r="452" spans="1:27" s="315" customFormat="1">
      <c r="A452" s="315" t="s">
        <v>1145</v>
      </c>
      <c r="B452" s="315" t="s">
        <v>696</v>
      </c>
      <c r="C452" s="316" t="s">
        <v>1555</v>
      </c>
      <c r="D452" s="316" t="s">
        <v>1555</v>
      </c>
      <c r="E452" s="317">
        <v>25.61</v>
      </c>
      <c r="F452" s="317">
        <v>36.803066788730185</v>
      </c>
      <c r="G452" s="317">
        <v>39.52435388975514</v>
      </c>
      <c r="H452" s="317">
        <v>39.52435388975514</v>
      </c>
      <c r="I452" s="318">
        <v>154.33172155312434</v>
      </c>
      <c r="J452" s="318">
        <v>50.628754049846698</v>
      </c>
      <c r="K452" s="319">
        <v>44.195893221686603</v>
      </c>
      <c r="L452" s="319">
        <v>-110.13582833143774</v>
      </c>
      <c r="M452" s="319">
        <f t="shared" si="7"/>
        <v>0</v>
      </c>
      <c r="N452" s="317">
        <v>0</v>
      </c>
      <c r="O452" s="315" t="s">
        <v>1148</v>
      </c>
      <c r="P452" s="318">
        <v>203</v>
      </c>
      <c r="R452" s="320">
        <v>95</v>
      </c>
      <c r="S452" s="318">
        <v>37.43</v>
      </c>
      <c r="T452" s="318">
        <v>700</v>
      </c>
      <c r="U452" s="318">
        <v>179.33333333333334</v>
      </c>
      <c r="V452" s="315">
        <v>0.21</v>
      </c>
      <c r="W452" s="318">
        <v>48</v>
      </c>
      <c r="X452" s="315">
        <v>22</v>
      </c>
      <c r="Y452" s="315" t="s">
        <v>1154</v>
      </c>
      <c r="Z452" s="315">
        <v>8</v>
      </c>
      <c r="AA452" s="315" t="s">
        <v>1435</v>
      </c>
    </row>
    <row r="453" spans="1:27" s="315" customFormat="1">
      <c r="A453" s="315" t="s">
        <v>1145</v>
      </c>
      <c r="B453" s="315" t="s">
        <v>696</v>
      </c>
      <c r="C453" s="316" t="s">
        <v>1556</v>
      </c>
      <c r="D453" s="316" t="s">
        <v>1556</v>
      </c>
      <c r="E453" s="317">
        <v>20.7</v>
      </c>
      <c r="F453" s="317">
        <v>20.870038855808506</v>
      </c>
      <c r="G453" s="317">
        <v>22.413017389435161</v>
      </c>
      <c r="H453" s="317">
        <v>24.170237749900892</v>
      </c>
      <c r="I453" s="318">
        <v>116.76443357440046</v>
      </c>
      <c r="J453" s="318">
        <v>50.635866652591403</v>
      </c>
      <c r="K453" s="319">
        <v>44.268557159794</v>
      </c>
      <c r="L453" s="319">
        <v>-72.495876414606457</v>
      </c>
      <c r="M453" s="319">
        <f t="shared" si="7"/>
        <v>0</v>
      </c>
      <c r="N453" s="317">
        <v>0</v>
      </c>
      <c r="O453" s="315" t="s">
        <v>1148</v>
      </c>
      <c r="P453" s="318">
        <v>203</v>
      </c>
      <c r="R453" s="320">
        <v>95</v>
      </c>
      <c r="S453" s="318">
        <v>47.65</v>
      </c>
      <c r="T453" s="318">
        <v>717.33333333333337</v>
      </c>
      <c r="U453" s="318">
        <v>92.833333333333329</v>
      </c>
      <c r="V453" s="315">
        <v>0.28000000000000003</v>
      </c>
      <c r="W453" s="318">
        <v>60</v>
      </c>
      <c r="X453" s="315">
        <v>8</v>
      </c>
      <c r="Y453" s="315" t="s">
        <v>1420</v>
      </c>
      <c r="Z453" s="315">
        <v>7</v>
      </c>
      <c r="AA453" s="315" t="s">
        <v>1435</v>
      </c>
    </row>
    <row r="454" spans="1:27" s="315" customFormat="1">
      <c r="A454" s="315" t="s">
        <v>1806</v>
      </c>
      <c r="B454" s="315" t="s">
        <v>696</v>
      </c>
      <c r="C454" s="316" t="s">
        <v>1557</v>
      </c>
      <c r="D454" s="316" t="s">
        <v>1557</v>
      </c>
      <c r="E454" s="317">
        <v>17.190000000000001</v>
      </c>
      <c r="F454" s="317">
        <v>0</v>
      </c>
      <c r="G454" s="317">
        <v>0</v>
      </c>
      <c r="H454" s="317">
        <v>0</v>
      </c>
      <c r="I454" s="318">
        <v>0</v>
      </c>
      <c r="J454" s="318">
        <v>52.105303577989602</v>
      </c>
      <c r="K454" s="319">
        <v>41.981878095353196</v>
      </c>
      <c r="L454" s="319">
        <v>41.981878095353196</v>
      </c>
      <c r="M454" s="319">
        <f t="shared" si="7"/>
        <v>41.981878095353196</v>
      </c>
      <c r="N454" s="317">
        <v>7.2166848445912155</v>
      </c>
      <c r="O454" s="315" t="s">
        <v>1168</v>
      </c>
      <c r="P454" s="318">
        <v>203</v>
      </c>
      <c r="R454" s="320">
        <v>95</v>
      </c>
      <c r="S454" s="318">
        <v>40</v>
      </c>
      <c r="T454" s="318">
        <v>288.66666666666669</v>
      </c>
      <c r="U454" s="318">
        <v>9</v>
      </c>
      <c r="V454" s="315">
        <v>0.22</v>
      </c>
      <c r="W454" s="318">
        <v>50</v>
      </c>
      <c r="X454" s="315">
        <v>0</v>
      </c>
      <c r="Y454" s="315" t="s">
        <v>1149</v>
      </c>
      <c r="Z454" s="315">
        <v>0</v>
      </c>
      <c r="AA454" s="315" t="s">
        <v>1435</v>
      </c>
    </row>
    <row r="455" spans="1:27" s="315" customFormat="1">
      <c r="A455" s="315" t="s">
        <v>1161</v>
      </c>
      <c r="B455" s="315" t="s">
        <v>696</v>
      </c>
      <c r="C455" s="316" t="s">
        <v>1558</v>
      </c>
      <c r="D455" s="316" t="s">
        <v>1558</v>
      </c>
      <c r="E455" s="317">
        <v>11.563000000000001</v>
      </c>
      <c r="F455" s="317">
        <v>7.5632366777062803</v>
      </c>
      <c r="G455" s="317">
        <v>8.2573977783963191</v>
      </c>
      <c r="H455" s="317">
        <v>8.2573977783963191</v>
      </c>
      <c r="I455" s="318">
        <v>71.41224404044209</v>
      </c>
      <c r="J455" s="318">
        <v>54.001027981742403</v>
      </c>
      <c r="K455" s="319">
        <v>42.281214220214203</v>
      </c>
      <c r="L455" s="319">
        <v>-29.131029820227887</v>
      </c>
      <c r="M455" s="319">
        <f t="shared" si="7"/>
        <v>0</v>
      </c>
      <c r="N455" s="317">
        <v>0</v>
      </c>
      <c r="O455" s="315" t="s">
        <v>1148</v>
      </c>
      <c r="P455" s="318">
        <v>203</v>
      </c>
      <c r="R455" s="320">
        <v>95</v>
      </c>
      <c r="S455" s="318">
        <v>40</v>
      </c>
      <c r="T455" s="318">
        <v>248.33333333333334</v>
      </c>
      <c r="U455" s="318">
        <v>69.333333333333329</v>
      </c>
      <c r="V455" s="315">
        <v>0.22</v>
      </c>
      <c r="W455" s="318">
        <v>17</v>
      </c>
      <c r="X455" s="315">
        <v>13</v>
      </c>
      <c r="Y455" s="315" t="s">
        <v>1149</v>
      </c>
      <c r="Z455" s="315">
        <v>0</v>
      </c>
      <c r="AA455" s="315" t="s">
        <v>1435</v>
      </c>
    </row>
    <row r="456" spans="1:27" s="315" customFormat="1">
      <c r="A456" s="315" t="s">
        <v>1145</v>
      </c>
      <c r="B456" s="315" t="s">
        <v>696</v>
      </c>
      <c r="C456" s="316" t="s">
        <v>1559</v>
      </c>
      <c r="D456" s="316" t="s">
        <v>1559</v>
      </c>
      <c r="E456" s="317">
        <v>9.98</v>
      </c>
      <c r="F456" s="317">
        <v>6.8071858300971728</v>
      </c>
      <c r="G456" s="317">
        <v>7.3104595506709824</v>
      </c>
      <c r="H456" s="317">
        <v>7.3104595506709824</v>
      </c>
      <c r="I456" s="318">
        <v>73.251097702114052</v>
      </c>
      <c r="J456" s="318">
        <v>51.379120781453999</v>
      </c>
      <c r="K456" s="319">
        <v>43.287891074253501</v>
      </c>
      <c r="L456" s="319">
        <v>-29.963206627860551</v>
      </c>
      <c r="M456" s="319">
        <f t="shared" si="7"/>
        <v>0</v>
      </c>
      <c r="N456" s="317">
        <v>0</v>
      </c>
      <c r="O456" s="315" t="s">
        <v>1148</v>
      </c>
      <c r="P456" s="318">
        <v>203</v>
      </c>
      <c r="R456" s="320">
        <v>95</v>
      </c>
      <c r="S456" s="318">
        <v>37.200000000000003</v>
      </c>
      <c r="T456" s="318">
        <v>1000</v>
      </c>
      <c r="U456" s="318">
        <v>15.666666666666666</v>
      </c>
      <c r="V456" s="315">
        <v>0.27</v>
      </c>
      <c r="W456" s="318">
        <v>82</v>
      </c>
      <c r="X456" s="315">
        <v>4</v>
      </c>
      <c r="Y456" s="315" t="s">
        <v>1420</v>
      </c>
      <c r="Z456" s="315">
        <v>3</v>
      </c>
      <c r="AA456" s="315" t="s">
        <v>1435</v>
      </c>
    </row>
    <row r="457" spans="1:27" s="315" customFormat="1">
      <c r="A457" s="315" t="s">
        <v>1826</v>
      </c>
      <c r="B457" s="315" t="s">
        <v>1966</v>
      </c>
      <c r="C457" s="316" t="s">
        <v>1967</v>
      </c>
      <c r="D457" s="316" t="s">
        <v>1967</v>
      </c>
      <c r="E457" s="317">
        <v>7.1</v>
      </c>
      <c r="F457" s="317">
        <v>2.0195259999999999</v>
      </c>
      <c r="G457" s="317">
        <v>2.0195259999999999</v>
      </c>
      <c r="H457" s="317">
        <v>2.0195259999999999</v>
      </c>
      <c r="I457" s="318">
        <v>28.444028169014086</v>
      </c>
      <c r="J457" s="318">
        <v>52.164150567726999</v>
      </c>
      <c r="K457" s="319">
        <v>39.387100717105703</v>
      </c>
      <c r="L457" s="319">
        <v>10.943072548091617</v>
      </c>
      <c r="M457" s="319">
        <f t="shared" si="7"/>
        <v>10.943072548091617</v>
      </c>
      <c r="N457" s="317">
        <v>0.77695815091450482</v>
      </c>
      <c r="O457" s="315" t="s">
        <v>1148</v>
      </c>
      <c r="P457" s="318">
        <v>203</v>
      </c>
      <c r="R457" s="320">
        <v>95</v>
      </c>
      <c r="S457" s="318">
        <v>46</v>
      </c>
      <c r="T457" s="318">
        <v>42.652999999999999</v>
      </c>
      <c r="U457" s="318">
        <v>219.827</v>
      </c>
      <c r="V457" s="315">
        <v>0.2</v>
      </c>
      <c r="W457" s="318">
        <v>425</v>
      </c>
      <c r="X457" s="315">
        <v>9</v>
      </c>
      <c r="Y457" s="315" t="s">
        <v>1149</v>
      </c>
      <c r="Z457" s="315">
        <v>0</v>
      </c>
      <c r="AA457" s="315" t="s">
        <v>1190</v>
      </c>
    </row>
    <row r="458" spans="1:27" s="315" customFormat="1">
      <c r="A458" s="315" t="s">
        <v>1828</v>
      </c>
      <c r="B458" s="315" t="s">
        <v>663</v>
      </c>
      <c r="C458" s="316" t="s">
        <v>1903</v>
      </c>
      <c r="D458" s="316" t="s">
        <v>1903</v>
      </c>
      <c r="E458" s="317">
        <v>26.192636193482421</v>
      </c>
      <c r="F458" s="317">
        <v>0.57089520000000016</v>
      </c>
      <c r="G458" s="317">
        <v>0.68072850000000018</v>
      </c>
      <c r="H458" s="317">
        <v>0.68072850000000018</v>
      </c>
      <c r="I458" s="318">
        <v>2.5989308406054503</v>
      </c>
      <c r="J458" s="318">
        <v>82.408513452667293</v>
      </c>
      <c r="K458" s="319">
        <v>22.561163620714801</v>
      </c>
      <c r="L458" s="319">
        <v>19.96223278010935</v>
      </c>
      <c r="M458" s="319">
        <f t="shared" si="7"/>
        <v>19.96223278010935</v>
      </c>
      <c r="N458" s="317">
        <v>5.2286350081901336</v>
      </c>
      <c r="O458" s="315" t="s">
        <v>1148</v>
      </c>
      <c r="P458" s="318">
        <v>203</v>
      </c>
      <c r="R458" s="320">
        <v>95</v>
      </c>
      <c r="S458" s="318">
        <v>34</v>
      </c>
      <c r="T458" s="318">
        <v>56.82</v>
      </c>
      <c r="U458" s="318">
        <v>597</v>
      </c>
      <c r="V458" s="315">
        <v>0.18</v>
      </c>
      <c r="W458" s="318">
        <v>21.13</v>
      </c>
      <c r="X458" s="315">
        <v>0</v>
      </c>
      <c r="Y458" s="315" t="s">
        <v>1149</v>
      </c>
      <c r="Z458" s="315">
        <v>0</v>
      </c>
      <c r="AA458" s="315" t="s">
        <v>1150</v>
      </c>
    </row>
    <row r="459" spans="1:27" s="315" customFormat="1">
      <c r="A459" s="315" t="s">
        <v>1145</v>
      </c>
      <c r="B459" s="315" t="s">
        <v>1066</v>
      </c>
      <c r="C459" s="316" t="s">
        <v>1380</v>
      </c>
      <c r="D459" s="316" t="s">
        <v>1380</v>
      </c>
      <c r="E459" s="317">
        <v>10.65</v>
      </c>
      <c r="F459" s="317">
        <v>0.43635019999999997</v>
      </c>
      <c r="G459" s="317">
        <v>0.49004750000000002</v>
      </c>
      <c r="H459" s="317">
        <v>1.4304175000000001</v>
      </c>
      <c r="I459" s="318">
        <v>13.431150234741784</v>
      </c>
      <c r="J459" s="318">
        <v>71.742443941282303</v>
      </c>
      <c r="K459" s="319">
        <v>33.935433915519297</v>
      </c>
      <c r="L459" s="319">
        <v>20.504283680777512</v>
      </c>
      <c r="M459" s="319">
        <f t="shared" si="7"/>
        <v>20.504283680777512</v>
      </c>
      <c r="N459" s="317">
        <v>2.183706212002805</v>
      </c>
      <c r="O459" s="315" t="s">
        <v>1148</v>
      </c>
      <c r="P459" s="318">
        <v>204</v>
      </c>
      <c r="R459" s="320">
        <v>95.555555555555557</v>
      </c>
      <c r="S459" s="318">
        <v>33</v>
      </c>
      <c r="T459" s="318">
        <v>493.7</v>
      </c>
      <c r="U459" s="318">
        <v>711</v>
      </c>
      <c r="V459" s="315">
        <v>0.16</v>
      </c>
      <c r="W459" s="318">
        <v>108.2</v>
      </c>
      <c r="X459" s="315">
        <v>2</v>
      </c>
      <c r="Y459" s="315" t="s">
        <v>1149</v>
      </c>
      <c r="Z459" s="315">
        <v>0</v>
      </c>
      <c r="AA459" s="315" t="s">
        <v>1157</v>
      </c>
    </row>
    <row r="460" spans="1:27" s="315" customFormat="1">
      <c r="A460" s="315" t="s">
        <v>1145</v>
      </c>
      <c r="B460" s="315" t="s">
        <v>1066</v>
      </c>
      <c r="C460" s="316" t="s">
        <v>1381</v>
      </c>
      <c r="D460" s="316" t="s">
        <v>1381</v>
      </c>
      <c r="E460" s="317">
        <v>4.96</v>
      </c>
      <c r="F460" s="317">
        <v>1.5992371000000001</v>
      </c>
      <c r="G460" s="317">
        <v>1.7435234000000002</v>
      </c>
      <c r="H460" s="317">
        <v>2.0308131</v>
      </c>
      <c r="I460" s="318">
        <v>40.9438125</v>
      </c>
      <c r="J460" s="318">
        <v>77.679257568836206</v>
      </c>
      <c r="K460" s="319">
        <v>30.1850943520652</v>
      </c>
      <c r="L460" s="319">
        <v>-10.7587181479348</v>
      </c>
      <c r="M460" s="319">
        <f t="shared" si="7"/>
        <v>0</v>
      </c>
      <c r="N460" s="317">
        <v>0</v>
      </c>
      <c r="O460" s="315" t="s">
        <v>1148</v>
      </c>
      <c r="P460" s="318">
        <v>204</v>
      </c>
      <c r="R460" s="320">
        <v>95.555555555555557</v>
      </c>
      <c r="S460" s="318">
        <v>40</v>
      </c>
      <c r="T460" s="318">
        <v>389.9</v>
      </c>
      <c r="U460" s="318">
        <v>700</v>
      </c>
      <c r="V460" s="315">
        <v>0.18</v>
      </c>
      <c r="W460" s="318">
        <v>85.6</v>
      </c>
      <c r="X460" s="315">
        <v>3</v>
      </c>
      <c r="Y460" s="315" t="s">
        <v>1149</v>
      </c>
      <c r="Z460" s="315">
        <v>0</v>
      </c>
      <c r="AA460" s="315" t="s">
        <v>1157</v>
      </c>
    </row>
    <row r="461" spans="1:27" s="315" customFormat="1">
      <c r="A461" s="315" t="s">
        <v>1145</v>
      </c>
      <c r="B461" s="315" t="s">
        <v>1066</v>
      </c>
      <c r="C461" s="316" t="s">
        <v>1382</v>
      </c>
      <c r="D461" s="316" t="s">
        <v>1382</v>
      </c>
      <c r="E461" s="317">
        <v>0.1</v>
      </c>
      <c r="F461" s="317">
        <v>0</v>
      </c>
      <c r="G461" s="317">
        <v>0</v>
      </c>
      <c r="H461" s="317">
        <v>0</v>
      </c>
      <c r="I461" s="318">
        <v>0</v>
      </c>
      <c r="J461" s="318">
        <v>79.573218498516894</v>
      </c>
      <c r="K461" s="319">
        <v>25.0058871630646</v>
      </c>
      <c r="L461" s="319">
        <v>25.0058871630646</v>
      </c>
      <c r="M461" s="319">
        <f t="shared" si="7"/>
        <v>25.0058871630646</v>
      </c>
      <c r="N461" s="317">
        <v>2.5005887163064601E-2</v>
      </c>
      <c r="O461" s="315" t="s">
        <v>1168</v>
      </c>
      <c r="P461" s="318">
        <v>204</v>
      </c>
      <c r="R461" s="320">
        <v>95.555555555555557</v>
      </c>
      <c r="S461" s="318">
        <v>38</v>
      </c>
      <c r="T461" s="318">
        <v>26.08</v>
      </c>
      <c r="U461" s="318">
        <v>384</v>
      </c>
      <c r="V461" s="315">
        <v>0.13300000000000001</v>
      </c>
      <c r="W461" s="318">
        <v>1.92</v>
      </c>
      <c r="X461" s="315">
        <v>0</v>
      </c>
      <c r="Y461" s="315" t="s">
        <v>1149</v>
      </c>
      <c r="Z461" s="315">
        <v>0</v>
      </c>
      <c r="AA461" s="315" t="s">
        <v>1157</v>
      </c>
    </row>
    <row r="462" spans="1:27" s="315" customFormat="1">
      <c r="A462" s="315" t="s">
        <v>1145</v>
      </c>
      <c r="B462" s="315" t="s">
        <v>1066</v>
      </c>
      <c r="C462" s="316" t="s">
        <v>1383</v>
      </c>
      <c r="D462" s="316" t="s">
        <v>1383</v>
      </c>
      <c r="E462" s="317">
        <v>1.48265</v>
      </c>
      <c r="F462" s="317">
        <v>1.0071147</v>
      </c>
      <c r="G462" s="317">
        <v>1.0979785</v>
      </c>
      <c r="H462" s="317">
        <v>1.140047</v>
      </c>
      <c r="I462" s="318">
        <v>76.892523522071969</v>
      </c>
      <c r="J462" s="318">
        <v>77.330139522116397</v>
      </c>
      <c r="K462" s="319">
        <v>29.004698586343402</v>
      </c>
      <c r="L462" s="319">
        <v>-47.887824935728567</v>
      </c>
      <c r="M462" s="319">
        <f t="shared" si="7"/>
        <v>0</v>
      </c>
      <c r="N462" s="317">
        <v>0</v>
      </c>
      <c r="O462" s="315" t="s">
        <v>1148</v>
      </c>
      <c r="P462" s="318">
        <v>204</v>
      </c>
      <c r="R462" s="320">
        <v>95.555555555555557</v>
      </c>
      <c r="S462" s="318">
        <v>38</v>
      </c>
      <c r="T462" s="318">
        <v>48.2</v>
      </c>
      <c r="U462" s="318">
        <v>48.2</v>
      </c>
      <c r="V462" s="315">
        <v>0.14099999999999999</v>
      </c>
      <c r="W462" s="318">
        <v>9.89</v>
      </c>
      <c r="X462" s="315">
        <v>3</v>
      </c>
      <c r="Y462" s="315" t="s">
        <v>1149</v>
      </c>
      <c r="Z462" s="315">
        <v>0</v>
      </c>
      <c r="AA462" s="315" t="s">
        <v>1157</v>
      </c>
    </row>
    <row r="463" spans="1:27" s="315" customFormat="1">
      <c r="A463" s="315" t="s">
        <v>1145</v>
      </c>
      <c r="B463" s="315" t="s">
        <v>1066</v>
      </c>
      <c r="C463" s="316" t="s">
        <v>1384</v>
      </c>
      <c r="D463" s="316" t="s">
        <v>1384</v>
      </c>
      <c r="E463" s="317">
        <v>33.85</v>
      </c>
      <c r="F463" s="317">
        <v>1.1275660999999999</v>
      </c>
      <c r="G463" s="317">
        <v>1.2292972999999998</v>
      </c>
      <c r="H463" s="317">
        <v>1.7739528999999998</v>
      </c>
      <c r="I463" s="318">
        <v>5.2406289512555384</v>
      </c>
      <c r="J463" s="318">
        <v>47.025901353726397</v>
      </c>
      <c r="K463" s="319">
        <v>38.523777411922502</v>
      </c>
      <c r="L463" s="319">
        <v>33.283148460666965</v>
      </c>
      <c r="M463" s="319">
        <f t="shared" si="7"/>
        <v>33.283148460666965</v>
      </c>
      <c r="N463" s="317">
        <v>11.266345753935768</v>
      </c>
      <c r="O463" s="315" t="s">
        <v>1148</v>
      </c>
      <c r="P463" s="318">
        <v>204</v>
      </c>
      <c r="R463" s="320">
        <v>95.555555555555557</v>
      </c>
      <c r="S463" s="318">
        <v>40</v>
      </c>
      <c r="T463" s="318">
        <v>35.421590000000002</v>
      </c>
      <c r="U463" s="318">
        <v>26.454999999999998</v>
      </c>
      <c r="V463" s="315">
        <v>0.153532</v>
      </c>
      <c r="W463" s="318">
        <v>26.60528</v>
      </c>
      <c r="X463" s="315">
        <v>24</v>
      </c>
      <c r="Y463" s="315" t="s">
        <v>1149</v>
      </c>
      <c r="Z463" s="315">
        <v>0</v>
      </c>
      <c r="AA463" s="315" t="s">
        <v>1157</v>
      </c>
    </row>
    <row r="464" spans="1:27" s="315" customFormat="1">
      <c r="A464" s="315" t="s">
        <v>1835</v>
      </c>
      <c r="B464" s="315" t="s">
        <v>1066</v>
      </c>
      <c r="C464" s="316" t="s">
        <v>1385</v>
      </c>
      <c r="D464" s="316" t="s">
        <v>1385</v>
      </c>
      <c r="E464" s="317">
        <v>18.670000000000002</v>
      </c>
      <c r="F464" s="317">
        <v>1.0593292000000001</v>
      </c>
      <c r="G464" s="317">
        <v>1.1827940000000001</v>
      </c>
      <c r="H464" s="317">
        <v>2.3327211000000001</v>
      </c>
      <c r="I464" s="318">
        <v>12.494489019817889</v>
      </c>
      <c r="J464" s="318">
        <v>47.0744090624884</v>
      </c>
      <c r="K464" s="319">
        <v>39.5963487188343</v>
      </c>
      <c r="L464" s="319">
        <v>27.101859699016408</v>
      </c>
      <c r="M464" s="319">
        <f t="shared" si="7"/>
        <v>27.101859699016408</v>
      </c>
      <c r="N464" s="317">
        <v>5.0599172058063635</v>
      </c>
      <c r="O464" s="315" t="s">
        <v>1148</v>
      </c>
      <c r="P464" s="318">
        <v>204</v>
      </c>
      <c r="R464" s="320">
        <v>95.555555555555557</v>
      </c>
      <c r="S464" s="318">
        <v>40</v>
      </c>
      <c r="T464" s="318">
        <v>34.716009999999997</v>
      </c>
      <c r="U464" s="318">
        <v>27.498999999999999</v>
      </c>
      <c r="V464" s="315">
        <v>0.153532</v>
      </c>
      <c r="W464" s="318">
        <v>28.231390000000001</v>
      </c>
      <c r="X464" s="315">
        <v>16</v>
      </c>
      <c r="Y464" s="315" t="s">
        <v>1149</v>
      </c>
      <c r="Z464" s="315">
        <v>0</v>
      </c>
      <c r="AA464" s="315" t="s">
        <v>1157</v>
      </c>
    </row>
    <row r="465" spans="1:27" s="315" customFormat="1">
      <c r="A465" s="315" t="s">
        <v>1145</v>
      </c>
      <c r="B465" s="315" t="s">
        <v>1066</v>
      </c>
      <c r="C465" s="316" t="s">
        <v>1386</v>
      </c>
      <c r="D465" s="316" t="s">
        <v>1386</v>
      </c>
      <c r="E465" s="317">
        <v>7.09</v>
      </c>
      <c r="F465" s="317">
        <v>0</v>
      </c>
      <c r="G465" s="317">
        <v>0</v>
      </c>
      <c r="H465" s="317">
        <v>5.5284E-2</v>
      </c>
      <c r="I465" s="318">
        <v>0.77974612129760223</v>
      </c>
      <c r="J465" s="318">
        <v>53.218969456399201</v>
      </c>
      <c r="K465" s="319">
        <v>38.587021039945398</v>
      </c>
      <c r="L465" s="319">
        <v>37.807274918647799</v>
      </c>
      <c r="M465" s="319">
        <f t="shared" si="7"/>
        <v>37.807274918647799</v>
      </c>
      <c r="N465" s="317">
        <v>2.6805357917321291</v>
      </c>
      <c r="O465" s="315" t="s">
        <v>1168</v>
      </c>
      <c r="P465" s="318">
        <v>204</v>
      </c>
      <c r="R465" s="320">
        <v>95.555555555555557</v>
      </c>
      <c r="S465" s="318">
        <v>40</v>
      </c>
      <c r="T465" s="318">
        <v>91.6</v>
      </c>
      <c r="U465" s="318">
        <v>203.19</v>
      </c>
      <c r="V465" s="315">
        <v>0.187</v>
      </c>
      <c r="W465" s="318">
        <v>34.799999999999997</v>
      </c>
      <c r="X465" s="315">
        <v>1</v>
      </c>
      <c r="Y465" s="315" t="s">
        <v>1149</v>
      </c>
      <c r="Z465" s="315">
        <v>0</v>
      </c>
      <c r="AA465" s="315" t="s">
        <v>1157</v>
      </c>
    </row>
    <row r="466" spans="1:27" s="315" customFormat="1">
      <c r="A466" s="315" t="s">
        <v>1145</v>
      </c>
      <c r="B466" s="315" t="s">
        <v>1066</v>
      </c>
      <c r="C466" s="316" t="s">
        <v>1387</v>
      </c>
      <c r="D466" s="316" t="s">
        <v>1387</v>
      </c>
      <c r="E466" s="317">
        <v>5.19</v>
      </c>
      <c r="F466" s="317">
        <v>0.112848</v>
      </c>
      <c r="G466" s="317">
        <v>0.12302940000000001</v>
      </c>
      <c r="H466" s="317">
        <v>0.1830272</v>
      </c>
      <c r="I466" s="318">
        <v>3.5265356454720611</v>
      </c>
      <c r="J466" s="318">
        <v>80.768479166742594</v>
      </c>
      <c r="K466" s="319">
        <v>27.930782475423698</v>
      </c>
      <c r="L466" s="319">
        <v>24.404246829951635</v>
      </c>
      <c r="M466" s="319">
        <f t="shared" si="7"/>
        <v>24.404246829951635</v>
      </c>
      <c r="N466" s="317">
        <v>1.26658041047449</v>
      </c>
      <c r="O466" s="315" t="s">
        <v>1148</v>
      </c>
      <c r="P466" s="318">
        <v>204</v>
      </c>
      <c r="R466" s="320">
        <v>95.555555555555557</v>
      </c>
      <c r="S466" s="318">
        <v>40</v>
      </c>
      <c r="T466" s="318">
        <v>56.4</v>
      </c>
      <c r="U466" s="318">
        <v>700</v>
      </c>
      <c r="V466" s="315">
        <v>0.19500000000000001</v>
      </c>
      <c r="W466" s="318">
        <v>214.9</v>
      </c>
      <c r="X466" s="315">
        <v>1</v>
      </c>
      <c r="Y466" s="315" t="s">
        <v>1149</v>
      </c>
      <c r="Z466" s="315">
        <v>0</v>
      </c>
      <c r="AA466" s="315" t="s">
        <v>1157</v>
      </c>
    </row>
    <row r="467" spans="1:27" s="315" customFormat="1">
      <c r="A467" s="315" t="s">
        <v>1835</v>
      </c>
      <c r="B467" s="315" t="s">
        <v>1066</v>
      </c>
      <c r="C467" s="316" t="s">
        <v>1388</v>
      </c>
      <c r="D467" s="316" t="s">
        <v>1388</v>
      </c>
      <c r="E467" s="317">
        <v>12.73</v>
      </c>
      <c r="F467" s="317">
        <v>2.3894685</v>
      </c>
      <c r="G467" s="317">
        <v>2.605051</v>
      </c>
      <c r="H467" s="317">
        <v>5.0435971000000004</v>
      </c>
      <c r="I467" s="318">
        <v>39.619772977219171</v>
      </c>
      <c r="J467" s="318">
        <v>67.912356315028305</v>
      </c>
      <c r="K467" s="319">
        <v>34.127972714820295</v>
      </c>
      <c r="L467" s="319">
        <v>-5.4918002623988755</v>
      </c>
      <c r="M467" s="319">
        <f t="shared" si="7"/>
        <v>0</v>
      </c>
      <c r="N467" s="317">
        <v>0</v>
      </c>
      <c r="O467" s="315" t="s">
        <v>1148</v>
      </c>
      <c r="P467" s="318">
        <v>204</v>
      </c>
      <c r="R467" s="320">
        <v>95.555555555555557</v>
      </c>
      <c r="S467" s="318">
        <v>40</v>
      </c>
      <c r="T467" s="318">
        <v>445.4</v>
      </c>
      <c r="U467" s="318">
        <v>595</v>
      </c>
      <c r="V467" s="315">
        <v>0.159</v>
      </c>
      <c r="W467" s="318">
        <v>9.6999999999999993</v>
      </c>
      <c r="X467" s="315">
        <v>18</v>
      </c>
      <c r="Y467" s="315" t="s">
        <v>1149</v>
      </c>
      <c r="Z467" s="315">
        <v>0</v>
      </c>
      <c r="AA467" s="315" t="s">
        <v>1157</v>
      </c>
    </row>
    <row r="468" spans="1:27" s="315" customFormat="1">
      <c r="A468" s="315" t="s">
        <v>1840</v>
      </c>
      <c r="B468" s="315" t="s">
        <v>1066</v>
      </c>
      <c r="C468" s="316" t="s">
        <v>1389</v>
      </c>
      <c r="D468" s="316" t="s">
        <v>1389</v>
      </c>
      <c r="E468" s="317">
        <v>2.67</v>
      </c>
      <c r="F468" s="317">
        <v>0.13080320000000001</v>
      </c>
      <c r="G468" s="317">
        <v>0.14260450000000002</v>
      </c>
      <c r="H468" s="317">
        <v>0.58969170000000004</v>
      </c>
      <c r="I468" s="318">
        <v>22.085831460674161</v>
      </c>
      <c r="J468" s="318">
        <v>68.005656273063906</v>
      </c>
      <c r="K468" s="319">
        <v>35.012208122323798</v>
      </c>
      <c r="L468" s="319">
        <v>12.926376661649638</v>
      </c>
      <c r="M468" s="319">
        <f t="shared" si="7"/>
        <v>12.926376661649638</v>
      </c>
      <c r="N468" s="317">
        <v>0.34513425686604532</v>
      </c>
      <c r="O468" s="315" t="s">
        <v>1148</v>
      </c>
      <c r="P468" s="318">
        <v>204</v>
      </c>
      <c r="R468" s="320">
        <v>95.555555555555557</v>
      </c>
      <c r="S468" s="318">
        <v>40</v>
      </c>
      <c r="T468" s="318">
        <v>90.6</v>
      </c>
      <c r="U468" s="318">
        <v>357</v>
      </c>
      <c r="V468" s="315">
        <v>0.21</v>
      </c>
      <c r="W468" s="318">
        <v>191.1</v>
      </c>
      <c r="X468" s="315">
        <v>8</v>
      </c>
      <c r="Y468" s="315" t="s">
        <v>1149</v>
      </c>
      <c r="Z468" s="315">
        <v>0</v>
      </c>
      <c r="AA468" s="315" t="s">
        <v>1157</v>
      </c>
    </row>
    <row r="469" spans="1:27" s="315" customFormat="1">
      <c r="A469" s="315" t="s">
        <v>1145</v>
      </c>
      <c r="B469" s="315" t="s">
        <v>1068</v>
      </c>
      <c r="C469" s="316" t="s">
        <v>1423</v>
      </c>
      <c r="D469" s="316" t="s">
        <v>1424</v>
      </c>
      <c r="E469" s="317">
        <v>88</v>
      </c>
      <c r="F469" s="317">
        <v>42.790948899481279</v>
      </c>
      <c r="G469" s="317">
        <v>50.659509632738022</v>
      </c>
      <c r="H469" s="317">
        <v>50.659509632738022</v>
      </c>
      <c r="I469" s="318">
        <v>57.56762458265684</v>
      </c>
      <c r="J469" s="318">
        <v>42.877427296820798</v>
      </c>
      <c r="K469" s="319">
        <v>45.217462451600397</v>
      </c>
      <c r="L469" s="319">
        <v>-12.350162131056443</v>
      </c>
      <c r="M469" s="319">
        <f t="shared" si="7"/>
        <v>0</v>
      </c>
      <c r="N469" s="317">
        <v>0</v>
      </c>
      <c r="O469" s="315" t="s">
        <v>1148</v>
      </c>
      <c r="P469" s="318">
        <v>204</v>
      </c>
      <c r="R469" s="320">
        <v>95.555555555555557</v>
      </c>
      <c r="S469" s="318">
        <v>40</v>
      </c>
      <c r="T469" s="318">
        <v>144</v>
      </c>
      <c r="U469" s="318">
        <v>105</v>
      </c>
      <c r="V469" s="315">
        <v>0.2</v>
      </c>
      <c r="W469" s="318">
        <v>50</v>
      </c>
      <c r="X469" s="315">
        <v>11</v>
      </c>
      <c r="Y469" s="315" t="s">
        <v>1420</v>
      </c>
      <c r="Z469" s="315">
        <v>4</v>
      </c>
      <c r="AA469" s="315" t="s">
        <v>1190</v>
      </c>
    </row>
    <row r="470" spans="1:27" s="315" customFormat="1">
      <c r="A470" s="315" t="s">
        <v>1145</v>
      </c>
      <c r="B470" s="315" t="s">
        <v>696</v>
      </c>
      <c r="C470" s="316" t="s">
        <v>1560</v>
      </c>
      <c r="D470" s="316" t="s">
        <v>1560</v>
      </c>
      <c r="E470" s="317">
        <v>10.4</v>
      </c>
      <c r="F470" s="317">
        <v>0</v>
      </c>
      <c r="G470" s="317">
        <v>0</v>
      </c>
      <c r="H470" s="317">
        <v>0</v>
      </c>
      <c r="I470" s="318">
        <v>0</v>
      </c>
      <c r="J470" s="318">
        <v>55.189061176884998</v>
      </c>
      <c r="K470" s="319">
        <v>41.0321950099042</v>
      </c>
      <c r="L470" s="319">
        <v>41.0321950099042</v>
      </c>
      <c r="M470" s="319">
        <f t="shared" si="7"/>
        <v>41.0321950099042</v>
      </c>
      <c r="N470" s="317">
        <v>4.2673482810300367</v>
      </c>
      <c r="O470" s="315" t="s">
        <v>1168</v>
      </c>
      <c r="P470" s="318">
        <v>204</v>
      </c>
      <c r="R470" s="320">
        <v>95.555555555555557</v>
      </c>
      <c r="S470" s="318">
        <v>40</v>
      </c>
      <c r="T470" s="318">
        <v>250.66666666666666</v>
      </c>
      <c r="U470" s="318">
        <v>88</v>
      </c>
      <c r="V470" s="315">
        <v>0.21</v>
      </c>
      <c r="W470" s="318">
        <v>100</v>
      </c>
      <c r="X470" s="315">
        <v>5</v>
      </c>
      <c r="Y470" s="315" t="s">
        <v>1154</v>
      </c>
      <c r="Z470" s="315">
        <v>1</v>
      </c>
      <c r="AA470" s="315" t="s">
        <v>1435</v>
      </c>
    </row>
    <row r="471" spans="1:27" s="315" customFormat="1">
      <c r="A471" s="315" t="s">
        <v>1145</v>
      </c>
      <c r="B471" s="315" t="s">
        <v>1066</v>
      </c>
      <c r="C471" s="316" t="s">
        <v>1390</v>
      </c>
      <c r="D471" s="316" t="s">
        <v>1390</v>
      </c>
      <c r="E471" s="317">
        <v>12.11</v>
      </c>
      <c r="F471" s="317">
        <v>0</v>
      </c>
      <c r="G471" s="317">
        <v>0</v>
      </c>
      <c r="H471" s="317">
        <v>0</v>
      </c>
      <c r="I471" s="318">
        <v>0</v>
      </c>
      <c r="J471" s="318">
        <v>58.674229321321199</v>
      </c>
      <c r="K471" s="319">
        <v>39.339182527695399</v>
      </c>
      <c r="L471" s="319">
        <v>39.339182527695399</v>
      </c>
      <c r="M471" s="319">
        <f t="shared" si="7"/>
        <v>39.339182527695399</v>
      </c>
      <c r="N471" s="317">
        <v>4.7639750041039122</v>
      </c>
      <c r="O471" s="315" t="s">
        <v>1168</v>
      </c>
      <c r="P471" s="318">
        <v>204.7</v>
      </c>
      <c r="R471" s="320">
        <v>95.944444444444443</v>
      </c>
      <c r="S471" s="318">
        <v>33</v>
      </c>
      <c r="T471" s="318">
        <v>728</v>
      </c>
      <c r="U471" s="318">
        <v>728</v>
      </c>
      <c r="V471" s="315">
        <v>0.2</v>
      </c>
      <c r="W471" s="318">
        <v>246.3</v>
      </c>
      <c r="X471" s="315">
        <v>2</v>
      </c>
      <c r="Y471" s="315" t="s">
        <v>1149</v>
      </c>
      <c r="Z471" s="315">
        <v>0</v>
      </c>
      <c r="AA471" s="315" t="s">
        <v>1157</v>
      </c>
    </row>
    <row r="472" spans="1:27" s="315" customFormat="1">
      <c r="A472" s="315" t="s">
        <v>1145</v>
      </c>
      <c r="B472" s="315" t="s">
        <v>696</v>
      </c>
      <c r="C472" s="316" t="s">
        <v>1561</v>
      </c>
      <c r="D472" s="316" t="s">
        <v>1561</v>
      </c>
      <c r="E472" s="317">
        <v>7.5010000000000003</v>
      </c>
      <c r="F472" s="317">
        <v>6.3403582537185716</v>
      </c>
      <c r="G472" s="317">
        <v>6.8122138289592691</v>
      </c>
      <c r="H472" s="317">
        <v>6.8122138289592691</v>
      </c>
      <c r="I472" s="318">
        <v>90.817408731626031</v>
      </c>
      <c r="J472" s="318">
        <v>50.388137409673497</v>
      </c>
      <c r="K472" s="319">
        <v>42.395389532136903</v>
      </c>
      <c r="L472" s="319">
        <v>-48.422019199489128</v>
      </c>
      <c r="M472" s="319">
        <f t="shared" si="7"/>
        <v>0</v>
      </c>
      <c r="N472" s="317">
        <v>0</v>
      </c>
      <c r="O472" s="315" t="s">
        <v>1148</v>
      </c>
      <c r="P472" s="318">
        <v>205</v>
      </c>
      <c r="R472" s="320">
        <v>96.111111111111114</v>
      </c>
      <c r="S472" s="318">
        <v>37</v>
      </c>
      <c r="T472" s="318">
        <v>200</v>
      </c>
      <c r="U472" s="318">
        <v>100</v>
      </c>
      <c r="V472" s="315">
        <v>0.24</v>
      </c>
      <c r="W472" s="318">
        <v>100</v>
      </c>
      <c r="X472" s="315">
        <v>6</v>
      </c>
      <c r="Y472" s="315" t="s">
        <v>1154</v>
      </c>
      <c r="Z472" s="315">
        <v>3</v>
      </c>
      <c r="AA472" s="315" t="s">
        <v>1435</v>
      </c>
    </row>
    <row r="473" spans="1:27" s="315" customFormat="1">
      <c r="A473" s="315" t="s">
        <v>1145</v>
      </c>
      <c r="B473" s="315" t="s">
        <v>696</v>
      </c>
      <c r="C473" s="316" t="s">
        <v>1563</v>
      </c>
      <c r="D473" s="316" t="s">
        <v>1563</v>
      </c>
      <c r="E473" s="317">
        <v>2.82</v>
      </c>
      <c r="F473" s="317">
        <v>0</v>
      </c>
      <c r="G473" s="317">
        <v>0</v>
      </c>
      <c r="H473" s="317">
        <v>0</v>
      </c>
      <c r="I473" s="318">
        <v>0</v>
      </c>
      <c r="J473" s="318">
        <v>48.872408167902002</v>
      </c>
      <c r="K473" s="319">
        <v>38.657076508573503</v>
      </c>
      <c r="L473" s="319">
        <v>38.657076508573503</v>
      </c>
      <c r="M473" s="319">
        <f t="shared" si="7"/>
        <v>38.657076508573503</v>
      </c>
      <c r="N473" s="317">
        <v>1.0901295575417727</v>
      </c>
      <c r="O473" s="315" t="s">
        <v>1168</v>
      </c>
      <c r="P473" s="318">
        <v>205</v>
      </c>
      <c r="R473" s="320">
        <v>96.111111111111114</v>
      </c>
      <c r="S473" s="318">
        <v>39.9</v>
      </c>
      <c r="T473" s="318">
        <v>300</v>
      </c>
      <c r="U473" s="318">
        <v>342.5</v>
      </c>
      <c r="V473" s="315">
        <v>0.20619999999999997</v>
      </c>
      <c r="W473" s="318">
        <v>25.477959999999999</v>
      </c>
      <c r="X473" s="315">
        <v>2</v>
      </c>
      <c r="Y473" s="315" t="s">
        <v>1154</v>
      </c>
      <c r="Z473" s="315">
        <v>3</v>
      </c>
      <c r="AA473" s="315" t="s">
        <v>1435</v>
      </c>
    </row>
    <row r="474" spans="1:27" s="315" customFormat="1">
      <c r="A474" s="315" t="s">
        <v>1145</v>
      </c>
      <c r="B474" s="315" t="s">
        <v>696</v>
      </c>
      <c r="C474" s="316" t="s">
        <v>1564</v>
      </c>
      <c r="D474" s="316" t="s">
        <v>1564</v>
      </c>
      <c r="E474" s="317">
        <v>21.16</v>
      </c>
      <c r="F474" s="317">
        <v>8.7253560657224707</v>
      </c>
      <c r="G474" s="317">
        <v>9.3704452831583431</v>
      </c>
      <c r="H474" s="317">
        <v>9.3704452831583431</v>
      </c>
      <c r="I474" s="318">
        <v>44.283767878820143</v>
      </c>
      <c r="J474" s="318">
        <v>51.518320035233501</v>
      </c>
      <c r="K474" s="319">
        <v>38.060597591367703</v>
      </c>
      <c r="L474" s="319">
        <v>-6.2231702874524402</v>
      </c>
      <c r="M474" s="319">
        <f t="shared" si="7"/>
        <v>0</v>
      </c>
      <c r="N474" s="317">
        <v>0</v>
      </c>
      <c r="O474" s="315" t="s">
        <v>1148</v>
      </c>
      <c r="P474" s="318">
        <v>205</v>
      </c>
      <c r="R474" s="320">
        <v>96.111111111111114</v>
      </c>
      <c r="S474" s="318">
        <v>33</v>
      </c>
      <c r="T474" s="318">
        <v>355.4</v>
      </c>
      <c r="U474" s="318">
        <v>240</v>
      </c>
      <c r="V474" s="315">
        <v>0.22</v>
      </c>
      <c r="W474" s="318">
        <v>70</v>
      </c>
      <c r="X474" s="315">
        <v>7</v>
      </c>
      <c r="Y474" s="315" t="s">
        <v>1154</v>
      </c>
      <c r="Z474" s="315">
        <v>3</v>
      </c>
      <c r="AA474" s="315" t="s">
        <v>1435</v>
      </c>
    </row>
    <row r="475" spans="1:27" s="315" customFormat="1">
      <c r="B475" s="315" t="s">
        <v>696</v>
      </c>
      <c r="C475" s="316" t="s">
        <v>1565</v>
      </c>
      <c r="D475" s="316" t="s">
        <v>1565</v>
      </c>
      <c r="E475" s="317">
        <v>22.1</v>
      </c>
      <c r="F475" s="317">
        <v>3.0924784308576978</v>
      </c>
      <c r="G475" s="317">
        <v>3.321113768711617</v>
      </c>
      <c r="H475" s="317">
        <v>3.321113768711617</v>
      </c>
      <c r="I475" s="318">
        <v>15.027664111817272</v>
      </c>
      <c r="J475" s="318">
        <v>56.329308811608001</v>
      </c>
      <c r="K475" s="319">
        <v>40.583728506092001</v>
      </c>
      <c r="L475" s="319">
        <v>25.556064394274728</v>
      </c>
      <c r="M475" s="319">
        <f t="shared" si="7"/>
        <v>25.556064394274728</v>
      </c>
      <c r="N475" s="317">
        <v>5.6478902311347161</v>
      </c>
      <c r="O475" s="315" t="s">
        <v>1148</v>
      </c>
      <c r="P475" s="318">
        <v>205</v>
      </c>
      <c r="R475" s="320">
        <v>96.111111111111114</v>
      </c>
      <c r="S475" s="318">
        <v>34</v>
      </c>
      <c r="T475" s="318">
        <v>314.39999999999998</v>
      </c>
      <c r="U475" s="318">
        <v>146.80000000000001</v>
      </c>
      <c r="V475" s="315">
        <v>0.22</v>
      </c>
      <c r="W475" s="318">
        <v>60</v>
      </c>
      <c r="X475" s="315">
        <v>3</v>
      </c>
      <c r="Y475" s="315" t="s">
        <v>1154</v>
      </c>
      <c r="Z475" s="315">
        <v>2</v>
      </c>
      <c r="AA475" s="315" t="s">
        <v>1435</v>
      </c>
    </row>
    <row r="476" spans="1:27" s="315" customFormat="1">
      <c r="A476" s="315" t="s">
        <v>1145</v>
      </c>
      <c r="B476" s="315" t="s">
        <v>696</v>
      </c>
      <c r="C476" s="316" t="s">
        <v>1566</v>
      </c>
      <c r="D476" s="316" t="s">
        <v>1566</v>
      </c>
      <c r="E476" s="317">
        <v>22.1</v>
      </c>
      <c r="F476" s="317">
        <v>3.0924784308576978</v>
      </c>
      <c r="G476" s="317">
        <v>3.321113768711617</v>
      </c>
      <c r="H476" s="317">
        <v>3.321113768711617</v>
      </c>
      <c r="I476" s="318">
        <v>15.027664111817272</v>
      </c>
      <c r="J476" s="318">
        <v>57.790073075332899</v>
      </c>
      <c r="K476" s="319">
        <v>39.938429114772099</v>
      </c>
      <c r="L476" s="319">
        <v>24.910765002954825</v>
      </c>
      <c r="M476" s="319">
        <f t="shared" si="7"/>
        <v>24.910765002954825</v>
      </c>
      <c r="N476" s="317">
        <v>5.5052790656530171</v>
      </c>
      <c r="O476" s="315" t="s">
        <v>1148</v>
      </c>
      <c r="P476" s="318">
        <v>205</v>
      </c>
      <c r="R476" s="320">
        <v>96.111111111111114</v>
      </c>
      <c r="S476" s="318">
        <v>37.130000000000003</v>
      </c>
      <c r="T476" s="318">
        <v>256.8</v>
      </c>
      <c r="U476" s="318">
        <v>148.80000000000001</v>
      </c>
      <c r="V476" s="315">
        <v>0.22</v>
      </c>
      <c r="W476" s="318">
        <v>50</v>
      </c>
      <c r="X476" s="315">
        <v>0</v>
      </c>
      <c r="Y476" s="315" t="s">
        <v>1154</v>
      </c>
      <c r="Z476" s="315">
        <v>7</v>
      </c>
      <c r="AA476" s="315" t="s">
        <v>1435</v>
      </c>
    </row>
    <row r="477" spans="1:27" s="315" customFormat="1">
      <c r="A477" s="315" t="s">
        <v>1145</v>
      </c>
      <c r="B477" s="315" t="s">
        <v>696</v>
      </c>
      <c r="C477" s="316" t="s">
        <v>1567</v>
      </c>
      <c r="D477" s="316" t="s">
        <v>1567</v>
      </c>
      <c r="E477" s="317">
        <v>27.79</v>
      </c>
      <c r="F477" s="317">
        <v>2.7789230452217093</v>
      </c>
      <c r="G477" s="317">
        <v>2.9848634556324294</v>
      </c>
      <c r="H477" s="317">
        <v>9.3824026283915671</v>
      </c>
      <c r="I477" s="318">
        <v>33.761794272729638</v>
      </c>
      <c r="J477" s="318">
        <v>57.374542578723798</v>
      </c>
      <c r="K477" s="319">
        <v>36.6114099116689</v>
      </c>
      <c r="L477" s="319">
        <v>2.8496156389392624</v>
      </c>
      <c r="M477" s="319">
        <f t="shared" si="7"/>
        <v>2.8496156389392624</v>
      </c>
      <c r="N477" s="317">
        <v>0.79190818606122104</v>
      </c>
      <c r="O477" s="315" t="s">
        <v>1148</v>
      </c>
      <c r="P477" s="318">
        <v>205</v>
      </c>
      <c r="R477" s="320">
        <v>96.111111111111114</v>
      </c>
      <c r="S477" s="318">
        <v>37</v>
      </c>
      <c r="T477" s="318">
        <v>440.8</v>
      </c>
      <c r="U477" s="318">
        <v>108.8</v>
      </c>
      <c r="V477" s="315">
        <v>0.22</v>
      </c>
      <c r="W477" s="318">
        <v>50</v>
      </c>
      <c r="X477" s="315">
        <v>0</v>
      </c>
      <c r="Y477" s="315" t="s">
        <v>1154</v>
      </c>
      <c r="Z477" s="315">
        <v>7</v>
      </c>
      <c r="AA477" s="315" t="s">
        <v>1435</v>
      </c>
    </row>
    <row r="478" spans="1:27" s="315" customFormat="1">
      <c r="A478" s="315" t="s">
        <v>1145</v>
      </c>
      <c r="B478" s="315" t="s">
        <v>696</v>
      </c>
      <c r="C478" s="316" t="s">
        <v>1568</v>
      </c>
      <c r="D478" s="316" t="s">
        <v>1568</v>
      </c>
      <c r="E478" s="317">
        <v>27.79</v>
      </c>
      <c r="F478" s="317">
        <v>2.7789230452217093</v>
      </c>
      <c r="G478" s="317">
        <v>2.9848634556324294</v>
      </c>
      <c r="H478" s="317">
        <v>9.3824026283915671</v>
      </c>
      <c r="I478" s="318">
        <v>33.761794272729638</v>
      </c>
      <c r="J478" s="318">
        <v>51.695728016615902</v>
      </c>
      <c r="K478" s="319">
        <v>38.280572755571804</v>
      </c>
      <c r="L478" s="319">
        <v>4.5187784828421655</v>
      </c>
      <c r="M478" s="319">
        <f t="shared" si="7"/>
        <v>4.5187784828421655</v>
      </c>
      <c r="N478" s="317">
        <v>1.2557685403818377</v>
      </c>
      <c r="O478" s="315" t="s">
        <v>1148</v>
      </c>
      <c r="P478" s="318">
        <v>205</v>
      </c>
      <c r="R478" s="320">
        <v>96.111111111111114</v>
      </c>
      <c r="S478" s="318">
        <v>38</v>
      </c>
      <c r="T478" s="318">
        <v>381.8</v>
      </c>
      <c r="U478" s="318">
        <v>119.4</v>
      </c>
      <c r="V478" s="315">
        <v>0.22</v>
      </c>
      <c r="W478" s="318">
        <v>60</v>
      </c>
      <c r="X478" s="315">
        <v>0</v>
      </c>
      <c r="Y478" s="315" t="s">
        <v>1154</v>
      </c>
      <c r="Z478" s="315">
        <v>7</v>
      </c>
      <c r="AA478" s="315" t="s">
        <v>1435</v>
      </c>
    </row>
    <row r="479" spans="1:27" s="315" customFormat="1">
      <c r="A479" s="315" t="s">
        <v>1852</v>
      </c>
      <c r="B479" s="315" t="s">
        <v>696</v>
      </c>
      <c r="C479" s="316" t="s">
        <v>1570</v>
      </c>
      <c r="D479" s="316" t="s">
        <v>1570</v>
      </c>
      <c r="E479" s="317">
        <v>12.58</v>
      </c>
      <c r="F479" s="317">
        <v>0</v>
      </c>
      <c r="G479" s="317">
        <v>0</v>
      </c>
      <c r="H479" s="317">
        <v>1.31</v>
      </c>
      <c r="I479" s="318">
        <v>10.413354531001589</v>
      </c>
      <c r="J479" s="318">
        <v>52.237509664499797</v>
      </c>
      <c r="K479" s="319">
        <v>38.167742427382301</v>
      </c>
      <c r="L479" s="319">
        <v>27.754387896380713</v>
      </c>
      <c r="M479" s="319">
        <f t="shared" si="7"/>
        <v>27.754387896380713</v>
      </c>
      <c r="N479" s="317">
        <v>3.4915019973646935</v>
      </c>
      <c r="O479" s="315" t="s">
        <v>1168</v>
      </c>
      <c r="P479" s="318">
        <v>205</v>
      </c>
      <c r="R479" s="320">
        <v>96.111111111111114</v>
      </c>
      <c r="S479" s="318">
        <v>38</v>
      </c>
      <c r="T479" s="318">
        <v>350</v>
      </c>
      <c r="U479" s="318">
        <v>120</v>
      </c>
      <c r="V479" s="315">
        <v>0.22</v>
      </c>
      <c r="W479" s="318">
        <v>50</v>
      </c>
      <c r="X479" s="315">
        <v>0</v>
      </c>
      <c r="Y479" s="315" t="s">
        <v>1154</v>
      </c>
      <c r="Z479" s="315">
        <v>7</v>
      </c>
      <c r="AA479" s="315" t="s">
        <v>1435</v>
      </c>
    </row>
    <row r="480" spans="1:27" s="315" customFormat="1">
      <c r="A480" s="315" t="s">
        <v>1145</v>
      </c>
      <c r="B480" s="315" t="s">
        <v>696</v>
      </c>
      <c r="C480" s="316" t="s">
        <v>1572</v>
      </c>
      <c r="D480" s="316" t="s">
        <v>1572</v>
      </c>
      <c r="E480" s="317">
        <v>49.94</v>
      </c>
      <c r="F480" s="317">
        <v>18.748412699730036</v>
      </c>
      <c r="G480" s="317">
        <v>20.134533685314551</v>
      </c>
      <c r="H480" s="317">
        <v>24.495662510727456</v>
      </c>
      <c r="I480" s="318">
        <v>49.050185243747414</v>
      </c>
      <c r="J480" s="318">
        <v>55.841552928803402</v>
      </c>
      <c r="K480" s="319">
        <v>42.8816612228349</v>
      </c>
      <c r="L480" s="319">
        <v>-6.1685240209125141</v>
      </c>
      <c r="M480" s="319">
        <f t="shared" si="7"/>
        <v>0</v>
      </c>
      <c r="N480" s="317">
        <v>0</v>
      </c>
      <c r="O480" s="315" t="s">
        <v>1148</v>
      </c>
      <c r="P480" s="318">
        <v>205</v>
      </c>
      <c r="R480" s="320">
        <v>96.111111111111114</v>
      </c>
      <c r="S480" s="318">
        <v>38.1</v>
      </c>
      <c r="T480" s="318">
        <v>600</v>
      </c>
      <c r="U480" s="318">
        <v>300</v>
      </c>
      <c r="V480" s="315">
        <v>0.27</v>
      </c>
      <c r="W480" s="318">
        <v>83</v>
      </c>
      <c r="X480" s="315">
        <v>11</v>
      </c>
      <c r="Y480" s="315" t="s">
        <v>1154</v>
      </c>
      <c r="Z480" s="315">
        <v>6</v>
      </c>
      <c r="AA480" s="315" t="s">
        <v>1435</v>
      </c>
    </row>
    <row r="481" spans="1:27" s="315" customFormat="1">
      <c r="A481" s="315" t="s">
        <v>1145</v>
      </c>
      <c r="B481" s="315" t="s">
        <v>696</v>
      </c>
      <c r="C481" s="316" t="s">
        <v>1573</v>
      </c>
      <c r="D481" s="316" t="s">
        <v>1573</v>
      </c>
      <c r="E481" s="317">
        <v>43.84</v>
      </c>
      <c r="F481" s="317">
        <v>20.609369801483112</v>
      </c>
      <c r="G481" s="317">
        <v>22.133076425800336</v>
      </c>
      <c r="H481" s="317">
        <v>22.133076425800336</v>
      </c>
      <c r="I481" s="318">
        <v>50.486031993157695</v>
      </c>
      <c r="J481" s="318">
        <v>46.842048799574002</v>
      </c>
      <c r="K481" s="319">
        <v>43.949357759230999</v>
      </c>
      <c r="L481" s="319">
        <v>-6.5366742339266963</v>
      </c>
      <c r="M481" s="319">
        <f t="shared" si="7"/>
        <v>0</v>
      </c>
      <c r="N481" s="317">
        <v>0</v>
      </c>
      <c r="O481" s="315" t="s">
        <v>1148</v>
      </c>
      <c r="P481" s="318">
        <v>205</v>
      </c>
      <c r="R481" s="320">
        <v>96.111111111111114</v>
      </c>
      <c r="S481" s="318">
        <v>39.9</v>
      </c>
      <c r="T481" s="318">
        <v>300</v>
      </c>
      <c r="U481" s="318">
        <v>180</v>
      </c>
      <c r="V481" s="315">
        <v>0.23730000000000001</v>
      </c>
      <c r="W481" s="318">
        <v>90.170231884057955</v>
      </c>
      <c r="X481" s="315">
        <v>4</v>
      </c>
      <c r="Y481" s="315" t="s">
        <v>1154</v>
      </c>
      <c r="Z481" s="315">
        <v>4</v>
      </c>
      <c r="AA481" s="315" t="s">
        <v>1435</v>
      </c>
    </row>
    <row r="482" spans="1:27" s="315" customFormat="1">
      <c r="A482" s="315" t="s">
        <v>1145</v>
      </c>
      <c r="B482" s="315" t="s">
        <v>696</v>
      </c>
      <c r="C482" s="316" t="s">
        <v>1574</v>
      </c>
      <c r="D482" s="316" t="s">
        <v>1574</v>
      </c>
      <c r="E482" s="317">
        <v>14.29</v>
      </c>
      <c r="F482" s="317">
        <v>3.4306753310823441</v>
      </c>
      <c r="G482" s="317">
        <v>3.6847235574358823</v>
      </c>
      <c r="H482" s="317">
        <v>5.0512013226920587</v>
      </c>
      <c r="I482" s="318">
        <v>35.347804917369203</v>
      </c>
      <c r="J482" s="318">
        <v>49.234486946012296</v>
      </c>
      <c r="K482" s="319">
        <v>42.150706320381495</v>
      </c>
      <c r="L482" s="319">
        <v>6.8029014030122923</v>
      </c>
      <c r="M482" s="319">
        <f t="shared" si="7"/>
        <v>6.8029014030122923</v>
      </c>
      <c r="N482" s="317">
        <v>0.97213461049045646</v>
      </c>
      <c r="O482" s="315" t="s">
        <v>1148</v>
      </c>
      <c r="P482" s="318">
        <v>205</v>
      </c>
      <c r="R482" s="320">
        <v>96.111111111111114</v>
      </c>
      <c r="S482" s="318">
        <v>36</v>
      </c>
      <c r="T482" s="318">
        <v>169</v>
      </c>
      <c r="U482" s="318">
        <v>120</v>
      </c>
      <c r="V482" s="315">
        <v>0.23</v>
      </c>
      <c r="W482" s="318">
        <v>70</v>
      </c>
      <c r="X482" s="315">
        <v>3</v>
      </c>
      <c r="Y482" s="315" t="s">
        <v>1154</v>
      </c>
      <c r="Z482" s="315">
        <v>1</v>
      </c>
      <c r="AA482" s="315" t="s">
        <v>1435</v>
      </c>
    </row>
    <row r="483" spans="1:27" s="315" customFormat="1">
      <c r="A483" s="315" t="s">
        <v>1145</v>
      </c>
      <c r="B483" s="315" t="s">
        <v>696</v>
      </c>
      <c r="C483" s="316" t="s">
        <v>1576</v>
      </c>
      <c r="D483" s="316" t="s">
        <v>1576</v>
      </c>
      <c r="E483" s="317">
        <v>13.1</v>
      </c>
      <c r="F483" s="317">
        <v>0.73432723474795392</v>
      </c>
      <c r="G483" s="317">
        <v>0.78861799759737505</v>
      </c>
      <c r="H483" s="317">
        <v>10.865080648302001</v>
      </c>
      <c r="I483" s="318">
        <v>82.939546933603069</v>
      </c>
      <c r="J483" s="318">
        <v>53.0863914902245</v>
      </c>
      <c r="K483" s="319">
        <v>37.7368173835169</v>
      </c>
      <c r="L483" s="319">
        <v>-45.202729550086168</v>
      </c>
      <c r="M483" s="319">
        <f t="shared" si="7"/>
        <v>0</v>
      </c>
      <c r="N483" s="317">
        <v>0</v>
      </c>
      <c r="O483" s="315" t="s">
        <v>1148</v>
      </c>
      <c r="P483" s="318">
        <v>205</v>
      </c>
      <c r="R483" s="320">
        <v>96.111111111111114</v>
      </c>
      <c r="S483" s="318">
        <v>36</v>
      </c>
      <c r="T483" s="318">
        <v>221.4</v>
      </c>
      <c r="U483" s="318">
        <v>150</v>
      </c>
      <c r="V483" s="315">
        <v>0.23</v>
      </c>
      <c r="W483" s="318">
        <v>60</v>
      </c>
      <c r="X483" s="315">
        <v>3</v>
      </c>
      <c r="Y483" s="315" t="s">
        <v>1149</v>
      </c>
      <c r="Z483" s="315">
        <v>0</v>
      </c>
      <c r="AA483" s="315" t="s">
        <v>1435</v>
      </c>
    </row>
    <row r="484" spans="1:27" s="315" customFormat="1">
      <c r="A484" s="315" t="s">
        <v>1145</v>
      </c>
      <c r="B484" s="315" t="s">
        <v>696</v>
      </c>
      <c r="C484" s="316" t="s">
        <v>1577</v>
      </c>
      <c r="D484" s="316" t="s">
        <v>1577</v>
      </c>
      <c r="E484" s="317">
        <v>3.39</v>
      </c>
      <c r="F484" s="317">
        <v>0</v>
      </c>
      <c r="G484" s="317">
        <v>0</v>
      </c>
      <c r="H484" s="317">
        <v>0</v>
      </c>
      <c r="I484" s="318">
        <v>0</v>
      </c>
      <c r="J484" s="318">
        <v>47.914041783898497</v>
      </c>
      <c r="K484" s="319">
        <v>38.734903315021</v>
      </c>
      <c r="L484" s="319">
        <v>38.734903315021</v>
      </c>
      <c r="M484" s="319">
        <f t="shared" si="7"/>
        <v>38.734903315021</v>
      </c>
      <c r="N484" s="317">
        <v>1.3131132223792119</v>
      </c>
      <c r="O484" s="315" t="s">
        <v>1168</v>
      </c>
      <c r="P484" s="318">
        <v>205</v>
      </c>
      <c r="R484" s="320">
        <v>96.111111111111114</v>
      </c>
      <c r="S484" s="318">
        <v>39.9</v>
      </c>
      <c r="T484" s="318">
        <v>350</v>
      </c>
      <c r="U484" s="318">
        <v>226</v>
      </c>
      <c r="V484" s="315">
        <v>0.21365217391304347</v>
      </c>
      <c r="W484" s="318">
        <v>50.231681818181819</v>
      </c>
      <c r="X484" s="315">
        <v>1</v>
      </c>
      <c r="Y484" s="315" t="s">
        <v>1149</v>
      </c>
      <c r="Z484" s="315">
        <v>0</v>
      </c>
      <c r="AA484" s="315" t="s">
        <v>1435</v>
      </c>
    </row>
    <row r="485" spans="1:27" s="315" customFormat="1">
      <c r="A485" s="315" t="s">
        <v>1145</v>
      </c>
      <c r="B485" s="315" t="s">
        <v>696</v>
      </c>
      <c r="C485" s="316" t="s">
        <v>1578</v>
      </c>
      <c r="D485" s="316" t="s">
        <v>1578</v>
      </c>
      <c r="E485" s="317">
        <v>1.25</v>
      </c>
      <c r="F485" s="317">
        <v>0</v>
      </c>
      <c r="G485" s="317">
        <v>0</v>
      </c>
      <c r="H485" s="317">
        <v>0</v>
      </c>
      <c r="I485" s="318">
        <v>0</v>
      </c>
      <c r="J485" s="318">
        <v>46.908099661970098</v>
      </c>
      <c r="K485" s="319">
        <v>39.136033915778398</v>
      </c>
      <c r="L485" s="319">
        <v>39.136033915778398</v>
      </c>
      <c r="M485" s="319">
        <f t="shared" si="7"/>
        <v>39.136033915778398</v>
      </c>
      <c r="N485" s="317">
        <v>0.48920042394723001</v>
      </c>
      <c r="O485" s="315" t="s">
        <v>1168</v>
      </c>
      <c r="P485" s="318">
        <v>205</v>
      </c>
      <c r="R485" s="320">
        <v>96.111111111111114</v>
      </c>
      <c r="S485" s="318">
        <v>39.9</v>
      </c>
      <c r="T485" s="318">
        <v>500</v>
      </c>
      <c r="U485" s="318">
        <v>164</v>
      </c>
      <c r="V485" s="315">
        <v>0.21852380952380951</v>
      </c>
      <c r="W485" s="318">
        <v>77.727857142857133</v>
      </c>
      <c r="X485" s="315">
        <v>2</v>
      </c>
      <c r="Y485" s="315" t="s">
        <v>1149</v>
      </c>
      <c r="Z485" s="315">
        <v>0</v>
      </c>
      <c r="AA485" s="315" t="s">
        <v>1435</v>
      </c>
    </row>
    <row r="486" spans="1:27" s="315" customFormat="1">
      <c r="A486" s="315" t="s">
        <v>1145</v>
      </c>
      <c r="B486" s="315" t="s">
        <v>696</v>
      </c>
      <c r="C486" s="316" t="s">
        <v>1579</v>
      </c>
      <c r="D486" s="316" t="s">
        <v>1579</v>
      </c>
      <c r="E486" s="317">
        <v>5.77</v>
      </c>
      <c r="F486" s="317">
        <v>0</v>
      </c>
      <c r="G486" s="317">
        <v>0</v>
      </c>
      <c r="H486" s="317">
        <v>0</v>
      </c>
      <c r="I486" s="318">
        <v>0</v>
      </c>
      <c r="J486" s="318">
        <v>46.3196986086</v>
      </c>
      <c r="K486" s="319">
        <v>44.428358140808001</v>
      </c>
      <c r="L486" s="319">
        <v>44.428358140808001</v>
      </c>
      <c r="M486" s="319">
        <f t="shared" si="7"/>
        <v>44.428358140808001</v>
      </c>
      <c r="N486" s="317">
        <v>2.5635162647246212</v>
      </c>
      <c r="O486" s="315" t="s">
        <v>1168</v>
      </c>
      <c r="P486" s="318">
        <v>205</v>
      </c>
      <c r="R486" s="320">
        <v>96.111111111111114</v>
      </c>
      <c r="S486" s="318">
        <v>39.9</v>
      </c>
      <c r="T486" s="318">
        <v>300</v>
      </c>
      <c r="U486" s="318">
        <v>73.5</v>
      </c>
      <c r="V486" s="315">
        <v>0.2424705882352941</v>
      </c>
      <c r="W486" s="318">
        <v>83.59258823529413</v>
      </c>
      <c r="X486" s="315">
        <v>2</v>
      </c>
      <c r="Y486" s="315" t="s">
        <v>1149</v>
      </c>
      <c r="Z486" s="315">
        <v>0</v>
      </c>
      <c r="AA486" s="315" t="s">
        <v>1435</v>
      </c>
    </row>
    <row r="487" spans="1:27" s="315" customFormat="1">
      <c r="A487" s="315" t="s">
        <v>1145</v>
      </c>
      <c r="B487" s="315" t="s">
        <v>696</v>
      </c>
      <c r="C487" s="316" t="s">
        <v>1580</v>
      </c>
      <c r="D487" s="316" t="s">
        <v>1580</v>
      </c>
      <c r="E487" s="317">
        <v>15.41</v>
      </c>
      <c r="F487" s="317">
        <v>4.0999411273116015</v>
      </c>
      <c r="G487" s="317">
        <v>4.4030858193480773</v>
      </c>
      <c r="H487" s="317">
        <v>4.4030858193480773</v>
      </c>
      <c r="I487" s="318">
        <v>28.572912520104332</v>
      </c>
      <c r="J487" s="318">
        <v>47.067388857759703</v>
      </c>
      <c r="K487" s="319">
        <v>43.095486307702501</v>
      </c>
      <c r="L487" s="319">
        <v>14.522573787598169</v>
      </c>
      <c r="M487" s="319">
        <f t="shared" si="7"/>
        <v>14.522573787598169</v>
      </c>
      <c r="N487" s="317">
        <v>2.2379286206688778</v>
      </c>
      <c r="O487" s="315" t="s">
        <v>1148</v>
      </c>
      <c r="P487" s="318">
        <v>205</v>
      </c>
      <c r="R487" s="320">
        <v>96.111111111111114</v>
      </c>
      <c r="S487" s="318">
        <v>39</v>
      </c>
      <c r="T487" s="318">
        <v>719.66666666666663</v>
      </c>
      <c r="U487" s="318">
        <v>158.33333333333334</v>
      </c>
      <c r="V487" s="315">
        <v>0.23</v>
      </c>
      <c r="W487" s="318">
        <v>90</v>
      </c>
      <c r="X487" s="315">
        <v>0</v>
      </c>
      <c r="Y487" s="315" t="s">
        <v>1420</v>
      </c>
      <c r="Z487" s="315">
        <v>3</v>
      </c>
      <c r="AA487" s="315" t="s">
        <v>1435</v>
      </c>
    </row>
    <row r="488" spans="1:27" s="315" customFormat="1">
      <c r="A488" s="315" t="s">
        <v>1145</v>
      </c>
      <c r="B488" s="315" t="s">
        <v>696</v>
      </c>
      <c r="C488" s="316" t="s">
        <v>1581</v>
      </c>
      <c r="D488" s="316" t="s">
        <v>1581</v>
      </c>
      <c r="E488" s="317">
        <v>8.11</v>
      </c>
      <c r="F488" s="317">
        <v>0</v>
      </c>
      <c r="G488" s="317">
        <v>0</v>
      </c>
      <c r="H488" s="317">
        <v>0</v>
      </c>
      <c r="I488" s="318">
        <v>0</v>
      </c>
      <c r="J488" s="318">
        <v>47.592195623819897</v>
      </c>
      <c r="K488" s="319">
        <v>42.785434223035601</v>
      </c>
      <c r="L488" s="319">
        <v>0</v>
      </c>
      <c r="M488" s="319">
        <f t="shared" si="7"/>
        <v>0</v>
      </c>
      <c r="N488" s="317">
        <v>0</v>
      </c>
      <c r="O488" s="315" t="s">
        <v>1148</v>
      </c>
      <c r="P488" s="318">
        <v>205</v>
      </c>
      <c r="R488" s="320">
        <v>96.111111111111114</v>
      </c>
      <c r="S488" s="318">
        <v>40</v>
      </c>
      <c r="T488" s="318">
        <v>386.66666666666669</v>
      </c>
      <c r="U488" s="318">
        <v>158.33333333333334</v>
      </c>
      <c r="V488" s="315">
        <v>0.23</v>
      </c>
      <c r="W488" s="318">
        <v>100</v>
      </c>
      <c r="X488" s="315">
        <v>0</v>
      </c>
      <c r="Y488" s="315" t="s">
        <v>1420</v>
      </c>
      <c r="Z488" s="315">
        <v>3</v>
      </c>
      <c r="AA488" s="315" t="s">
        <v>1435</v>
      </c>
    </row>
    <row r="489" spans="1:27" s="315" customFormat="1">
      <c r="A489" s="315" t="s">
        <v>1145</v>
      </c>
      <c r="B489" s="315" t="s">
        <v>696</v>
      </c>
      <c r="C489" s="316" t="s">
        <v>1582</v>
      </c>
      <c r="D489" s="316" t="s">
        <v>1582</v>
      </c>
      <c r="E489" s="317">
        <v>19.87</v>
      </c>
      <c r="F489" s="317">
        <v>5.9686161336339572</v>
      </c>
      <c r="G489" s="317">
        <v>6.4098920676151376</v>
      </c>
      <c r="H489" s="317">
        <v>8.179580379552533</v>
      </c>
      <c r="I489" s="318">
        <v>41.16547750152256</v>
      </c>
      <c r="J489" s="318">
        <v>46.655380207120899</v>
      </c>
      <c r="K489" s="319">
        <v>43.6541793673982</v>
      </c>
      <c r="L489" s="319">
        <v>2.4887018658756404</v>
      </c>
      <c r="M489" s="319">
        <f t="shared" si="7"/>
        <v>2.4887018658756404</v>
      </c>
      <c r="N489" s="317">
        <v>0.49450506074948974</v>
      </c>
      <c r="O489" s="315" t="s">
        <v>1148</v>
      </c>
      <c r="P489" s="318">
        <v>205</v>
      </c>
      <c r="R489" s="320">
        <v>96.111111111111114</v>
      </c>
      <c r="S489" s="318">
        <v>39.9</v>
      </c>
      <c r="T489" s="318">
        <v>200</v>
      </c>
      <c r="U489" s="318">
        <v>361.66666666666669</v>
      </c>
      <c r="V489" s="315">
        <v>0.23279166666666659</v>
      </c>
      <c r="W489" s="318">
        <v>119.71695833333331</v>
      </c>
      <c r="X489" s="315">
        <v>4</v>
      </c>
      <c r="Y489" s="315" t="s">
        <v>1154</v>
      </c>
      <c r="Z489" s="315">
        <v>7</v>
      </c>
      <c r="AA489" s="315" t="s">
        <v>1435</v>
      </c>
    </row>
    <row r="490" spans="1:27" s="315" customFormat="1">
      <c r="A490" s="315" t="s">
        <v>1145</v>
      </c>
      <c r="B490" s="315" t="s">
        <v>696</v>
      </c>
      <c r="C490" s="316" t="s">
        <v>1583</v>
      </c>
      <c r="D490" s="316" t="s">
        <v>1583</v>
      </c>
      <c r="E490" s="317">
        <v>1.57</v>
      </c>
      <c r="F490" s="317">
        <v>0</v>
      </c>
      <c r="G490" s="317">
        <v>0</v>
      </c>
      <c r="H490" s="317">
        <v>0</v>
      </c>
      <c r="I490" s="318">
        <v>0</v>
      </c>
      <c r="J490" s="318">
        <v>39.566902992438798</v>
      </c>
      <c r="K490" s="319">
        <v>46.081340326235697</v>
      </c>
      <c r="L490" s="319">
        <v>46.081340326235697</v>
      </c>
      <c r="M490" s="319">
        <f t="shared" si="7"/>
        <v>46.081340326235697</v>
      </c>
      <c r="N490" s="317">
        <v>0.72347704312190053</v>
      </c>
      <c r="O490" s="315" t="s">
        <v>1168</v>
      </c>
      <c r="P490" s="318">
        <v>205</v>
      </c>
      <c r="R490" s="320">
        <v>96.111111111111114</v>
      </c>
      <c r="S490" s="318">
        <v>39.9</v>
      </c>
      <c r="T490" s="318">
        <v>4234</v>
      </c>
      <c r="U490" s="318">
        <v>20</v>
      </c>
      <c r="V490" s="315">
        <v>0.23851111111111112</v>
      </c>
      <c r="W490" s="318">
        <v>102.22580000000002</v>
      </c>
      <c r="X490" s="315">
        <v>0</v>
      </c>
      <c r="Y490" s="315" t="s">
        <v>1149</v>
      </c>
      <c r="Z490" s="315">
        <v>0</v>
      </c>
      <c r="AA490" s="315" t="s">
        <v>1435</v>
      </c>
    </row>
    <row r="491" spans="1:27" s="315" customFormat="1">
      <c r="A491" s="315" t="s">
        <v>1145</v>
      </c>
      <c r="B491" s="315" t="s">
        <v>1066</v>
      </c>
      <c r="C491" s="316" t="s">
        <v>1392</v>
      </c>
      <c r="D491" s="316" t="s">
        <v>1392</v>
      </c>
      <c r="E491" s="317">
        <v>0.40412700000000001</v>
      </c>
      <c r="F491" s="317">
        <v>0</v>
      </c>
      <c r="G491" s="317">
        <v>0</v>
      </c>
      <c r="H491" s="317">
        <v>0</v>
      </c>
      <c r="I491" s="318">
        <v>0</v>
      </c>
      <c r="J491" s="318">
        <v>74.772955810356606</v>
      </c>
      <c r="K491" s="319">
        <v>27.567901754410101</v>
      </c>
      <c r="L491" s="319">
        <v>27.567901754410101</v>
      </c>
      <c r="M491" s="319">
        <f t="shared" si="7"/>
        <v>27.567901754410101</v>
      </c>
      <c r="N491" s="317">
        <v>0.11140933432304491</v>
      </c>
      <c r="O491" s="315" t="s">
        <v>1168</v>
      </c>
      <c r="P491" s="318">
        <v>206</v>
      </c>
      <c r="R491" s="320">
        <v>96.666666666666671</v>
      </c>
      <c r="S491" s="318">
        <v>38</v>
      </c>
      <c r="T491" s="318">
        <v>62.7</v>
      </c>
      <c r="U491" s="318">
        <v>384</v>
      </c>
      <c r="V491" s="315">
        <v>0.14000000000000001</v>
      </c>
      <c r="W491" s="318">
        <v>3.39</v>
      </c>
      <c r="X491" s="315">
        <v>0</v>
      </c>
      <c r="Y491" s="315" t="s">
        <v>1149</v>
      </c>
      <c r="Z491" s="315">
        <v>0</v>
      </c>
      <c r="AA491" s="315" t="s">
        <v>1157</v>
      </c>
    </row>
    <row r="492" spans="1:27" s="315" customFormat="1">
      <c r="A492" s="315" t="s">
        <v>1145</v>
      </c>
      <c r="B492" s="315" t="s">
        <v>1066</v>
      </c>
      <c r="C492" s="316" t="s">
        <v>1394</v>
      </c>
      <c r="D492" s="316" t="s">
        <v>1394</v>
      </c>
      <c r="E492" s="317">
        <v>2.56</v>
      </c>
      <c r="F492" s="317">
        <v>0</v>
      </c>
      <c r="G492" s="317">
        <v>0</v>
      </c>
      <c r="H492" s="317">
        <v>0</v>
      </c>
      <c r="I492" s="318">
        <v>0</v>
      </c>
      <c r="J492" s="318">
        <v>64.392313063041996</v>
      </c>
      <c r="K492" s="319">
        <v>32.481951391419301</v>
      </c>
      <c r="L492" s="319">
        <v>32.481951391419301</v>
      </c>
      <c r="M492" s="319">
        <f t="shared" si="7"/>
        <v>32.481951391419301</v>
      </c>
      <c r="N492" s="317">
        <v>0.83153795562033406</v>
      </c>
      <c r="O492" s="315" t="s">
        <v>1168</v>
      </c>
      <c r="P492" s="318">
        <v>206</v>
      </c>
      <c r="R492" s="320">
        <v>96.666666666666671</v>
      </c>
      <c r="S492" s="318">
        <v>38</v>
      </c>
      <c r="T492" s="318">
        <v>698</v>
      </c>
      <c r="U492" s="318">
        <v>698</v>
      </c>
      <c r="V492" s="315">
        <v>0.2</v>
      </c>
      <c r="W492" s="318">
        <v>246.3</v>
      </c>
      <c r="X492" s="315">
        <v>0</v>
      </c>
      <c r="Y492" s="315" t="s">
        <v>1149</v>
      </c>
      <c r="Z492" s="315">
        <v>0</v>
      </c>
      <c r="AA492" s="315" t="s">
        <v>1157</v>
      </c>
    </row>
    <row r="493" spans="1:27" s="315" customFormat="1">
      <c r="A493" s="315" t="s">
        <v>1145</v>
      </c>
      <c r="B493" s="315" t="s">
        <v>1425</v>
      </c>
      <c r="C493" s="316" t="s">
        <v>1428</v>
      </c>
      <c r="D493" s="316" t="s">
        <v>1429</v>
      </c>
      <c r="E493" s="317">
        <v>7.9</v>
      </c>
      <c r="F493" s="317">
        <v>2.7787688454358355</v>
      </c>
      <c r="G493" s="317">
        <v>2.7787688454358355</v>
      </c>
      <c r="H493" s="317">
        <v>2.7787688454358355</v>
      </c>
      <c r="I493" s="318">
        <v>35.174289182732096</v>
      </c>
      <c r="J493" s="318">
        <v>64.491445065330296</v>
      </c>
      <c r="K493" s="319">
        <v>37.669595953669599</v>
      </c>
      <c r="L493" s="319">
        <v>2.4953067709375034</v>
      </c>
      <c r="M493" s="319">
        <f t="shared" si="7"/>
        <v>2.4953067709375034</v>
      </c>
      <c r="N493" s="317">
        <v>0.19712923490406278</v>
      </c>
      <c r="O493" s="315" t="s">
        <v>1148</v>
      </c>
      <c r="P493" s="318">
        <v>206</v>
      </c>
      <c r="R493" s="320">
        <v>96.666666666666671</v>
      </c>
      <c r="S493" s="318">
        <v>32</v>
      </c>
      <c r="T493" s="318">
        <v>119</v>
      </c>
      <c r="U493" s="318">
        <v>271</v>
      </c>
      <c r="V493" s="315">
        <v>0.17899999999999999</v>
      </c>
      <c r="W493" s="318">
        <v>10</v>
      </c>
      <c r="X493" s="315">
        <v>1</v>
      </c>
      <c r="Y493" s="315" t="s">
        <v>1149</v>
      </c>
      <c r="Z493" s="315">
        <v>0</v>
      </c>
      <c r="AA493" s="315" t="s">
        <v>1150</v>
      </c>
    </row>
    <row r="494" spans="1:27" s="315" customFormat="1">
      <c r="A494" s="315" t="s">
        <v>1145</v>
      </c>
      <c r="B494" s="315" t="s">
        <v>696</v>
      </c>
      <c r="C494" s="316" t="s">
        <v>1584</v>
      </c>
      <c r="D494" s="316" t="s">
        <v>1584</v>
      </c>
      <c r="E494" s="317">
        <v>51.17</v>
      </c>
      <c r="F494" s="317">
        <v>16.580530716266459</v>
      </c>
      <c r="G494" s="317">
        <v>17.80688837792135</v>
      </c>
      <c r="H494" s="317">
        <v>17.80688837792135</v>
      </c>
      <c r="I494" s="318">
        <v>34.799469177098594</v>
      </c>
      <c r="J494" s="318">
        <v>57.367195129770103</v>
      </c>
      <c r="K494" s="319">
        <v>37.048815952904505</v>
      </c>
      <c r="L494" s="319">
        <v>2.2493467758059111</v>
      </c>
      <c r="M494" s="319">
        <f t="shared" si="7"/>
        <v>2.2493467758059111</v>
      </c>
      <c r="N494" s="317">
        <v>1.1509907451798849</v>
      </c>
      <c r="O494" s="315" t="s">
        <v>1148</v>
      </c>
      <c r="P494" s="318">
        <v>206</v>
      </c>
      <c r="R494" s="320">
        <v>96.666666666666671</v>
      </c>
      <c r="S494" s="318">
        <v>36.07</v>
      </c>
      <c r="T494" s="318">
        <v>1082</v>
      </c>
      <c r="U494" s="318">
        <v>92.8</v>
      </c>
      <c r="V494" s="315">
        <v>0.25</v>
      </c>
      <c r="W494" s="318">
        <v>59</v>
      </c>
      <c r="X494" s="315">
        <v>14</v>
      </c>
      <c r="Y494" s="315" t="s">
        <v>1154</v>
      </c>
      <c r="Z494" s="315">
        <v>8</v>
      </c>
      <c r="AA494" s="315" t="s">
        <v>1435</v>
      </c>
    </row>
    <row r="495" spans="1:27" s="315" customFormat="1">
      <c r="A495" s="315" t="s">
        <v>1145</v>
      </c>
      <c r="B495" s="315" t="s">
        <v>696</v>
      </c>
      <c r="C495" s="316" t="s">
        <v>1585</v>
      </c>
      <c r="D495" s="316" t="s">
        <v>1585</v>
      </c>
      <c r="E495" s="317">
        <v>85.168999999999997</v>
      </c>
      <c r="F495" s="317">
        <v>48.693249928143345</v>
      </c>
      <c r="G495" s="317">
        <v>55.85037319104817</v>
      </c>
      <c r="H495" s="317">
        <v>55.85037319104817</v>
      </c>
      <c r="I495" s="318">
        <v>65.575941000890197</v>
      </c>
      <c r="J495" s="318">
        <v>50.388473643446801</v>
      </c>
      <c r="K495" s="319">
        <v>44.766973628785998</v>
      </c>
      <c r="L495" s="319">
        <v>-20.808967372104199</v>
      </c>
      <c r="M495" s="319">
        <f t="shared" si="7"/>
        <v>0</v>
      </c>
      <c r="N495" s="317">
        <v>0</v>
      </c>
      <c r="O495" s="315" t="s">
        <v>1148</v>
      </c>
      <c r="P495" s="318">
        <v>206.6</v>
      </c>
      <c r="R495" s="320">
        <v>97</v>
      </c>
      <c r="S495" s="318">
        <v>33</v>
      </c>
      <c r="T495" s="318">
        <v>200</v>
      </c>
      <c r="U495" s="318">
        <v>328</v>
      </c>
      <c r="V495" s="315">
        <v>0.25</v>
      </c>
      <c r="W495" s="318">
        <v>159</v>
      </c>
      <c r="X495" s="315">
        <v>20</v>
      </c>
      <c r="Y495" s="315" t="s">
        <v>1154</v>
      </c>
      <c r="Z495" s="315">
        <v>9</v>
      </c>
      <c r="AA495" s="315" t="s">
        <v>1435</v>
      </c>
    </row>
    <row r="496" spans="1:27" s="315" customFormat="1">
      <c r="A496" s="315" t="s">
        <v>1145</v>
      </c>
      <c r="B496" s="315" t="s">
        <v>696</v>
      </c>
      <c r="C496" s="316" t="s">
        <v>1586</v>
      </c>
      <c r="D496" s="316" t="s">
        <v>1586</v>
      </c>
      <c r="E496" s="317">
        <v>115.85</v>
      </c>
      <c r="F496" s="317">
        <v>40.910643820562512</v>
      </c>
      <c r="G496" s="317">
        <v>45.54504781153215</v>
      </c>
      <c r="H496" s="317">
        <v>45.54504781153215</v>
      </c>
      <c r="I496" s="318">
        <v>39.313809073398495</v>
      </c>
      <c r="J496" s="318">
        <v>51.087424695045399</v>
      </c>
      <c r="K496" s="319">
        <v>44.617278338283597</v>
      </c>
      <c r="L496" s="319">
        <v>5.3034692648851021</v>
      </c>
      <c r="M496" s="319">
        <f t="shared" si="7"/>
        <v>5.3034692648851021</v>
      </c>
      <c r="N496" s="317">
        <v>6.144069143369391</v>
      </c>
      <c r="O496" s="315" t="s">
        <v>1148</v>
      </c>
      <c r="P496" s="318">
        <v>206.6</v>
      </c>
      <c r="R496" s="320">
        <v>97</v>
      </c>
      <c r="S496" s="318">
        <v>33</v>
      </c>
      <c r="T496" s="318">
        <v>500</v>
      </c>
      <c r="U496" s="318">
        <v>100</v>
      </c>
      <c r="V496" s="315">
        <v>0.24</v>
      </c>
      <c r="W496" s="318">
        <v>100</v>
      </c>
      <c r="X496" s="315">
        <v>15</v>
      </c>
      <c r="Y496" s="315" t="s">
        <v>1154</v>
      </c>
      <c r="Z496" s="315">
        <v>8</v>
      </c>
      <c r="AA496" s="315" t="s">
        <v>1435</v>
      </c>
    </row>
    <row r="497" spans="1:34">
      <c r="A497" s="315" t="s">
        <v>1715</v>
      </c>
      <c r="B497" s="315" t="s">
        <v>1066</v>
      </c>
      <c r="C497" s="316" t="s">
        <v>1396</v>
      </c>
      <c r="D497" s="316" t="s">
        <v>1396</v>
      </c>
      <c r="E497" s="317">
        <v>13.36</v>
      </c>
      <c r="F497" s="317">
        <v>3.6227299999999997E-2</v>
      </c>
      <c r="G497" s="317">
        <v>3.9495799999999998E-2</v>
      </c>
      <c r="H497" s="317">
        <v>1.0015352000000002</v>
      </c>
      <c r="I497" s="318">
        <v>7.4965209580838339</v>
      </c>
      <c r="J497" s="318">
        <v>70.832791908754999</v>
      </c>
      <c r="K497" s="319">
        <v>32.9503757871407</v>
      </c>
      <c r="L497" s="319">
        <v>25.453854829056866</v>
      </c>
      <c r="M497" s="319">
        <f t="shared" si="7"/>
        <v>25.453854829056866</v>
      </c>
      <c r="N497" s="317">
        <v>3.4006350051619969</v>
      </c>
      <c r="O497" s="315" t="s">
        <v>1148</v>
      </c>
      <c r="P497" s="318">
        <v>207</v>
      </c>
      <c r="R497" s="320">
        <v>97.222222222222229</v>
      </c>
      <c r="S497" s="318">
        <v>40</v>
      </c>
      <c r="T497" s="318">
        <v>334</v>
      </c>
      <c r="U497" s="318">
        <v>363</v>
      </c>
      <c r="V497" s="315">
        <v>0.18</v>
      </c>
      <c r="W497" s="318">
        <v>21.6</v>
      </c>
      <c r="X497" s="315">
        <v>5</v>
      </c>
      <c r="Y497" s="315" t="s">
        <v>1149</v>
      </c>
      <c r="Z497" s="315">
        <v>0</v>
      </c>
      <c r="AA497" s="315" t="s">
        <v>1157</v>
      </c>
      <c r="AB497" s="316">
        <v>0</v>
      </c>
      <c r="AC497" s="316">
        <v>3751</v>
      </c>
      <c r="AD497" s="316">
        <v>3707</v>
      </c>
      <c r="AE497" s="316">
        <v>0.35</v>
      </c>
      <c r="AF497" s="316">
        <v>1.579</v>
      </c>
      <c r="AG497" s="316">
        <v>0.255</v>
      </c>
      <c r="AH497" s="316">
        <v>1030</v>
      </c>
    </row>
    <row r="498" spans="1:34">
      <c r="A498" s="315" t="s">
        <v>1872</v>
      </c>
      <c r="B498" s="315" t="s">
        <v>1430</v>
      </c>
      <c r="C498" s="316" t="s">
        <v>1443</v>
      </c>
      <c r="D498" s="316" t="s">
        <v>1443</v>
      </c>
      <c r="E498" s="317">
        <v>15.404924379190533</v>
      </c>
      <c r="F498" s="317">
        <v>1.3076359999999998</v>
      </c>
      <c r="G498" s="317">
        <v>1.3076359999999998</v>
      </c>
      <c r="H498" s="317">
        <v>1.3076359999999998</v>
      </c>
      <c r="I498" s="318">
        <v>8.4884285557830879</v>
      </c>
      <c r="J498" s="318">
        <v>58.880947113033102</v>
      </c>
      <c r="K498" s="319">
        <v>36.372820871739201</v>
      </c>
      <c r="L498" s="319">
        <v>27.884392315956113</v>
      </c>
      <c r="M498" s="319">
        <f t="shared" si="7"/>
        <v>27.884392315956113</v>
      </c>
      <c r="N498" s="317">
        <v>4.295569549869855</v>
      </c>
      <c r="O498" s="315" t="s">
        <v>1148</v>
      </c>
      <c r="P498" s="318">
        <v>207</v>
      </c>
      <c r="R498" s="320">
        <v>97.222222222222229</v>
      </c>
      <c r="S498" s="318">
        <v>37</v>
      </c>
      <c r="T498" s="318">
        <v>75</v>
      </c>
      <c r="U498" s="318">
        <v>254</v>
      </c>
      <c r="V498" s="315">
        <v>0.19</v>
      </c>
      <c r="W498" s="318">
        <v>5</v>
      </c>
      <c r="X498" s="315">
        <v>6</v>
      </c>
      <c r="Y498" s="315" t="s">
        <v>1149</v>
      </c>
      <c r="Z498" s="315">
        <v>0</v>
      </c>
      <c r="AA498" s="315" t="s">
        <v>1190</v>
      </c>
      <c r="AB498" s="315"/>
      <c r="AC498" s="315"/>
      <c r="AD498" s="315"/>
      <c r="AE498" s="315"/>
      <c r="AF498" s="315"/>
      <c r="AG498" s="315"/>
      <c r="AH498" s="315"/>
    </row>
    <row r="499" spans="1:34">
      <c r="A499" s="315" t="s">
        <v>1874</v>
      </c>
      <c r="B499" s="315" t="s">
        <v>1430</v>
      </c>
      <c r="C499" s="316" t="s">
        <v>1444</v>
      </c>
      <c r="D499" s="316" t="s">
        <v>1444</v>
      </c>
      <c r="E499" s="317">
        <v>11.051956796668938</v>
      </c>
      <c r="F499" s="317">
        <v>4.6291429914596227</v>
      </c>
      <c r="G499" s="317">
        <v>4.6291429914596227</v>
      </c>
      <c r="H499" s="317">
        <v>6.922342917505043</v>
      </c>
      <c r="I499" s="318">
        <v>62.634545581932052</v>
      </c>
      <c r="J499" s="318">
        <v>58.834979040752003</v>
      </c>
      <c r="K499" s="319">
        <v>37.767292697044503</v>
      </c>
      <c r="L499" s="319">
        <v>-24.867252884887549</v>
      </c>
      <c r="M499" s="319">
        <f t="shared" si="7"/>
        <v>0</v>
      </c>
      <c r="N499" s="317">
        <v>0</v>
      </c>
      <c r="O499" s="315" t="s">
        <v>1148</v>
      </c>
      <c r="P499" s="318">
        <v>207</v>
      </c>
      <c r="R499" s="320">
        <v>97.222222222222229</v>
      </c>
      <c r="S499" s="318">
        <v>37</v>
      </c>
      <c r="T499" s="318">
        <v>75</v>
      </c>
      <c r="U499" s="318">
        <v>177</v>
      </c>
      <c r="V499" s="315">
        <v>0.19</v>
      </c>
      <c r="W499" s="318">
        <v>50</v>
      </c>
      <c r="X499" s="315">
        <v>3</v>
      </c>
      <c r="Y499" s="315" t="s">
        <v>1154</v>
      </c>
      <c r="Z499" s="315">
        <v>0</v>
      </c>
      <c r="AA499" s="315" t="s">
        <v>1190</v>
      </c>
      <c r="AB499" s="315"/>
      <c r="AC499" s="315"/>
      <c r="AD499" s="315"/>
      <c r="AE499" s="315"/>
      <c r="AF499" s="315"/>
      <c r="AG499" s="315"/>
      <c r="AH499" s="315"/>
    </row>
    <row r="500" spans="1:34">
      <c r="A500" s="315" t="s">
        <v>1145</v>
      </c>
      <c r="B500" s="315" t="s">
        <v>696</v>
      </c>
      <c r="C500" s="316" t="s">
        <v>1587</v>
      </c>
      <c r="D500" s="316" t="s">
        <v>1587</v>
      </c>
      <c r="E500" s="317">
        <v>8.4</v>
      </c>
      <c r="F500" s="317">
        <v>0</v>
      </c>
      <c r="G500" s="317">
        <v>0</v>
      </c>
      <c r="H500" s="317">
        <v>0</v>
      </c>
      <c r="I500" s="318">
        <v>0</v>
      </c>
      <c r="J500" s="318">
        <v>54.2060279429747</v>
      </c>
      <c r="K500" s="319">
        <v>37.2257492049226</v>
      </c>
      <c r="L500" s="319">
        <v>37.2257492049226</v>
      </c>
      <c r="M500" s="319">
        <f t="shared" si="7"/>
        <v>37.2257492049226</v>
      </c>
      <c r="N500" s="317">
        <v>3.1269629332134983</v>
      </c>
      <c r="O500" s="315" t="s">
        <v>1168</v>
      </c>
      <c r="P500" s="318">
        <v>207</v>
      </c>
      <c r="R500" s="320">
        <v>97.222222222222229</v>
      </c>
      <c r="S500" s="318">
        <v>36.35</v>
      </c>
      <c r="T500" s="318">
        <v>255.5</v>
      </c>
      <c r="U500" s="318">
        <v>124.5</v>
      </c>
      <c r="V500" s="315">
        <v>0.21</v>
      </c>
      <c r="W500" s="318">
        <v>50</v>
      </c>
      <c r="X500" s="315">
        <v>2</v>
      </c>
      <c r="Y500" s="315" t="s">
        <v>1149</v>
      </c>
      <c r="Z500" s="315">
        <v>0</v>
      </c>
      <c r="AA500" s="315" t="s">
        <v>1435</v>
      </c>
      <c r="AB500" s="315"/>
      <c r="AC500" s="315"/>
      <c r="AD500" s="315"/>
      <c r="AE500" s="315"/>
      <c r="AF500" s="315"/>
      <c r="AG500" s="315"/>
      <c r="AH500" s="315"/>
    </row>
    <row r="501" spans="1:34">
      <c r="A501" s="315" t="s">
        <v>1877</v>
      </c>
      <c r="B501" s="315" t="s">
        <v>663</v>
      </c>
      <c r="C501" s="316" t="s">
        <v>1904</v>
      </c>
      <c r="D501" s="316" t="s">
        <v>1904</v>
      </c>
      <c r="E501" s="317">
        <v>0.38000003617518302</v>
      </c>
      <c r="F501" s="317">
        <v>0</v>
      </c>
      <c r="G501" s="317">
        <v>0</v>
      </c>
      <c r="H501" s="317">
        <v>0</v>
      </c>
      <c r="I501" s="318">
        <v>0</v>
      </c>
      <c r="J501" s="318">
        <v>84.359389773448498</v>
      </c>
      <c r="K501" s="319">
        <v>21.022402773266897</v>
      </c>
      <c r="L501" s="319">
        <v>21.022402773266897</v>
      </c>
      <c r="M501" s="319">
        <f t="shared" si="7"/>
        <v>21.022402773266897</v>
      </c>
      <c r="N501" s="317">
        <v>7.9885138143306889E-2</v>
      </c>
      <c r="O501" s="315" t="s">
        <v>1168</v>
      </c>
      <c r="P501" s="318">
        <v>207</v>
      </c>
      <c r="R501" s="320">
        <v>97.222222222222229</v>
      </c>
      <c r="S501" s="318">
        <v>33</v>
      </c>
      <c r="T501" s="318">
        <v>29.6</v>
      </c>
      <c r="U501" s="318">
        <v>512</v>
      </c>
      <c r="V501" s="315">
        <v>0.15</v>
      </c>
      <c r="W501" s="318">
        <v>13</v>
      </c>
      <c r="X501" s="315">
        <v>0</v>
      </c>
      <c r="Y501" s="315" t="s">
        <v>1149</v>
      </c>
      <c r="Z501" s="315">
        <v>0</v>
      </c>
      <c r="AA501" s="315" t="s">
        <v>1150</v>
      </c>
      <c r="AB501" s="315"/>
      <c r="AC501" s="315"/>
      <c r="AD501" s="315"/>
      <c r="AE501" s="315"/>
      <c r="AF501" s="315"/>
      <c r="AG501" s="315"/>
      <c r="AH501" s="315"/>
    </row>
    <row r="502" spans="1:34">
      <c r="A502" s="315" t="s">
        <v>1209</v>
      </c>
      <c r="B502" s="315" t="s">
        <v>1066</v>
      </c>
      <c r="C502" s="316" t="s">
        <v>1397</v>
      </c>
      <c r="D502" s="316" t="s">
        <v>1397</v>
      </c>
      <c r="E502" s="317">
        <v>5.14</v>
      </c>
      <c r="F502" s="317">
        <v>0.53930509999999998</v>
      </c>
      <c r="G502" s="317">
        <v>0.58796219999999999</v>
      </c>
      <c r="H502" s="317">
        <v>1.1654404</v>
      </c>
      <c r="I502" s="318">
        <v>22.673937743190663</v>
      </c>
      <c r="J502" s="318">
        <v>81.126480042377395</v>
      </c>
      <c r="K502" s="319">
        <v>26.871479859300202</v>
      </c>
      <c r="L502" s="319">
        <v>4.1975421161095383</v>
      </c>
      <c r="M502" s="319">
        <f t="shared" si="7"/>
        <v>4.1975421161095383</v>
      </c>
      <c r="N502" s="317">
        <v>0.21575366476803026</v>
      </c>
      <c r="O502" s="315" t="s">
        <v>1148</v>
      </c>
      <c r="P502" s="318">
        <v>208</v>
      </c>
      <c r="R502" s="320">
        <v>97.777777777777771</v>
      </c>
      <c r="S502" s="318">
        <v>33</v>
      </c>
      <c r="T502" s="318">
        <v>110.6</v>
      </c>
      <c r="U502" s="318">
        <v>331</v>
      </c>
      <c r="V502" s="315">
        <v>0.19</v>
      </c>
      <c r="W502" s="318">
        <v>75.8</v>
      </c>
      <c r="X502" s="315">
        <v>3</v>
      </c>
      <c r="Y502" s="315" t="s">
        <v>1149</v>
      </c>
      <c r="Z502" s="315">
        <v>0</v>
      </c>
      <c r="AA502" s="315" t="s">
        <v>1157</v>
      </c>
      <c r="AB502" s="315"/>
      <c r="AC502" s="315"/>
      <c r="AD502" s="315"/>
      <c r="AE502" s="315"/>
      <c r="AF502" s="315"/>
      <c r="AG502" s="315"/>
      <c r="AH502" s="315"/>
    </row>
    <row r="503" spans="1:34">
      <c r="A503" s="315" t="s">
        <v>1145</v>
      </c>
      <c r="B503" s="315" t="s">
        <v>1066</v>
      </c>
      <c r="C503" s="316" t="s">
        <v>1398</v>
      </c>
      <c r="D503" s="316" t="s">
        <v>1398</v>
      </c>
      <c r="E503" s="317">
        <v>5.3671000000000003E-2</v>
      </c>
      <c r="F503" s="317">
        <v>0</v>
      </c>
      <c r="G503" s="317">
        <v>0</v>
      </c>
      <c r="H503" s="317">
        <v>0</v>
      </c>
      <c r="I503" s="318">
        <v>0</v>
      </c>
      <c r="J503" s="318">
        <v>0</v>
      </c>
      <c r="K503" s="319">
        <v>0</v>
      </c>
      <c r="L503" s="319">
        <v>0</v>
      </c>
      <c r="M503" s="319">
        <f t="shared" si="7"/>
        <v>0</v>
      </c>
      <c r="N503" s="317">
        <v>0</v>
      </c>
      <c r="O503" s="315" t="s">
        <v>1168</v>
      </c>
      <c r="P503" s="318">
        <v>208</v>
      </c>
      <c r="R503" s="320">
        <v>97.777777777777771</v>
      </c>
      <c r="S503" s="318">
        <v>38</v>
      </c>
      <c r="T503" s="318">
        <v>14.8</v>
      </c>
      <c r="U503" s="318">
        <v>60</v>
      </c>
      <c r="V503" s="315">
        <v>0.126</v>
      </c>
      <c r="W503" s="318">
        <v>2.76</v>
      </c>
      <c r="X503" s="315">
        <v>1</v>
      </c>
      <c r="Y503" s="315" t="s">
        <v>1149</v>
      </c>
      <c r="Z503" s="315">
        <v>0</v>
      </c>
      <c r="AA503" s="315" t="s">
        <v>1190</v>
      </c>
      <c r="AB503" s="315"/>
      <c r="AC503" s="315"/>
      <c r="AD503" s="315"/>
      <c r="AE503" s="315"/>
      <c r="AF503" s="315"/>
      <c r="AG503" s="315"/>
      <c r="AH503" s="315"/>
    </row>
    <row r="504" spans="1:34">
      <c r="A504" s="315" t="s">
        <v>1145</v>
      </c>
      <c r="B504" s="315" t="s">
        <v>1066</v>
      </c>
      <c r="C504" s="316" t="s">
        <v>1400</v>
      </c>
      <c r="D504" s="316" t="s">
        <v>1400</v>
      </c>
      <c r="E504" s="317">
        <v>11.640722999999999</v>
      </c>
      <c r="F504" s="317">
        <v>3.3425045</v>
      </c>
      <c r="G504" s="317">
        <v>3.6440717</v>
      </c>
      <c r="H504" s="317">
        <v>3.7836924000000001</v>
      </c>
      <c r="I504" s="318">
        <v>32.503929523965134</v>
      </c>
      <c r="J504" s="318">
        <v>71.510921823671694</v>
      </c>
      <c r="K504" s="319">
        <v>29.587163827572997</v>
      </c>
      <c r="L504" s="319">
        <v>-2.9167656963921367</v>
      </c>
      <c r="M504" s="319">
        <f t="shared" si="7"/>
        <v>0</v>
      </c>
      <c r="N504" s="317">
        <v>0</v>
      </c>
      <c r="O504" s="315" t="s">
        <v>1148</v>
      </c>
      <c r="P504" s="318">
        <v>208</v>
      </c>
      <c r="R504" s="320">
        <v>97.777777777777771</v>
      </c>
      <c r="S504" s="318">
        <v>38</v>
      </c>
      <c r="T504" s="318">
        <v>140.07</v>
      </c>
      <c r="U504" s="318">
        <v>750</v>
      </c>
      <c r="V504" s="315">
        <v>0.158</v>
      </c>
      <c r="W504" s="318">
        <v>26.8</v>
      </c>
      <c r="X504" s="315">
        <v>9</v>
      </c>
      <c r="Y504" s="315" t="s">
        <v>1149</v>
      </c>
      <c r="Z504" s="315">
        <v>0</v>
      </c>
      <c r="AA504" s="315" t="s">
        <v>1157</v>
      </c>
      <c r="AB504" s="315"/>
      <c r="AC504" s="315"/>
      <c r="AD504" s="315"/>
      <c r="AE504" s="315"/>
      <c r="AF504" s="315"/>
      <c r="AG504" s="315"/>
      <c r="AH504" s="315"/>
    </row>
    <row r="505" spans="1:34">
      <c r="A505" s="315" t="s">
        <v>1717</v>
      </c>
      <c r="B505" s="315" t="s">
        <v>1066</v>
      </c>
      <c r="C505" s="316" t="s">
        <v>1402</v>
      </c>
      <c r="D505" s="316" t="s">
        <v>1402</v>
      </c>
      <c r="E505" s="317">
        <v>5.65</v>
      </c>
      <c r="F505" s="317">
        <v>0.41391529999999999</v>
      </c>
      <c r="G505" s="317">
        <v>0.45125949999999998</v>
      </c>
      <c r="H505" s="317">
        <v>6.7120752000000001</v>
      </c>
      <c r="I505" s="318">
        <v>118.79779115044246</v>
      </c>
      <c r="J505" s="318">
        <v>76.461742849782894</v>
      </c>
      <c r="K505" s="319">
        <v>29.603870671572501</v>
      </c>
      <c r="L505" s="319">
        <v>-89.193920478869956</v>
      </c>
      <c r="M505" s="319">
        <f t="shared" si="7"/>
        <v>0</v>
      </c>
      <c r="N505" s="317">
        <v>0</v>
      </c>
      <c r="O505" s="315" t="s">
        <v>1148</v>
      </c>
      <c r="P505" s="318">
        <v>208</v>
      </c>
      <c r="R505" s="320">
        <v>97.777777777777771</v>
      </c>
      <c r="S505" s="318">
        <v>40</v>
      </c>
      <c r="T505" s="318">
        <v>121.8</v>
      </c>
      <c r="U505" s="318">
        <v>547</v>
      </c>
      <c r="V505" s="315">
        <v>0.161</v>
      </c>
      <c r="W505" s="318">
        <v>17.100000000000001</v>
      </c>
      <c r="X505" s="315">
        <v>4</v>
      </c>
      <c r="Y505" s="315" t="s">
        <v>1149</v>
      </c>
      <c r="Z505" s="315">
        <v>0</v>
      </c>
      <c r="AA505" s="315" t="s">
        <v>1190</v>
      </c>
      <c r="AB505" s="315"/>
      <c r="AC505" s="315"/>
      <c r="AD505" s="315"/>
      <c r="AE505" s="315"/>
      <c r="AF505" s="315"/>
      <c r="AG505" s="315"/>
      <c r="AH505" s="315"/>
    </row>
    <row r="506" spans="1:34">
      <c r="A506" s="315" t="s">
        <v>1883</v>
      </c>
      <c r="B506" s="315" t="s">
        <v>1430</v>
      </c>
      <c r="C506" s="316" t="s">
        <v>1445</v>
      </c>
      <c r="D506" s="316" t="s">
        <v>1445</v>
      </c>
      <c r="E506" s="317">
        <v>13.902077999999999</v>
      </c>
      <c r="F506" s="317">
        <v>0</v>
      </c>
      <c r="G506" s="317">
        <v>0</v>
      </c>
      <c r="H506" s="317">
        <v>0</v>
      </c>
      <c r="I506" s="318">
        <v>0</v>
      </c>
      <c r="J506" s="318">
        <v>60.0078863572449</v>
      </c>
      <c r="K506" s="319">
        <v>32.419245959186597</v>
      </c>
      <c r="L506" s="319">
        <v>32.419245959186597</v>
      </c>
      <c r="M506" s="319">
        <f t="shared" si="7"/>
        <v>32.419245959186597</v>
      </c>
      <c r="N506" s="317">
        <v>4.5069488602579693</v>
      </c>
      <c r="O506" s="315" t="s">
        <v>1168</v>
      </c>
      <c r="P506" s="318">
        <v>208</v>
      </c>
      <c r="R506" s="320">
        <v>97.777777777777771</v>
      </c>
      <c r="S506" s="318">
        <v>37</v>
      </c>
      <c r="T506" s="318">
        <v>70</v>
      </c>
      <c r="U506" s="318">
        <v>128</v>
      </c>
      <c r="V506" s="315">
        <v>0.21</v>
      </c>
      <c r="W506" s="318">
        <v>30</v>
      </c>
      <c r="X506" s="315">
        <v>0</v>
      </c>
      <c r="Y506" s="315" t="s">
        <v>1149</v>
      </c>
      <c r="Z506" s="315">
        <v>0</v>
      </c>
      <c r="AA506" s="315" t="s">
        <v>1435</v>
      </c>
      <c r="AB506" s="315"/>
      <c r="AC506" s="315"/>
      <c r="AD506" s="315"/>
      <c r="AE506" s="315"/>
      <c r="AF506" s="315"/>
      <c r="AG506" s="315"/>
      <c r="AH506" s="315"/>
    </row>
    <row r="507" spans="1:34">
      <c r="A507" s="315" t="s">
        <v>1758</v>
      </c>
      <c r="B507" s="315" t="s">
        <v>663</v>
      </c>
      <c r="C507" s="316" t="s">
        <v>1905</v>
      </c>
      <c r="D507" s="316" t="s">
        <v>1905</v>
      </c>
      <c r="E507" s="317">
        <v>1.56</v>
      </c>
      <c r="F507" s="317">
        <v>0</v>
      </c>
      <c r="G507" s="317">
        <v>0</v>
      </c>
      <c r="H507" s="317">
        <v>0</v>
      </c>
      <c r="I507" s="318">
        <v>0</v>
      </c>
      <c r="J507" s="318">
        <v>68.030662111119895</v>
      </c>
      <c r="K507" s="319">
        <v>28.499026528681199</v>
      </c>
      <c r="L507" s="319">
        <v>28.499026528681199</v>
      </c>
      <c r="M507" s="319">
        <f t="shared" si="7"/>
        <v>28.499026528681199</v>
      </c>
      <c r="N507" s="317">
        <v>0.44458481384742671</v>
      </c>
      <c r="O507" s="315" t="s">
        <v>1168</v>
      </c>
      <c r="P507" s="318">
        <v>208</v>
      </c>
      <c r="R507" s="320">
        <v>97.777777777777771</v>
      </c>
      <c r="S507" s="318">
        <v>32</v>
      </c>
      <c r="T507" s="318">
        <v>30.49</v>
      </c>
      <c r="U507" s="318">
        <v>256</v>
      </c>
      <c r="V507" s="315">
        <v>0.14000000000000001</v>
      </c>
      <c r="W507" s="318">
        <v>16.350000000000001</v>
      </c>
      <c r="X507" s="315">
        <v>0</v>
      </c>
      <c r="Y507" s="315" t="s">
        <v>1149</v>
      </c>
      <c r="Z507" s="315">
        <v>0</v>
      </c>
      <c r="AA507" s="315" t="s">
        <v>1150</v>
      </c>
      <c r="AB507" s="315"/>
      <c r="AC507" s="315"/>
      <c r="AD507" s="315"/>
      <c r="AE507" s="315"/>
      <c r="AF507" s="315"/>
      <c r="AG507" s="315"/>
      <c r="AH507" s="315"/>
    </row>
    <row r="508" spans="1:34">
      <c r="A508" s="315" t="s">
        <v>1145</v>
      </c>
      <c r="B508" s="315" t="s">
        <v>696</v>
      </c>
      <c r="C508" s="316" t="s">
        <v>1588</v>
      </c>
      <c r="D508" s="316" t="s">
        <v>1588</v>
      </c>
      <c r="E508" s="317">
        <v>5.8</v>
      </c>
      <c r="F508" s="317">
        <v>0</v>
      </c>
      <c r="G508" s="317">
        <v>0</v>
      </c>
      <c r="H508" s="317">
        <v>1.1643234877257378</v>
      </c>
      <c r="I508" s="318">
        <v>20.074542891823064</v>
      </c>
      <c r="J508" s="318">
        <v>58.554502947084501</v>
      </c>
      <c r="K508" s="319">
        <v>39.6028750342617</v>
      </c>
      <c r="L508" s="319">
        <v>19.528332142438636</v>
      </c>
      <c r="M508" s="319">
        <f t="shared" si="7"/>
        <v>19.528332142438636</v>
      </c>
      <c r="N508" s="317">
        <v>1.1326432642614408</v>
      </c>
      <c r="O508" s="315" t="s">
        <v>1168</v>
      </c>
      <c r="P508" s="318">
        <v>208.7</v>
      </c>
      <c r="R508" s="320">
        <v>98.166666666666671</v>
      </c>
      <c r="S508" s="318">
        <v>36</v>
      </c>
      <c r="T508" s="318">
        <v>211</v>
      </c>
      <c r="U508" s="318">
        <v>95</v>
      </c>
      <c r="V508" s="315">
        <v>0.2</v>
      </c>
      <c r="W508" s="318">
        <v>40</v>
      </c>
      <c r="X508" s="315">
        <v>0</v>
      </c>
      <c r="Y508" s="315" t="s">
        <v>1149</v>
      </c>
      <c r="Z508" s="315">
        <v>0</v>
      </c>
      <c r="AA508" s="315" t="s">
        <v>1435</v>
      </c>
      <c r="AB508" s="315"/>
      <c r="AC508" s="315"/>
      <c r="AD508" s="315"/>
      <c r="AE508" s="315"/>
      <c r="AF508" s="315"/>
      <c r="AG508" s="315"/>
      <c r="AH508" s="315"/>
    </row>
    <row r="509" spans="1:34">
      <c r="A509" s="315" t="s">
        <v>1145</v>
      </c>
      <c r="B509" s="315" t="s">
        <v>696</v>
      </c>
      <c r="C509" s="316" t="s">
        <v>1589</v>
      </c>
      <c r="D509" s="316" t="s">
        <v>1589</v>
      </c>
      <c r="E509" s="317">
        <v>22.06</v>
      </c>
      <c r="F509" s="317">
        <v>1.4560350620247677</v>
      </c>
      <c r="G509" s="317">
        <v>1.5674040405801188</v>
      </c>
      <c r="H509" s="317">
        <v>1.5674040405801188</v>
      </c>
      <c r="I509" s="318">
        <v>7.1051860407077019</v>
      </c>
      <c r="J509" s="318">
        <v>56.011654546423898</v>
      </c>
      <c r="K509" s="319">
        <v>42.085093254491099</v>
      </c>
      <c r="L509" s="319">
        <v>34.979907213783399</v>
      </c>
      <c r="M509" s="319">
        <f t="shared" si="7"/>
        <v>34.979907213783399</v>
      </c>
      <c r="N509" s="317">
        <v>7.7165675313606181</v>
      </c>
      <c r="O509" s="315" t="s">
        <v>1148</v>
      </c>
      <c r="P509" s="318">
        <v>209</v>
      </c>
      <c r="R509" s="320">
        <v>98.333333333333329</v>
      </c>
      <c r="S509" s="318">
        <v>36</v>
      </c>
      <c r="T509" s="318">
        <v>516</v>
      </c>
      <c r="U509" s="318">
        <v>118.5</v>
      </c>
      <c r="V509" s="315">
        <v>0.21</v>
      </c>
      <c r="W509" s="318">
        <v>80</v>
      </c>
      <c r="X509" s="315">
        <v>5</v>
      </c>
      <c r="Y509" s="315" t="s">
        <v>1149</v>
      </c>
      <c r="Z509" s="315">
        <v>0</v>
      </c>
      <c r="AA509" s="315" t="s">
        <v>1435</v>
      </c>
      <c r="AB509" s="315"/>
      <c r="AC509" s="315"/>
      <c r="AD509" s="315"/>
      <c r="AE509" s="315"/>
      <c r="AF509" s="315"/>
      <c r="AG509" s="315"/>
      <c r="AH509" s="315"/>
    </row>
    <row r="510" spans="1:34">
      <c r="A510" s="315" t="s">
        <v>1145</v>
      </c>
      <c r="B510" s="315" t="s">
        <v>696</v>
      </c>
      <c r="C510" s="316" t="s">
        <v>1590</v>
      </c>
      <c r="D510" s="316" t="s">
        <v>1590</v>
      </c>
      <c r="E510" s="317">
        <v>0.5</v>
      </c>
      <c r="F510" s="317">
        <v>1.0575190260890392</v>
      </c>
      <c r="G510" s="317">
        <v>1.1357330635258525</v>
      </c>
      <c r="H510" s="317">
        <v>2.0978152698327999</v>
      </c>
      <c r="I510" s="318">
        <v>419.56305396655995</v>
      </c>
      <c r="J510" s="318">
        <v>57.070625654708898</v>
      </c>
      <c r="K510" s="319">
        <v>40.537103815845697</v>
      </c>
      <c r="L510" s="319">
        <v>-379.02595015071427</v>
      </c>
      <c r="M510" s="319">
        <f t="shared" si="7"/>
        <v>0</v>
      </c>
      <c r="N510" s="317">
        <v>0</v>
      </c>
      <c r="O510" s="315" t="s">
        <v>1148</v>
      </c>
      <c r="P510" s="318">
        <v>209</v>
      </c>
      <c r="R510" s="320">
        <v>98.333333333333329</v>
      </c>
      <c r="S510" s="318">
        <v>36</v>
      </c>
      <c r="T510" s="318">
        <v>217</v>
      </c>
      <c r="U510" s="318">
        <v>104</v>
      </c>
      <c r="V510" s="315">
        <v>0.21</v>
      </c>
      <c r="W510" s="318">
        <v>50</v>
      </c>
      <c r="X510" s="315">
        <v>5</v>
      </c>
      <c r="Y510" s="315" t="s">
        <v>1149</v>
      </c>
      <c r="Z510" s="315">
        <v>0</v>
      </c>
      <c r="AA510" s="315" t="s">
        <v>1435</v>
      </c>
      <c r="AB510" s="315"/>
      <c r="AC510" s="315"/>
      <c r="AD510" s="315"/>
      <c r="AE510" s="315"/>
      <c r="AF510" s="315"/>
      <c r="AG510" s="315"/>
      <c r="AH510" s="315"/>
    </row>
    <row r="511" spans="1:34">
      <c r="A511" s="315" t="s">
        <v>1145</v>
      </c>
      <c r="B511" s="315" t="s">
        <v>1066</v>
      </c>
      <c r="C511" s="316" t="s">
        <v>1404</v>
      </c>
      <c r="D511" s="316" t="s">
        <v>1404</v>
      </c>
      <c r="E511" s="317">
        <v>4.8036989999999999</v>
      </c>
      <c r="F511" s="317">
        <v>0</v>
      </c>
      <c r="G511" s="317">
        <v>0</v>
      </c>
      <c r="H511" s="317">
        <v>0</v>
      </c>
      <c r="I511" s="318">
        <v>0</v>
      </c>
      <c r="J511" s="318">
        <v>61.625867724440397</v>
      </c>
      <c r="K511" s="319">
        <v>37.728172201374001</v>
      </c>
      <c r="L511" s="319">
        <v>37.728172201374001</v>
      </c>
      <c r="M511" s="319">
        <f t="shared" si="7"/>
        <v>37.728172201374001</v>
      </c>
      <c r="N511" s="317">
        <v>1.8123478307556808</v>
      </c>
      <c r="O511" s="315" t="s">
        <v>1168</v>
      </c>
      <c r="P511" s="318">
        <v>210</v>
      </c>
      <c r="R511" s="320">
        <v>98.888888888888886</v>
      </c>
      <c r="S511" s="318">
        <v>38</v>
      </c>
      <c r="T511" s="318">
        <v>174.3</v>
      </c>
      <c r="U511" s="318">
        <v>4486</v>
      </c>
      <c r="V511" s="315">
        <v>0.17</v>
      </c>
      <c r="W511" s="318">
        <v>21.4</v>
      </c>
      <c r="X511" s="315">
        <v>0</v>
      </c>
      <c r="Y511" s="315" t="s">
        <v>1149</v>
      </c>
      <c r="Z511" s="315">
        <v>0</v>
      </c>
      <c r="AA511" s="315" t="s">
        <v>1157</v>
      </c>
      <c r="AB511" s="316">
        <v>0</v>
      </c>
      <c r="AC511" s="316">
        <v>3821</v>
      </c>
      <c r="AD511" s="316">
        <v>3754</v>
      </c>
      <c r="AE511" s="316">
        <v>0.43</v>
      </c>
      <c r="AF511" s="316">
        <v>1.6010800000000001</v>
      </c>
      <c r="AG511" s="316">
        <v>0.27</v>
      </c>
      <c r="AH511" s="316">
        <v>1026</v>
      </c>
    </row>
    <row r="512" spans="1:34">
      <c r="A512" s="315" t="s">
        <v>1890</v>
      </c>
      <c r="B512" s="315" t="s">
        <v>1430</v>
      </c>
      <c r="C512" s="316" t="s">
        <v>1446</v>
      </c>
      <c r="D512" s="316" t="s">
        <v>1446</v>
      </c>
      <c r="E512" s="317">
        <v>118.52425972328194</v>
      </c>
      <c r="F512" s="317">
        <v>58.969896325500635</v>
      </c>
      <c r="G512" s="317">
        <v>60.307593795898974</v>
      </c>
      <c r="H512" s="317">
        <v>60.307593795898974</v>
      </c>
      <c r="I512" s="318">
        <v>50.882067465933844</v>
      </c>
      <c r="J512" s="318">
        <v>44.879246662134598</v>
      </c>
      <c r="K512" s="319">
        <v>43.504639659027198</v>
      </c>
      <c r="L512" s="319">
        <v>-7.3774278069066455</v>
      </c>
      <c r="M512" s="319">
        <f t="shared" si="7"/>
        <v>0</v>
      </c>
      <c r="N512" s="317">
        <v>0</v>
      </c>
      <c r="O512" s="315" t="s">
        <v>1148</v>
      </c>
      <c r="P512" s="318">
        <v>210</v>
      </c>
      <c r="R512" s="320">
        <v>98.888888888888886</v>
      </c>
      <c r="S512" s="318">
        <v>37</v>
      </c>
      <c r="T512" s="318">
        <v>181</v>
      </c>
      <c r="U512" s="318">
        <v>248</v>
      </c>
      <c r="V512" s="315">
        <v>0.24</v>
      </c>
      <c r="W512" s="318">
        <v>1000</v>
      </c>
      <c r="X512" s="315">
        <v>22</v>
      </c>
      <c r="Y512" s="315" t="s">
        <v>1149</v>
      </c>
      <c r="Z512" s="315">
        <v>0</v>
      </c>
      <c r="AA512" s="315" t="s">
        <v>1150</v>
      </c>
      <c r="AB512" s="315"/>
      <c r="AC512" s="315"/>
      <c r="AD512" s="315"/>
      <c r="AE512" s="315"/>
      <c r="AF512" s="315"/>
      <c r="AG512" s="315"/>
      <c r="AH512" s="315"/>
    </row>
    <row r="513" spans="1:34">
      <c r="A513" s="315" t="s">
        <v>1145</v>
      </c>
      <c r="B513" s="315" t="s">
        <v>1451</v>
      </c>
      <c r="C513" s="316" t="s">
        <v>1452</v>
      </c>
      <c r="D513" s="316" t="s">
        <v>1452</v>
      </c>
      <c r="E513" s="317">
        <v>19.372999999999998</v>
      </c>
      <c r="F513" s="317">
        <v>3.8464589</v>
      </c>
      <c r="G513" s="317">
        <v>4.0150799535328376</v>
      </c>
      <c r="H513" s="317">
        <v>4.053379803334284</v>
      </c>
      <c r="I513" s="318">
        <v>20.922829728665075</v>
      </c>
      <c r="J513" s="318">
        <v>62.718316872534103</v>
      </c>
      <c r="K513" s="319">
        <v>37.000917495144499</v>
      </c>
      <c r="L513" s="319">
        <v>16.078087766479424</v>
      </c>
      <c r="M513" s="319">
        <f t="shared" si="7"/>
        <v>16.078087766479424</v>
      </c>
      <c r="N513" s="317">
        <v>3.1148079430000584</v>
      </c>
      <c r="O513" s="315" t="s">
        <v>1148</v>
      </c>
      <c r="P513" s="318">
        <v>210</v>
      </c>
      <c r="R513" s="320">
        <v>98.888888888888886</v>
      </c>
      <c r="S513" s="318">
        <v>48.9</v>
      </c>
      <c r="T513" s="318">
        <v>34.81</v>
      </c>
      <c r="U513" s="318">
        <v>152</v>
      </c>
      <c r="V513" s="315">
        <v>0.22</v>
      </c>
      <c r="W513" s="318">
        <v>37</v>
      </c>
      <c r="X513" s="315">
        <v>3</v>
      </c>
      <c r="Y513" s="315" t="s">
        <v>1149</v>
      </c>
      <c r="Z513" s="315">
        <v>0</v>
      </c>
      <c r="AA513" s="315" t="s">
        <v>1190</v>
      </c>
      <c r="AB513" s="315"/>
      <c r="AC513" s="315"/>
      <c r="AD513" s="315"/>
      <c r="AE513" s="315"/>
      <c r="AF513" s="315"/>
      <c r="AG513" s="315"/>
      <c r="AH513" s="315"/>
    </row>
    <row r="514" spans="1:34">
      <c r="A514" s="315" t="s">
        <v>1893</v>
      </c>
      <c r="B514" s="315" t="s">
        <v>696</v>
      </c>
      <c r="C514" s="316" t="s">
        <v>1591</v>
      </c>
      <c r="D514" s="316" t="s">
        <v>1591</v>
      </c>
      <c r="E514" s="317">
        <v>14.5</v>
      </c>
      <c r="F514" s="317">
        <v>0.56067073193710115</v>
      </c>
      <c r="G514" s="317">
        <v>0.60212262179999687</v>
      </c>
      <c r="H514" s="317">
        <v>0.60212262179999687</v>
      </c>
      <c r="I514" s="318">
        <v>4.1525698055172198</v>
      </c>
      <c r="J514" s="318">
        <v>52.178209089211798</v>
      </c>
      <c r="K514" s="319">
        <v>41.864403809575002</v>
      </c>
      <c r="L514" s="319">
        <v>37.711834004057785</v>
      </c>
      <c r="M514" s="319">
        <f t="shared" si="7"/>
        <v>37.711834004057785</v>
      </c>
      <c r="N514" s="317">
        <v>5.4682159305883795</v>
      </c>
      <c r="O514" s="315" t="s">
        <v>1148</v>
      </c>
      <c r="P514" s="318">
        <v>210</v>
      </c>
      <c r="R514" s="320">
        <v>98.888888888888886</v>
      </c>
      <c r="S514" s="318">
        <v>35</v>
      </c>
      <c r="T514" s="318">
        <v>363.5</v>
      </c>
      <c r="U514" s="318">
        <v>104.5</v>
      </c>
      <c r="V514" s="315">
        <v>0.24</v>
      </c>
      <c r="W514" s="318">
        <v>60</v>
      </c>
      <c r="X514" s="315">
        <v>0</v>
      </c>
      <c r="Y514" s="315" t="s">
        <v>1154</v>
      </c>
      <c r="Z514" s="315">
        <v>1</v>
      </c>
      <c r="AA514" s="315" t="s">
        <v>1435</v>
      </c>
      <c r="AB514" s="315"/>
      <c r="AC514" s="315"/>
      <c r="AD514" s="315"/>
      <c r="AE514" s="315"/>
      <c r="AF514" s="315"/>
      <c r="AG514" s="315"/>
      <c r="AH514" s="315"/>
    </row>
    <row r="515" spans="1:34">
      <c r="A515" s="315" t="s">
        <v>1895</v>
      </c>
      <c r="B515" s="315" t="s">
        <v>696</v>
      </c>
      <c r="C515" s="316" t="s">
        <v>1592</v>
      </c>
      <c r="D515" s="316" t="s">
        <v>1592</v>
      </c>
      <c r="E515" s="317">
        <v>4.68</v>
      </c>
      <c r="F515" s="317">
        <v>0.53</v>
      </c>
      <c r="G515" s="317">
        <v>0.53</v>
      </c>
      <c r="H515" s="317">
        <v>0.53</v>
      </c>
      <c r="I515" s="318">
        <v>11.324786324786325</v>
      </c>
      <c r="J515" s="318">
        <v>50.866152914297103</v>
      </c>
      <c r="K515" s="319">
        <v>44.221067896931196</v>
      </c>
      <c r="L515" s="319">
        <v>32.896281572144872</v>
      </c>
      <c r="M515" s="319">
        <f t="shared" ref="M515:M578" si="8">IF(L515&lt;0,0,L515)</f>
        <v>32.896281572144872</v>
      </c>
      <c r="N515" s="317">
        <v>1.5395459775763798</v>
      </c>
      <c r="O515" s="315" t="s">
        <v>1148</v>
      </c>
      <c r="P515" s="318">
        <v>210</v>
      </c>
      <c r="R515" s="320">
        <v>98.888888888888886</v>
      </c>
      <c r="S515" s="318">
        <v>35</v>
      </c>
      <c r="T515" s="318">
        <v>300</v>
      </c>
      <c r="U515" s="318">
        <v>100</v>
      </c>
      <c r="V515" s="315">
        <v>0.25</v>
      </c>
      <c r="W515" s="318">
        <v>86</v>
      </c>
      <c r="X515" s="315">
        <v>1</v>
      </c>
      <c r="Y515" s="315" t="s">
        <v>1149</v>
      </c>
      <c r="Z515" s="315">
        <v>0</v>
      </c>
      <c r="AA515" s="315" t="s">
        <v>1435</v>
      </c>
      <c r="AB515" s="315"/>
      <c r="AC515" s="315"/>
      <c r="AD515" s="315"/>
      <c r="AE515" s="315"/>
      <c r="AF515" s="315"/>
      <c r="AG515" s="315"/>
      <c r="AH515" s="315"/>
    </row>
    <row r="516" spans="1:34">
      <c r="A516" s="315" t="s">
        <v>1145</v>
      </c>
      <c r="B516" s="315" t="s">
        <v>696</v>
      </c>
      <c r="C516" s="316" t="s">
        <v>1593</v>
      </c>
      <c r="D516" s="316" t="s">
        <v>1593</v>
      </c>
      <c r="E516" s="317">
        <v>8.83</v>
      </c>
      <c r="F516" s="317">
        <v>0</v>
      </c>
      <c r="G516" s="317">
        <v>0</v>
      </c>
      <c r="H516" s="317">
        <v>2.5595378486630436</v>
      </c>
      <c r="I516" s="318">
        <v>28.986838603205477</v>
      </c>
      <c r="J516" s="318">
        <v>51.626899613278802</v>
      </c>
      <c r="K516" s="319">
        <v>41.993377862537699</v>
      </c>
      <c r="L516" s="319">
        <v>13.006539259332222</v>
      </c>
      <c r="M516" s="319">
        <f t="shared" si="8"/>
        <v>13.006539259332222</v>
      </c>
      <c r="N516" s="317">
        <v>1.1484774165990352</v>
      </c>
      <c r="O516" s="315" t="s">
        <v>1168</v>
      </c>
      <c r="P516" s="318">
        <v>210</v>
      </c>
      <c r="R516" s="320">
        <v>98.888888888888886</v>
      </c>
      <c r="S516" s="318">
        <v>35</v>
      </c>
      <c r="T516" s="318">
        <v>687</v>
      </c>
      <c r="U516" s="318">
        <v>104.5</v>
      </c>
      <c r="V516" s="315">
        <v>0.23</v>
      </c>
      <c r="W516" s="318">
        <v>50</v>
      </c>
      <c r="X516" s="315">
        <v>4</v>
      </c>
      <c r="Y516" s="315" t="s">
        <v>1149</v>
      </c>
      <c r="Z516" s="315">
        <v>0</v>
      </c>
      <c r="AA516" s="315" t="s">
        <v>1435</v>
      </c>
      <c r="AB516" s="315"/>
      <c r="AC516" s="315"/>
      <c r="AD516" s="315"/>
      <c r="AE516" s="315"/>
      <c r="AF516" s="315"/>
      <c r="AG516" s="315"/>
      <c r="AH516" s="315"/>
    </row>
    <row r="517" spans="1:34">
      <c r="A517" s="315" t="s">
        <v>1145</v>
      </c>
      <c r="B517" s="315" t="s">
        <v>696</v>
      </c>
      <c r="C517" s="316" t="s">
        <v>1594</v>
      </c>
      <c r="D517" s="316" t="s">
        <v>1594</v>
      </c>
      <c r="E517" s="317">
        <v>0.62</v>
      </c>
      <c r="F517" s="317">
        <v>0</v>
      </c>
      <c r="G517" s="317">
        <v>0</v>
      </c>
      <c r="H517" s="317">
        <v>0</v>
      </c>
      <c r="I517" s="318">
        <v>0</v>
      </c>
      <c r="J517" s="318">
        <v>48.788490394928097</v>
      </c>
      <c r="K517" s="319">
        <v>44.614316007308702</v>
      </c>
      <c r="L517" s="319">
        <v>44.614316007308702</v>
      </c>
      <c r="M517" s="319">
        <f t="shared" si="8"/>
        <v>44.614316007308702</v>
      </c>
      <c r="N517" s="317">
        <v>0.27660875924531397</v>
      </c>
      <c r="O517" s="315" t="s">
        <v>1168</v>
      </c>
      <c r="P517" s="318">
        <v>210</v>
      </c>
      <c r="R517" s="320">
        <v>98.888888888888886</v>
      </c>
      <c r="S517" s="318">
        <v>39</v>
      </c>
      <c r="T517" s="318">
        <v>279.33333333333331</v>
      </c>
      <c r="U517" s="318">
        <v>194.33333333333334</v>
      </c>
      <c r="V517" s="315">
        <v>0.22</v>
      </c>
      <c r="W517" s="318">
        <v>80</v>
      </c>
      <c r="X517" s="315">
        <v>7</v>
      </c>
      <c r="Y517" s="315" t="s">
        <v>1154</v>
      </c>
      <c r="Z517" s="315">
        <v>3</v>
      </c>
      <c r="AA517" s="315" t="s">
        <v>1435</v>
      </c>
      <c r="AB517" s="315"/>
      <c r="AC517" s="315"/>
      <c r="AD517" s="315"/>
      <c r="AE517" s="315"/>
      <c r="AF517" s="315"/>
      <c r="AG517" s="315"/>
      <c r="AH517" s="315"/>
    </row>
    <row r="518" spans="1:34">
      <c r="A518" s="315" t="s">
        <v>1145</v>
      </c>
      <c r="B518" s="315" t="s">
        <v>696</v>
      </c>
      <c r="C518" s="316" t="s">
        <v>1595</v>
      </c>
      <c r="D518" s="316" t="s">
        <v>1595</v>
      </c>
      <c r="E518" s="317">
        <v>4.68</v>
      </c>
      <c r="F518" s="317">
        <v>0</v>
      </c>
      <c r="G518" s="317">
        <v>0</v>
      </c>
      <c r="H518" s="317">
        <v>0</v>
      </c>
      <c r="I518" s="318">
        <v>0</v>
      </c>
      <c r="J518" s="318">
        <v>48.710480154932597</v>
      </c>
      <c r="K518" s="319">
        <v>44.611265701318999</v>
      </c>
      <c r="L518" s="319">
        <v>44.611265701318999</v>
      </c>
      <c r="M518" s="319">
        <f t="shared" si="8"/>
        <v>44.611265701318999</v>
      </c>
      <c r="N518" s="317">
        <v>2.0878072348217289</v>
      </c>
      <c r="O518" s="315" t="s">
        <v>1168</v>
      </c>
      <c r="P518" s="318">
        <v>210</v>
      </c>
      <c r="R518" s="320">
        <v>98.888888888888886</v>
      </c>
      <c r="S518" s="318">
        <v>38</v>
      </c>
      <c r="T518" s="318">
        <v>300</v>
      </c>
      <c r="U518" s="318">
        <v>195.66666666666666</v>
      </c>
      <c r="V518" s="315">
        <v>0.22</v>
      </c>
      <c r="W518" s="318">
        <v>70</v>
      </c>
      <c r="X518" s="315">
        <v>3</v>
      </c>
      <c r="Y518" s="315" t="s">
        <v>1149</v>
      </c>
      <c r="Z518" s="315">
        <v>0</v>
      </c>
      <c r="AA518" s="315" t="s">
        <v>1435</v>
      </c>
      <c r="AB518" s="315"/>
      <c r="AC518" s="315"/>
      <c r="AD518" s="315"/>
      <c r="AE518" s="315"/>
      <c r="AF518" s="315"/>
      <c r="AG518" s="315"/>
      <c r="AH518" s="315"/>
    </row>
    <row r="519" spans="1:34">
      <c r="A519" s="315" t="s">
        <v>1145</v>
      </c>
      <c r="B519" s="315" t="s">
        <v>696</v>
      </c>
      <c r="C519" s="316" t="s">
        <v>1597</v>
      </c>
      <c r="D519" s="316" t="s">
        <v>1597</v>
      </c>
      <c r="E519" s="317">
        <v>5.4</v>
      </c>
      <c r="F519" s="317">
        <v>0</v>
      </c>
      <c r="G519" s="317">
        <v>0</v>
      </c>
      <c r="H519" s="317">
        <v>0.38393230564094283</v>
      </c>
      <c r="I519" s="318">
        <v>7.1098575118693113</v>
      </c>
      <c r="J519" s="318">
        <v>43.166015759203503</v>
      </c>
      <c r="K519" s="319">
        <v>46.078666675226899</v>
      </c>
      <c r="L519" s="319">
        <v>38.968809163357591</v>
      </c>
      <c r="M519" s="319">
        <f t="shared" si="8"/>
        <v>38.968809163357591</v>
      </c>
      <c r="N519" s="317">
        <v>2.10431569482131</v>
      </c>
      <c r="O519" s="315" t="s">
        <v>1168</v>
      </c>
      <c r="P519" s="318">
        <v>210</v>
      </c>
      <c r="R519" s="320">
        <v>98.888888888888886</v>
      </c>
      <c r="S519" s="318">
        <v>38</v>
      </c>
      <c r="T519" s="318">
        <v>282</v>
      </c>
      <c r="U519" s="318">
        <v>158.33333333333334</v>
      </c>
      <c r="V519" s="315">
        <v>0.22</v>
      </c>
      <c r="W519" s="318">
        <v>80</v>
      </c>
      <c r="X519" s="315">
        <v>0</v>
      </c>
      <c r="Y519" s="315" t="s">
        <v>1420</v>
      </c>
      <c r="Z519" s="315">
        <v>3</v>
      </c>
      <c r="AA519" s="315" t="s">
        <v>1435</v>
      </c>
      <c r="AB519" s="315"/>
      <c r="AC519" s="315"/>
      <c r="AD519" s="315"/>
      <c r="AE519" s="315"/>
      <c r="AF519" s="315"/>
      <c r="AG519" s="315"/>
      <c r="AH519" s="315"/>
    </row>
    <row r="520" spans="1:34">
      <c r="A520" s="315" t="s">
        <v>1145</v>
      </c>
      <c r="B520" s="315" t="s">
        <v>663</v>
      </c>
      <c r="C520" s="316" t="s">
        <v>1907</v>
      </c>
      <c r="D520" s="316" t="s">
        <v>1907</v>
      </c>
      <c r="E520" s="317">
        <v>5.9000005616673166</v>
      </c>
      <c r="F520" s="317">
        <v>0.24698329999999999</v>
      </c>
      <c r="G520" s="317">
        <v>0.24698329999999999</v>
      </c>
      <c r="H520" s="317">
        <v>0.24698329999999999</v>
      </c>
      <c r="I520" s="318">
        <v>4.1861572286054747</v>
      </c>
      <c r="J520" s="318">
        <v>64.071270959360305</v>
      </c>
      <c r="K520" s="319">
        <v>30.166226628087102</v>
      </c>
      <c r="L520" s="319">
        <v>25.980069399481629</v>
      </c>
      <c r="M520" s="319">
        <f t="shared" si="8"/>
        <v>25.980069399481629</v>
      </c>
      <c r="N520" s="317">
        <v>1.5328242404909749</v>
      </c>
      <c r="O520" s="315" t="s">
        <v>1148</v>
      </c>
      <c r="P520" s="318">
        <v>210.1890439</v>
      </c>
      <c r="R520" s="320">
        <v>98.993913277777779</v>
      </c>
      <c r="S520" s="318">
        <v>32</v>
      </c>
      <c r="T520" s="318">
        <v>80</v>
      </c>
      <c r="U520" s="318">
        <v>334.66200000000003</v>
      </c>
      <c r="V520" s="315">
        <v>0.13100000000000001</v>
      </c>
      <c r="W520" s="318">
        <v>10</v>
      </c>
      <c r="X520" s="315">
        <v>0</v>
      </c>
      <c r="Y520" s="315" t="s">
        <v>1149</v>
      </c>
      <c r="Z520" s="315">
        <v>0</v>
      </c>
      <c r="AA520" s="315" t="s">
        <v>1190</v>
      </c>
      <c r="AB520" s="315"/>
      <c r="AC520" s="315"/>
      <c r="AD520" s="315"/>
      <c r="AE520" s="315"/>
      <c r="AF520" s="315"/>
      <c r="AG520" s="315"/>
      <c r="AH520" s="315"/>
    </row>
    <row r="521" spans="1:34">
      <c r="A521" s="315" t="s">
        <v>1145</v>
      </c>
      <c r="B521" s="315" t="s">
        <v>1066</v>
      </c>
      <c r="C521" s="316" t="s">
        <v>1406</v>
      </c>
      <c r="D521" s="316" t="s">
        <v>1406</v>
      </c>
      <c r="E521" s="317">
        <v>9.7358460000000004</v>
      </c>
      <c r="F521" s="317">
        <v>0.8741776</v>
      </c>
      <c r="G521" s="317">
        <v>0.97370409999999996</v>
      </c>
      <c r="H521" s="317">
        <v>1.0102183999999998</v>
      </c>
      <c r="I521" s="318">
        <v>10.376277521234414</v>
      </c>
      <c r="J521" s="318">
        <v>69.052177847389004</v>
      </c>
      <c r="K521" s="319">
        <v>30.520346686297099</v>
      </c>
      <c r="L521" s="319">
        <v>20.144069165062685</v>
      </c>
      <c r="M521" s="319">
        <f t="shared" si="8"/>
        <v>20.144069165062685</v>
      </c>
      <c r="N521" s="317">
        <v>1.961195552043989</v>
      </c>
      <c r="O521" s="315" t="s">
        <v>1148</v>
      </c>
      <c r="P521" s="318">
        <v>211</v>
      </c>
      <c r="R521" s="320">
        <v>99.444444444444443</v>
      </c>
      <c r="S521" s="318">
        <v>38</v>
      </c>
      <c r="T521" s="318">
        <v>1093</v>
      </c>
      <c r="U521" s="318">
        <v>157</v>
      </c>
      <c r="V521" s="315">
        <v>0.16</v>
      </c>
      <c r="W521" s="318">
        <v>17.399999999999999</v>
      </c>
      <c r="X521" s="315">
        <v>2</v>
      </c>
      <c r="Y521" s="315" t="s">
        <v>1149</v>
      </c>
      <c r="Z521" s="315">
        <v>0</v>
      </c>
      <c r="AA521" s="315" t="s">
        <v>1190</v>
      </c>
      <c r="AB521" s="316">
        <v>0</v>
      </c>
      <c r="AC521" s="316">
        <v>3740</v>
      </c>
      <c r="AD521" s="316">
        <v>3717</v>
      </c>
      <c r="AE521" s="316">
        <v>0.43</v>
      </c>
      <c r="AF521" s="316">
        <v>1.587302</v>
      </c>
      <c r="AG521" s="316">
        <v>0.26</v>
      </c>
      <c r="AH521" s="316">
        <v>1012</v>
      </c>
    </row>
    <row r="522" spans="1:34">
      <c r="A522" s="315" t="s">
        <v>1145</v>
      </c>
      <c r="B522" s="315" t="s">
        <v>1066</v>
      </c>
      <c r="C522" s="316" t="s">
        <v>1408</v>
      </c>
      <c r="D522" s="316" t="s">
        <v>1408</v>
      </c>
      <c r="E522" s="317">
        <v>0.73195399999999999</v>
      </c>
      <c r="F522" s="317">
        <v>0</v>
      </c>
      <c r="G522" s="317">
        <v>0</v>
      </c>
      <c r="H522" s="317">
        <v>0</v>
      </c>
      <c r="I522" s="318">
        <v>0</v>
      </c>
      <c r="J522" s="318">
        <v>71.301563200912895</v>
      </c>
      <c r="K522" s="319">
        <v>32.533593914025701</v>
      </c>
      <c r="L522" s="319">
        <v>32.533593914025701</v>
      </c>
      <c r="M522" s="319">
        <f t="shared" si="8"/>
        <v>32.533593914025701</v>
      </c>
      <c r="N522" s="317">
        <v>0.23813094199746768</v>
      </c>
      <c r="O522" s="315" t="s">
        <v>1168</v>
      </c>
      <c r="P522" s="318">
        <v>211</v>
      </c>
      <c r="R522" s="320">
        <v>99.444444444444443</v>
      </c>
      <c r="S522" s="318">
        <v>38</v>
      </c>
      <c r="T522" s="318">
        <v>326.8</v>
      </c>
      <c r="U522" s="318">
        <v>5780</v>
      </c>
      <c r="V522" s="315">
        <v>0.14000000000000001</v>
      </c>
      <c r="W522" s="318">
        <v>15.4</v>
      </c>
      <c r="X522" s="315">
        <v>0</v>
      </c>
      <c r="Y522" s="315" t="s">
        <v>1149</v>
      </c>
      <c r="Z522" s="315">
        <v>0</v>
      </c>
      <c r="AA522" s="315" t="s">
        <v>1157</v>
      </c>
      <c r="AB522" s="315"/>
      <c r="AC522" s="315"/>
      <c r="AD522" s="315"/>
      <c r="AE522" s="315"/>
      <c r="AF522" s="315"/>
      <c r="AG522" s="315"/>
      <c r="AH522" s="315"/>
    </row>
    <row r="523" spans="1:34">
      <c r="A523" s="315" t="s">
        <v>1145</v>
      </c>
      <c r="B523" s="315" t="s">
        <v>696</v>
      </c>
      <c r="C523" s="316" t="s">
        <v>1599</v>
      </c>
      <c r="D523" s="316" t="s">
        <v>1599</v>
      </c>
      <c r="E523" s="317">
        <v>1.357</v>
      </c>
      <c r="F523" s="317">
        <v>0.21491222723571543</v>
      </c>
      <c r="G523" s="317">
        <v>0.23080127002740256</v>
      </c>
      <c r="H523" s="317">
        <v>0.23080127002740256</v>
      </c>
      <c r="I523" s="318">
        <v>17.008199707251478</v>
      </c>
      <c r="J523" s="318">
        <v>49.044217209022101</v>
      </c>
      <c r="K523" s="319">
        <v>43.665451058983301</v>
      </c>
      <c r="L523" s="319">
        <v>26.657251351731823</v>
      </c>
      <c r="M523" s="319">
        <f t="shared" si="8"/>
        <v>26.657251351731823</v>
      </c>
      <c r="N523" s="317">
        <v>0.36173890084300087</v>
      </c>
      <c r="O523" s="315" t="s">
        <v>1148</v>
      </c>
      <c r="P523" s="318">
        <v>211</v>
      </c>
      <c r="R523" s="320">
        <v>99.444444444444443</v>
      </c>
      <c r="S523" s="318">
        <v>39</v>
      </c>
      <c r="T523" s="318">
        <v>167.33333333333334</v>
      </c>
      <c r="U523" s="318">
        <v>30.333333333333332</v>
      </c>
      <c r="V523" s="315">
        <v>0.21</v>
      </c>
      <c r="W523" s="318">
        <v>100</v>
      </c>
      <c r="X523" s="315">
        <v>4</v>
      </c>
      <c r="Y523" s="315" t="s">
        <v>1154</v>
      </c>
      <c r="Z523" s="315">
        <v>3</v>
      </c>
      <c r="AA523" s="315" t="s">
        <v>1435</v>
      </c>
      <c r="AB523" s="315"/>
      <c r="AC523" s="315"/>
      <c r="AD523" s="315"/>
      <c r="AE523" s="315"/>
      <c r="AF523" s="315"/>
      <c r="AG523" s="315"/>
      <c r="AH523" s="315"/>
    </row>
    <row r="524" spans="1:34">
      <c r="A524" s="315" t="s">
        <v>1758</v>
      </c>
      <c r="B524" s="315" t="s">
        <v>663</v>
      </c>
      <c r="C524" s="316" t="s">
        <v>1908</v>
      </c>
      <c r="D524" s="316" t="s">
        <v>1908</v>
      </c>
      <c r="E524" s="317">
        <v>1.56</v>
      </c>
      <c r="F524" s="317">
        <v>0</v>
      </c>
      <c r="G524" s="317">
        <v>0</v>
      </c>
      <c r="H524" s="317">
        <v>0</v>
      </c>
      <c r="I524" s="318">
        <v>0</v>
      </c>
      <c r="J524" s="318">
        <v>67.393280595811106</v>
      </c>
      <c r="K524" s="319">
        <v>28.362143414733897</v>
      </c>
      <c r="L524" s="319">
        <v>28.362143414733897</v>
      </c>
      <c r="M524" s="319">
        <f t="shared" si="8"/>
        <v>28.362143414733897</v>
      </c>
      <c r="N524" s="317">
        <v>0.44244943726984881</v>
      </c>
      <c r="O524" s="315" t="s">
        <v>1168</v>
      </c>
      <c r="P524" s="318">
        <v>212</v>
      </c>
      <c r="R524" s="320">
        <v>100</v>
      </c>
      <c r="S524" s="318">
        <v>32</v>
      </c>
      <c r="T524" s="318">
        <v>24.36</v>
      </c>
      <c r="U524" s="318">
        <v>646</v>
      </c>
      <c r="V524" s="315">
        <v>0.06</v>
      </c>
      <c r="W524" s="318">
        <v>10</v>
      </c>
      <c r="X524" s="315">
        <v>0</v>
      </c>
      <c r="Y524" s="315" t="s">
        <v>1149</v>
      </c>
      <c r="Z524" s="315">
        <v>0</v>
      </c>
      <c r="AA524" s="315" t="s">
        <v>1150</v>
      </c>
      <c r="AB524" s="315"/>
      <c r="AC524" s="315"/>
      <c r="AD524" s="315"/>
      <c r="AE524" s="315"/>
      <c r="AF524" s="315"/>
      <c r="AG524" s="315"/>
      <c r="AH524" s="315"/>
    </row>
    <row r="525" spans="1:34">
      <c r="A525" s="315" t="s">
        <v>1906</v>
      </c>
      <c r="B525" s="315" t="s">
        <v>663</v>
      </c>
      <c r="C525" s="316" t="s">
        <v>1909</v>
      </c>
      <c r="D525" s="316" t="s">
        <v>1909</v>
      </c>
      <c r="E525" s="317">
        <v>2.290000218003077</v>
      </c>
      <c r="F525" s="317">
        <v>0</v>
      </c>
      <c r="G525" s="317">
        <v>0</v>
      </c>
      <c r="H525" s="317">
        <v>0</v>
      </c>
      <c r="I525" s="318">
        <v>0</v>
      </c>
      <c r="J525" s="318">
        <v>69.823046595668501</v>
      </c>
      <c r="K525" s="319">
        <v>27.708660573507199</v>
      </c>
      <c r="L525" s="319">
        <v>27.708660573507199</v>
      </c>
      <c r="M525" s="319">
        <f t="shared" si="8"/>
        <v>27.708660573507199</v>
      </c>
      <c r="N525" s="317">
        <v>0.6345283875390475</v>
      </c>
      <c r="O525" s="315" t="s">
        <v>1168</v>
      </c>
      <c r="P525" s="318">
        <v>212</v>
      </c>
      <c r="R525" s="320">
        <v>100</v>
      </c>
      <c r="S525" s="318">
        <v>32</v>
      </c>
      <c r="T525" s="318">
        <v>38.94</v>
      </c>
      <c r="U525" s="318">
        <v>535</v>
      </c>
      <c r="V525" s="315">
        <v>0.10299999999999999</v>
      </c>
      <c r="W525" s="318">
        <v>17</v>
      </c>
      <c r="X525" s="315">
        <v>0</v>
      </c>
      <c r="Y525" s="315" t="s">
        <v>1149</v>
      </c>
      <c r="Z525" s="315">
        <v>0</v>
      </c>
      <c r="AA525" s="315" t="s">
        <v>1157</v>
      </c>
      <c r="AB525" s="315"/>
      <c r="AC525" s="315"/>
      <c r="AD525" s="315"/>
      <c r="AE525" s="315"/>
      <c r="AF525" s="315"/>
      <c r="AG525" s="315"/>
      <c r="AH525" s="315"/>
    </row>
    <row r="526" spans="1:34">
      <c r="A526" s="315" t="s">
        <v>1334</v>
      </c>
      <c r="B526" s="315" t="s">
        <v>1916</v>
      </c>
      <c r="C526" s="316" t="s">
        <v>1952</v>
      </c>
      <c r="D526" s="316" t="s">
        <v>1952</v>
      </c>
      <c r="E526" s="317">
        <v>9.3000000000000007</v>
      </c>
      <c r="F526" s="317">
        <v>1.7701750000000001</v>
      </c>
      <c r="G526" s="317">
        <v>1.7701750000000001</v>
      </c>
      <c r="H526" s="317">
        <v>1.7701750000000001</v>
      </c>
      <c r="I526" s="318">
        <v>19.034139784946234</v>
      </c>
      <c r="J526" s="318">
        <v>56.508512916585801</v>
      </c>
      <c r="K526" s="319">
        <v>37.326027030787102</v>
      </c>
      <c r="L526" s="319">
        <v>18.291887245840869</v>
      </c>
      <c r="M526" s="319">
        <f t="shared" si="8"/>
        <v>18.291887245840869</v>
      </c>
      <c r="N526" s="317">
        <v>1.7011455138632008</v>
      </c>
      <c r="O526" s="315" t="s">
        <v>1148</v>
      </c>
      <c r="P526" s="318">
        <v>212</v>
      </c>
      <c r="R526" s="320">
        <v>100</v>
      </c>
      <c r="S526" s="318">
        <v>37</v>
      </c>
      <c r="T526" s="318">
        <v>8.2285714285714278</v>
      </c>
      <c r="U526" s="318">
        <v>6.55</v>
      </c>
      <c r="V526" s="315">
        <v>0.1965762152777778</v>
      </c>
      <c r="W526" s="318">
        <v>22.347799999999999</v>
      </c>
      <c r="X526" s="315">
        <v>3</v>
      </c>
      <c r="Y526" s="315" t="s">
        <v>1149</v>
      </c>
      <c r="Z526" s="315">
        <v>0</v>
      </c>
      <c r="AA526" s="315" t="s">
        <v>1190</v>
      </c>
      <c r="AB526" s="315"/>
      <c r="AC526" s="315"/>
      <c r="AD526" s="315"/>
      <c r="AE526" s="315"/>
      <c r="AF526" s="315"/>
      <c r="AG526" s="315"/>
      <c r="AH526" s="315"/>
    </row>
    <row r="527" spans="1:34">
      <c r="A527" s="315" t="s">
        <v>1334</v>
      </c>
      <c r="B527" s="315" t="s">
        <v>1916</v>
      </c>
      <c r="C527" s="316" t="s">
        <v>1953</v>
      </c>
      <c r="D527" s="316" t="s">
        <v>1953</v>
      </c>
      <c r="E527" s="317">
        <v>8.8000000000000007</v>
      </c>
      <c r="F527" s="317">
        <v>2.4185840000000001</v>
      </c>
      <c r="G527" s="317">
        <v>2.4185840000000001</v>
      </c>
      <c r="H527" s="317">
        <v>2.4185840000000001</v>
      </c>
      <c r="I527" s="318">
        <v>27.483909090909091</v>
      </c>
      <c r="J527" s="318">
        <v>44.942781411816199</v>
      </c>
      <c r="K527" s="319">
        <v>41.263945355774901</v>
      </c>
      <c r="L527" s="319">
        <v>13.78003626486581</v>
      </c>
      <c r="M527" s="319">
        <f t="shared" si="8"/>
        <v>13.78003626486581</v>
      </c>
      <c r="N527" s="317">
        <v>1.2126431913081914</v>
      </c>
      <c r="O527" s="315" t="s">
        <v>1148</v>
      </c>
      <c r="P527" s="318">
        <v>212</v>
      </c>
      <c r="R527" s="320">
        <v>100</v>
      </c>
      <c r="S527" s="318">
        <v>37</v>
      </c>
      <c r="T527" s="318">
        <v>11.222857142857142</v>
      </c>
      <c r="U527" s="318">
        <v>2.2814285714285711</v>
      </c>
      <c r="V527" s="315">
        <v>0.17104086048879835</v>
      </c>
      <c r="W527" s="318">
        <v>422.99700000000001</v>
      </c>
      <c r="X527" s="315">
        <v>3</v>
      </c>
      <c r="Y527" s="315" t="s">
        <v>1149</v>
      </c>
      <c r="Z527" s="315">
        <v>0</v>
      </c>
      <c r="AA527" s="315" t="s">
        <v>1190</v>
      </c>
      <c r="AB527" s="315"/>
      <c r="AC527" s="315"/>
      <c r="AD527" s="315"/>
      <c r="AE527" s="315"/>
      <c r="AF527" s="315"/>
      <c r="AG527" s="315"/>
      <c r="AH527" s="315"/>
    </row>
    <row r="528" spans="1:34">
      <c r="A528" s="315" t="s">
        <v>1334</v>
      </c>
      <c r="B528" s="315" t="s">
        <v>1916</v>
      </c>
      <c r="C528" s="316" t="s">
        <v>1954</v>
      </c>
      <c r="D528" s="316" t="s">
        <v>1954</v>
      </c>
      <c r="E528" s="317">
        <v>1.8</v>
      </c>
      <c r="F528" s="317">
        <v>0.33660000000000001</v>
      </c>
      <c r="G528" s="317">
        <v>0.33660000000000001</v>
      </c>
      <c r="H528" s="317">
        <v>0.33660000000000001</v>
      </c>
      <c r="I528" s="318">
        <v>18.7</v>
      </c>
      <c r="J528" s="318">
        <v>66.952463647561103</v>
      </c>
      <c r="K528" s="319">
        <v>31.934489904484497</v>
      </c>
      <c r="L528" s="319">
        <v>13.234489904484498</v>
      </c>
      <c r="M528" s="319">
        <f t="shared" si="8"/>
        <v>13.234489904484498</v>
      </c>
      <c r="N528" s="317">
        <v>0.23822081828072098</v>
      </c>
      <c r="O528" s="315" t="s">
        <v>1148</v>
      </c>
      <c r="P528" s="318">
        <v>212</v>
      </c>
      <c r="R528" s="320">
        <v>100</v>
      </c>
      <c r="S528" s="318">
        <v>37</v>
      </c>
      <c r="T528" s="318">
        <v>10.294285714285712</v>
      </c>
      <c r="U528" s="318">
        <v>5.4728571428571433</v>
      </c>
      <c r="V528" s="315">
        <v>0.16124104912572859</v>
      </c>
      <c r="W528" s="318">
        <v>23.606000000000002</v>
      </c>
      <c r="X528" s="315">
        <v>2</v>
      </c>
      <c r="Y528" s="315" t="s">
        <v>1149</v>
      </c>
      <c r="Z528" s="315">
        <v>0</v>
      </c>
      <c r="AA528" s="315" t="s">
        <v>1190</v>
      </c>
      <c r="AB528" s="315"/>
      <c r="AC528" s="315"/>
      <c r="AD528" s="315"/>
      <c r="AE528" s="315"/>
      <c r="AF528" s="315"/>
      <c r="AG528" s="315"/>
      <c r="AH528" s="315"/>
    </row>
    <row r="529" spans="1:34">
      <c r="A529" s="315" t="s">
        <v>1334</v>
      </c>
      <c r="B529" s="315" t="s">
        <v>1916</v>
      </c>
      <c r="C529" s="316" t="s">
        <v>1956</v>
      </c>
      <c r="D529" s="316" t="s">
        <v>1956</v>
      </c>
      <c r="E529" s="317">
        <v>32.1</v>
      </c>
      <c r="F529" s="317">
        <v>11.443989</v>
      </c>
      <c r="G529" s="317">
        <v>11.443989</v>
      </c>
      <c r="H529" s="317">
        <v>11.443989</v>
      </c>
      <c r="I529" s="318">
        <v>35.651056074766352</v>
      </c>
      <c r="J529" s="318">
        <v>65.726405381611798</v>
      </c>
      <c r="K529" s="319">
        <v>34.244115170127301</v>
      </c>
      <c r="L529" s="319">
        <v>-1.4069409046390504</v>
      </c>
      <c r="M529" s="319">
        <f t="shared" si="8"/>
        <v>0</v>
      </c>
      <c r="N529" s="317">
        <v>0</v>
      </c>
      <c r="O529" s="315" t="s">
        <v>1148</v>
      </c>
      <c r="P529" s="318">
        <v>212</v>
      </c>
      <c r="R529" s="320">
        <v>100</v>
      </c>
      <c r="S529" s="318">
        <v>37</v>
      </c>
      <c r="T529" s="318">
        <v>17.110000000000003</v>
      </c>
      <c r="U529" s="318">
        <v>10.968571428571428</v>
      </c>
      <c r="V529" s="315">
        <v>0.2</v>
      </c>
      <c r="W529" s="318">
        <v>140.15100000000001</v>
      </c>
      <c r="X529" s="315">
        <v>6</v>
      </c>
      <c r="Y529" s="315" t="s">
        <v>1149</v>
      </c>
      <c r="Z529" s="315">
        <v>0</v>
      </c>
      <c r="AA529" s="315" t="s">
        <v>1190</v>
      </c>
      <c r="AB529" s="315"/>
      <c r="AC529" s="315"/>
      <c r="AD529" s="315"/>
      <c r="AE529" s="315"/>
      <c r="AF529" s="315"/>
      <c r="AG529" s="315"/>
      <c r="AH529" s="315"/>
    </row>
    <row r="530" spans="1:34">
      <c r="A530" s="315" t="s">
        <v>1334</v>
      </c>
      <c r="B530" s="315" t="s">
        <v>1916</v>
      </c>
      <c r="C530" s="316" t="s">
        <v>1958</v>
      </c>
      <c r="D530" s="316" t="s">
        <v>1958</v>
      </c>
      <c r="E530" s="317">
        <v>0.63</v>
      </c>
      <c r="F530" s="317">
        <v>0.26</v>
      </c>
      <c r="G530" s="317">
        <v>0.26</v>
      </c>
      <c r="H530" s="317">
        <v>0.26</v>
      </c>
      <c r="I530" s="318">
        <v>41.269841269841272</v>
      </c>
      <c r="J530" s="318">
        <v>61.0353703054829</v>
      </c>
      <c r="K530" s="319">
        <v>33.773620227353405</v>
      </c>
      <c r="L530" s="319">
        <v>-7.4962210424878677</v>
      </c>
      <c r="M530" s="319">
        <f t="shared" si="8"/>
        <v>0</v>
      </c>
      <c r="N530" s="317">
        <v>0</v>
      </c>
      <c r="O530" s="315" t="s">
        <v>1148</v>
      </c>
      <c r="P530" s="318">
        <v>212</v>
      </c>
      <c r="R530" s="320">
        <v>100</v>
      </c>
      <c r="S530" s="318">
        <v>37</v>
      </c>
      <c r="T530" s="318">
        <v>4.6071</v>
      </c>
      <c r="U530" s="318">
        <v>0.19</v>
      </c>
      <c r="V530" s="315">
        <v>0.12976527131782944</v>
      </c>
      <c r="W530" s="318">
        <v>9.5670000000000002</v>
      </c>
      <c r="X530" s="315">
        <v>1</v>
      </c>
      <c r="Y530" s="315" t="s">
        <v>1149</v>
      </c>
      <c r="Z530" s="315">
        <v>0</v>
      </c>
      <c r="AA530" s="315" t="s">
        <v>1190</v>
      </c>
      <c r="AB530" s="315"/>
      <c r="AC530" s="315"/>
      <c r="AD530" s="315"/>
      <c r="AE530" s="315"/>
      <c r="AF530" s="315"/>
      <c r="AG530" s="315"/>
      <c r="AH530" s="315"/>
    </row>
    <row r="531" spans="1:34">
      <c r="A531" s="315" t="s">
        <v>1334</v>
      </c>
      <c r="B531" s="315" t="s">
        <v>1916</v>
      </c>
      <c r="C531" s="316" t="s">
        <v>1959</v>
      </c>
      <c r="D531" s="316" t="s">
        <v>1959</v>
      </c>
      <c r="E531" s="317">
        <v>2.2000000000000002</v>
      </c>
      <c r="F531" s="317">
        <v>0.41699999999999998</v>
      </c>
      <c r="G531" s="317">
        <v>0.41699999999999998</v>
      </c>
      <c r="H531" s="317">
        <v>0.41699999999999998</v>
      </c>
      <c r="I531" s="318">
        <v>18.954545454545453</v>
      </c>
      <c r="J531" s="318">
        <v>63.707137595269302</v>
      </c>
      <c r="K531" s="319">
        <v>31.5093471342995</v>
      </c>
      <c r="L531" s="319">
        <v>12.554801679754046</v>
      </c>
      <c r="M531" s="319">
        <f t="shared" si="8"/>
        <v>12.554801679754046</v>
      </c>
      <c r="N531" s="317">
        <v>0.27620563695458905</v>
      </c>
      <c r="O531" s="315" t="s">
        <v>1148</v>
      </c>
      <c r="P531" s="318">
        <v>212</v>
      </c>
      <c r="R531" s="320">
        <v>100</v>
      </c>
      <c r="S531" s="318">
        <v>37</v>
      </c>
      <c r="T531" s="318">
        <v>3.28084</v>
      </c>
      <c r="U531" s="318">
        <v>3.4428999999999998</v>
      </c>
      <c r="V531" s="315">
        <v>0.15492456896551726</v>
      </c>
      <c r="W531" s="318">
        <v>48.605499999999999</v>
      </c>
      <c r="X531" s="315">
        <v>3</v>
      </c>
      <c r="Y531" s="315" t="s">
        <v>1149</v>
      </c>
      <c r="Z531" s="315">
        <v>0</v>
      </c>
      <c r="AA531" s="315" t="s">
        <v>1190</v>
      </c>
      <c r="AB531" s="315"/>
      <c r="AC531" s="315"/>
      <c r="AD531" s="315"/>
      <c r="AE531" s="315"/>
      <c r="AF531" s="315"/>
      <c r="AG531" s="315"/>
      <c r="AH531" s="315"/>
    </row>
    <row r="532" spans="1:34">
      <c r="A532" s="315" t="s">
        <v>1145</v>
      </c>
      <c r="B532" s="315" t="s">
        <v>696</v>
      </c>
      <c r="C532" s="316" t="s">
        <v>1600</v>
      </c>
      <c r="D532" s="316" t="s">
        <v>1600</v>
      </c>
      <c r="E532" s="317">
        <v>1.9</v>
      </c>
      <c r="F532" s="317">
        <v>0</v>
      </c>
      <c r="G532" s="317">
        <v>0</v>
      </c>
      <c r="H532" s="317">
        <v>0.15536306389358456</v>
      </c>
      <c r="I532" s="318">
        <v>8.1770033628202405</v>
      </c>
      <c r="J532" s="318">
        <v>58.257695815051598</v>
      </c>
      <c r="K532" s="319">
        <v>36.522785134556301</v>
      </c>
      <c r="L532" s="319">
        <v>28.345781771736061</v>
      </c>
      <c r="M532" s="319">
        <f t="shared" si="8"/>
        <v>28.345781771736061</v>
      </c>
      <c r="N532" s="317">
        <v>0.53856985366298515</v>
      </c>
      <c r="O532" s="315" t="s">
        <v>1168</v>
      </c>
      <c r="P532" s="318">
        <v>213.9</v>
      </c>
      <c r="R532" s="320">
        <v>101.05555555555556</v>
      </c>
      <c r="S532" s="318">
        <v>36</v>
      </c>
      <c r="T532" s="318">
        <v>250</v>
      </c>
      <c r="U532" s="318">
        <v>52</v>
      </c>
      <c r="V532" s="315">
        <v>0.2</v>
      </c>
      <c r="W532" s="318">
        <v>40</v>
      </c>
      <c r="X532" s="315">
        <v>0</v>
      </c>
      <c r="Y532" s="315" t="s">
        <v>1149</v>
      </c>
      <c r="Z532" s="315">
        <v>0</v>
      </c>
      <c r="AA532" s="315" t="s">
        <v>1435</v>
      </c>
      <c r="AB532" s="315"/>
      <c r="AC532" s="315"/>
      <c r="AD532" s="315"/>
      <c r="AE532" s="315"/>
      <c r="AF532" s="315"/>
      <c r="AG532" s="315"/>
      <c r="AH532" s="315"/>
    </row>
    <row r="533" spans="1:34">
      <c r="A533" s="315" t="s">
        <v>1145</v>
      </c>
      <c r="B533" s="315" t="s">
        <v>696</v>
      </c>
      <c r="C533" s="316" t="s">
        <v>1601</v>
      </c>
      <c r="D533" s="316" t="s">
        <v>1601</v>
      </c>
      <c r="E533" s="317">
        <v>4.7</v>
      </c>
      <c r="F533" s="317">
        <v>0</v>
      </c>
      <c r="G533" s="317">
        <v>0</v>
      </c>
      <c r="H533" s="317">
        <v>0</v>
      </c>
      <c r="I533" s="318">
        <v>0</v>
      </c>
      <c r="J533" s="318">
        <v>58.140344781389103</v>
      </c>
      <c r="K533" s="319">
        <v>36.618446726163299</v>
      </c>
      <c r="L533" s="319">
        <v>36.618446726163299</v>
      </c>
      <c r="M533" s="319">
        <f t="shared" si="8"/>
        <v>36.618446726163299</v>
      </c>
      <c r="N533" s="317">
        <v>1.7210669961296752</v>
      </c>
      <c r="O533" s="315" t="s">
        <v>1168</v>
      </c>
      <c r="P533" s="318">
        <v>214.1</v>
      </c>
      <c r="R533" s="320">
        <v>101.16666666666667</v>
      </c>
      <c r="S533" s="318">
        <v>36</v>
      </c>
      <c r="T533" s="318">
        <v>377</v>
      </c>
      <c r="U533" s="318">
        <v>29</v>
      </c>
      <c r="V533" s="315">
        <v>0.2</v>
      </c>
      <c r="W533" s="318">
        <v>40</v>
      </c>
      <c r="X533" s="315">
        <v>0</v>
      </c>
      <c r="Y533" s="315" t="s">
        <v>1149</v>
      </c>
      <c r="Z533" s="315">
        <v>0</v>
      </c>
      <c r="AA533" s="315" t="s">
        <v>1435</v>
      </c>
      <c r="AB533" s="315"/>
      <c r="AC533" s="315"/>
      <c r="AD533" s="315"/>
      <c r="AE533" s="315"/>
      <c r="AF533" s="315"/>
      <c r="AG533" s="315"/>
      <c r="AH533" s="315"/>
    </row>
    <row r="534" spans="1:34">
      <c r="A534" s="315" t="s">
        <v>1161</v>
      </c>
      <c r="B534" s="315" t="s">
        <v>584</v>
      </c>
      <c r="C534" s="316" t="s">
        <v>1155</v>
      </c>
      <c r="D534" s="316" t="s">
        <v>1156</v>
      </c>
      <c r="E534" s="317">
        <v>43.699999999999996</v>
      </c>
      <c r="F534" s="317">
        <v>10.1335262</v>
      </c>
      <c r="G534" s="317">
        <v>11.472260002101649</v>
      </c>
      <c r="H534" s="317">
        <v>12.800666023909105</v>
      </c>
      <c r="I534" s="318">
        <v>29.292141931142119</v>
      </c>
      <c r="J534" s="318">
        <v>67.341215561661798</v>
      </c>
      <c r="K534" s="319">
        <v>30.301619508314399</v>
      </c>
      <c r="L534" s="319">
        <v>1.0094775771722801</v>
      </c>
      <c r="M534" s="319">
        <f t="shared" si="8"/>
        <v>1.0094775771722801</v>
      </c>
      <c r="N534" s="317">
        <v>0.44114170122428642</v>
      </c>
      <c r="O534" s="315" t="s">
        <v>1148</v>
      </c>
      <c r="P534" s="318">
        <v>215</v>
      </c>
      <c r="R534" s="320">
        <v>101.66666666666667</v>
      </c>
      <c r="S534" s="318">
        <v>41.2</v>
      </c>
      <c r="T534" s="318">
        <v>16.405000000000001</v>
      </c>
      <c r="U534" s="318">
        <v>108</v>
      </c>
      <c r="V534" s="315">
        <v>0.22</v>
      </c>
      <c r="W534" s="318">
        <v>1000</v>
      </c>
      <c r="X534" s="315">
        <v>10</v>
      </c>
      <c r="Y534" s="315" t="s">
        <v>1154</v>
      </c>
      <c r="Z534" s="315">
        <v>2</v>
      </c>
      <c r="AA534" s="315" t="s">
        <v>1157</v>
      </c>
      <c r="AB534" s="315">
        <v>0.32</v>
      </c>
      <c r="AC534" s="315">
        <v>2335</v>
      </c>
      <c r="AD534" s="315">
        <v>2335</v>
      </c>
      <c r="AE534" s="315">
        <v>0.48</v>
      </c>
      <c r="AF534" s="315">
        <v>1.4410000000000001</v>
      </c>
      <c r="AG534" s="315">
        <v>0.26</v>
      </c>
      <c r="AH534" s="315">
        <v>730</v>
      </c>
    </row>
    <row r="535" spans="1:34">
      <c r="A535" s="315" t="s">
        <v>1717</v>
      </c>
      <c r="B535" s="315" t="s">
        <v>1066</v>
      </c>
      <c r="C535" s="316" t="s">
        <v>1410</v>
      </c>
      <c r="D535" s="316" t="s">
        <v>1411</v>
      </c>
      <c r="E535" s="317">
        <v>23.5</v>
      </c>
      <c r="F535" s="317">
        <v>0.59619659999999997</v>
      </c>
      <c r="G535" s="317">
        <v>0.64998659999999997</v>
      </c>
      <c r="H535" s="317">
        <v>3.8510074999999997</v>
      </c>
      <c r="I535" s="318">
        <v>16.387265957446807</v>
      </c>
      <c r="J535" s="318">
        <v>64.748694772972996</v>
      </c>
      <c r="K535" s="319">
        <v>35.421133998420501</v>
      </c>
      <c r="L535" s="319">
        <v>19.033868040973694</v>
      </c>
      <c r="M535" s="319">
        <f t="shared" si="8"/>
        <v>19.033868040973694</v>
      </c>
      <c r="N535" s="317">
        <v>4.4729589896288182</v>
      </c>
      <c r="O535" s="315" t="s">
        <v>1148</v>
      </c>
      <c r="P535" s="318">
        <v>215</v>
      </c>
      <c r="R535" s="320">
        <v>101.66666666666667</v>
      </c>
      <c r="S535" s="318">
        <v>33</v>
      </c>
      <c r="T535" s="318">
        <v>482</v>
      </c>
      <c r="U535" s="318">
        <v>647</v>
      </c>
      <c r="V535" s="315">
        <v>0.16</v>
      </c>
      <c r="W535" s="318">
        <v>16.7</v>
      </c>
      <c r="X535" s="315">
        <v>9</v>
      </c>
      <c r="Y535" s="315" t="s">
        <v>1149</v>
      </c>
      <c r="Z535" s="315">
        <v>0</v>
      </c>
      <c r="AA535" s="315" t="s">
        <v>1157</v>
      </c>
      <c r="AB535" s="315"/>
      <c r="AC535" s="315"/>
      <c r="AD535" s="315"/>
      <c r="AE535" s="315"/>
      <c r="AF535" s="315"/>
      <c r="AG535" s="315"/>
      <c r="AH535" s="315"/>
    </row>
    <row r="536" spans="1:34">
      <c r="A536" s="315" t="s">
        <v>1277</v>
      </c>
      <c r="B536" s="315" t="s">
        <v>663</v>
      </c>
      <c r="C536" s="316" t="s">
        <v>1910</v>
      </c>
      <c r="D536" s="316" t="s">
        <v>1910</v>
      </c>
      <c r="E536" s="317">
        <v>11.12</v>
      </c>
      <c r="F536" s="317">
        <v>0</v>
      </c>
      <c r="G536" s="317">
        <v>0</v>
      </c>
      <c r="H536" s="317">
        <v>0</v>
      </c>
      <c r="I536" s="318">
        <v>0</v>
      </c>
      <c r="J536" s="318">
        <v>87.454169386728694</v>
      </c>
      <c r="K536" s="319">
        <v>18.9269407069255</v>
      </c>
      <c r="L536" s="319">
        <v>18.9269407069255</v>
      </c>
      <c r="M536" s="319">
        <f t="shared" si="8"/>
        <v>18.9269407069255</v>
      </c>
      <c r="N536" s="317">
        <v>2.1046758066101154</v>
      </c>
      <c r="O536" s="315" t="s">
        <v>1168</v>
      </c>
      <c r="P536" s="318">
        <v>215</v>
      </c>
      <c r="R536" s="320">
        <v>101.66666666666667</v>
      </c>
      <c r="S536" s="318">
        <v>32</v>
      </c>
      <c r="T536" s="318">
        <v>41.17</v>
      </c>
      <c r="U536" s="318">
        <v>128</v>
      </c>
      <c r="V536" s="315">
        <v>0.1462</v>
      </c>
      <c r="W536" s="318">
        <v>10</v>
      </c>
      <c r="X536" s="315">
        <v>0</v>
      </c>
      <c r="Y536" s="315" t="s">
        <v>1149</v>
      </c>
      <c r="Z536" s="315">
        <v>0</v>
      </c>
      <c r="AA536" s="315" t="s">
        <v>1150</v>
      </c>
      <c r="AB536" s="315"/>
      <c r="AC536" s="315"/>
      <c r="AD536" s="315"/>
      <c r="AE536" s="315"/>
      <c r="AF536" s="315"/>
      <c r="AG536" s="315"/>
      <c r="AH536" s="315"/>
    </row>
    <row r="537" spans="1:34">
      <c r="A537" s="315" t="s">
        <v>1145</v>
      </c>
      <c r="B537" s="315" t="s">
        <v>1451</v>
      </c>
      <c r="C537" s="316" t="s">
        <v>1453</v>
      </c>
      <c r="D537" s="316" t="s">
        <v>1453</v>
      </c>
      <c r="E537" s="317">
        <v>401.59999999999997</v>
      </c>
      <c r="F537" s="317">
        <v>173.8820849</v>
      </c>
      <c r="G537" s="317">
        <v>177.85388720988581</v>
      </c>
      <c r="H537" s="317">
        <v>178.45145052520553</v>
      </c>
      <c r="I537" s="318">
        <v>44.435122142730464</v>
      </c>
      <c r="J537" s="318">
        <v>45.055825751802999</v>
      </c>
      <c r="K537" s="319">
        <v>44.306405708513203</v>
      </c>
      <c r="L537" s="319">
        <v>-0.1287164342172602</v>
      </c>
      <c r="M537" s="319">
        <f t="shared" si="8"/>
        <v>0</v>
      </c>
      <c r="N537" s="317">
        <v>0</v>
      </c>
      <c r="O537" s="315" t="s">
        <v>1148</v>
      </c>
      <c r="P537" s="318">
        <v>216</v>
      </c>
      <c r="R537" s="320">
        <v>102.22222222222223</v>
      </c>
      <c r="S537" s="318">
        <v>47.6</v>
      </c>
      <c r="T537" s="318">
        <v>105.24</v>
      </c>
      <c r="U537" s="318">
        <v>364</v>
      </c>
      <c r="V537" s="315">
        <v>0.23</v>
      </c>
      <c r="W537" s="318">
        <v>290</v>
      </c>
      <c r="X537" s="315">
        <v>34</v>
      </c>
      <c r="Y537" s="315" t="s">
        <v>1440</v>
      </c>
      <c r="Z537" s="315">
        <v>3</v>
      </c>
      <c r="AA537" s="315" t="s">
        <v>1190</v>
      </c>
      <c r="AB537" s="315"/>
      <c r="AC537" s="315"/>
      <c r="AD537" s="315"/>
      <c r="AE537" s="315"/>
      <c r="AF537" s="315"/>
      <c r="AG537" s="315"/>
      <c r="AH537" s="315"/>
    </row>
    <row r="538" spans="1:34">
      <c r="A538" s="315" t="s">
        <v>1145</v>
      </c>
      <c r="B538" s="315" t="s">
        <v>1451</v>
      </c>
      <c r="C538" s="316" t="s">
        <v>1455</v>
      </c>
      <c r="D538" s="316" t="s">
        <v>1455</v>
      </c>
      <c r="E538" s="317">
        <v>66.899999999999991</v>
      </c>
      <c r="F538" s="317">
        <v>4.3323824000000002</v>
      </c>
      <c r="G538" s="317">
        <v>5.4601533673348399</v>
      </c>
      <c r="H538" s="317">
        <v>8.3528507391930962</v>
      </c>
      <c r="I538" s="318">
        <v>12.485576590722118</v>
      </c>
      <c r="J538" s="318">
        <v>58.461063898569797</v>
      </c>
      <c r="K538" s="319">
        <v>35.095332903179397</v>
      </c>
      <c r="L538" s="319">
        <v>22.609756312457279</v>
      </c>
      <c r="M538" s="319">
        <f t="shared" si="8"/>
        <v>22.609756312457279</v>
      </c>
      <c r="N538" s="317">
        <v>15.125926973033918</v>
      </c>
      <c r="O538" s="315" t="s">
        <v>1148</v>
      </c>
      <c r="P538" s="318">
        <v>216</v>
      </c>
      <c r="R538" s="320">
        <v>102.22222222222223</v>
      </c>
      <c r="S538" s="318">
        <v>47.6</v>
      </c>
      <c r="T538" s="318">
        <v>66.569999999999993</v>
      </c>
      <c r="U538" s="318">
        <v>328</v>
      </c>
      <c r="V538" s="315">
        <v>0.23</v>
      </c>
      <c r="W538" s="318">
        <v>33</v>
      </c>
      <c r="X538" s="315">
        <v>15</v>
      </c>
      <c r="Y538" s="315" t="s">
        <v>1149</v>
      </c>
      <c r="Z538" s="315">
        <v>0</v>
      </c>
      <c r="AA538" s="315" t="s">
        <v>1190</v>
      </c>
      <c r="AB538" s="315"/>
      <c r="AC538" s="315"/>
      <c r="AD538" s="315"/>
      <c r="AE538" s="315"/>
      <c r="AF538" s="315"/>
      <c r="AG538" s="315"/>
      <c r="AH538" s="315"/>
    </row>
    <row r="539" spans="1:34">
      <c r="A539" s="315" t="s">
        <v>1923</v>
      </c>
      <c r="B539" s="315" t="s">
        <v>1676</v>
      </c>
      <c r="C539" s="316" t="s">
        <v>1677</v>
      </c>
      <c r="D539" s="316" t="s">
        <v>1677</v>
      </c>
      <c r="E539" s="317">
        <v>21.1</v>
      </c>
      <c r="F539" s="317">
        <v>9.0432469999999991</v>
      </c>
      <c r="G539" s="317">
        <v>9.0399999999999991</v>
      </c>
      <c r="H539" s="317">
        <v>9.0399999999999991</v>
      </c>
      <c r="I539" s="318">
        <v>42.843601895734587</v>
      </c>
      <c r="J539" s="318">
        <v>60.427381000181498</v>
      </c>
      <c r="K539" s="319">
        <v>41.548317830644599</v>
      </c>
      <c r="L539" s="319">
        <v>-1.2952840650899873</v>
      </c>
      <c r="M539" s="319">
        <f t="shared" si="8"/>
        <v>0</v>
      </c>
      <c r="N539" s="317">
        <v>0</v>
      </c>
      <c r="O539" s="315" t="s">
        <v>1148</v>
      </c>
      <c r="P539" s="318">
        <v>216</v>
      </c>
      <c r="R539" s="320">
        <v>102.22222222222223</v>
      </c>
      <c r="S539" s="318">
        <v>46</v>
      </c>
      <c r="T539" s="318">
        <v>85.305999999999997</v>
      </c>
      <c r="U539" s="318">
        <v>45.934000000000005</v>
      </c>
      <c r="V539" s="315">
        <v>0.23</v>
      </c>
      <c r="W539" s="318">
        <v>300</v>
      </c>
      <c r="X539" s="315">
        <v>7</v>
      </c>
      <c r="Y539" s="315" t="s">
        <v>1149</v>
      </c>
      <c r="Z539" s="315">
        <v>0</v>
      </c>
      <c r="AA539" s="315" t="s">
        <v>1150</v>
      </c>
      <c r="AB539" s="315"/>
      <c r="AC539" s="315"/>
      <c r="AD539" s="315"/>
      <c r="AE539" s="315"/>
      <c r="AF539" s="315"/>
      <c r="AG539" s="315"/>
      <c r="AH539" s="315"/>
    </row>
    <row r="540" spans="1:34">
      <c r="A540" s="315" t="s">
        <v>1145</v>
      </c>
      <c r="B540" s="315" t="s">
        <v>696</v>
      </c>
      <c r="C540" s="316" t="s">
        <v>1602</v>
      </c>
      <c r="D540" s="316" t="s">
        <v>1602</v>
      </c>
      <c r="E540" s="317">
        <v>5.0999999999999996</v>
      </c>
      <c r="F540" s="317">
        <v>0</v>
      </c>
      <c r="G540" s="317">
        <v>0</v>
      </c>
      <c r="H540" s="317">
        <v>1.0249536612909054</v>
      </c>
      <c r="I540" s="318">
        <v>20.097130613547165</v>
      </c>
      <c r="J540" s="318">
        <v>66.684477265910203</v>
      </c>
      <c r="K540" s="319">
        <v>36.745316005542001</v>
      </c>
      <c r="L540" s="319">
        <v>16.648185391994836</v>
      </c>
      <c r="M540" s="319">
        <f t="shared" si="8"/>
        <v>16.648185391994836</v>
      </c>
      <c r="N540" s="317">
        <v>0.84905745499173657</v>
      </c>
      <c r="O540" s="315" t="s">
        <v>1168</v>
      </c>
      <c r="P540" s="318">
        <v>216.2</v>
      </c>
      <c r="R540" s="320">
        <v>102.33333333333333</v>
      </c>
      <c r="S540" s="318">
        <v>36</v>
      </c>
      <c r="T540" s="318">
        <v>199</v>
      </c>
      <c r="U540" s="318">
        <v>72</v>
      </c>
      <c r="V540" s="315">
        <v>0.22</v>
      </c>
      <c r="W540" s="318">
        <v>50</v>
      </c>
      <c r="X540" s="315">
        <v>0</v>
      </c>
      <c r="Y540" s="315" t="s">
        <v>1149</v>
      </c>
      <c r="Z540" s="315">
        <v>0</v>
      </c>
      <c r="AA540" s="315" t="s">
        <v>1435</v>
      </c>
      <c r="AB540" s="315"/>
      <c r="AC540" s="315"/>
      <c r="AD540" s="315"/>
      <c r="AE540" s="315"/>
      <c r="AF540" s="315"/>
      <c r="AG540" s="315"/>
      <c r="AH540" s="315"/>
    </row>
    <row r="541" spans="1:34">
      <c r="A541" s="315" t="s">
        <v>1926</v>
      </c>
      <c r="B541" s="315" t="s">
        <v>1430</v>
      </c>
      <c r="C541" s="316" t="s">
        <v>1447</v>
      </c>
      <c r="D541" s="316" t="s">
        <v>1447</v>
      </c>
      <c r="E541" s="317">
        <v>14.006970373535166</v>
      </c>
      <c r="F541" s="317">
        <v>4.4251880000000003</v>
      </c>
      <c r="G541" s="317">
        <v>4.4251880000000003</v>
      </c>
      <c r="H541" s="317">
        <v>4.4251880000000003</v>
      </c>
      <c r="I541" s="318">
        <v>31.592756192024012</v>
      </c>
      <c r="J541" s="318">
        <v>45.059357298261901</v>
      </c>
      <c r="K541" s="319">
        <v>41.6620844583394</v>
      </c>
      <c r="L541" s="319">
        <v>10.069328266315388</v>
      </c>
      <c r="M541" s="319">
        <f t="shared" si="8"/>
        <v>10.069328266315388</v>
      </c>
      <c r="N541" s="317">
        <v>1.4104078270767986</v>
      </c>
      <c r="O541" s="315" t="s">
        <v>1148</v>
      </c>
      <c r="P541" s="318">
        <v>217</v>
      </c>
      <c r="R541" s="320">
        <v>102.77777777777777</v>
      </c>
      <c r="S541" s="318">
        <v>37</v>
      </c>
      <c r="T541" s="318">
        <v>72</v>
      </c>
      <c r="U541" s="318">
        <v>88</v>
      </c>
      <c r="V541" s="315">
        <v>0.23</v>
      </c>
      <c r="W541" s="318">
        <v>600</v>
      </c>
      <c r="X541" s="315">
        <v>6</v>
      </c>
      <c r="Y541" s="315" t="s">
        <v>1149</v>
      </c>
      <c r="Z541" s="315">
        <v>0</v>
      </c>
      <c r="AA541" s="315" t="s">
        <v>1150</v>
      </c>
      <c r="AB541" s="315"/>
      <c r="AC541" s="315"/>
      <c r="AD541" s="315"/>
      <c r="AE541" s="315"/>
      <c r="AF541" s="315"/>
      <c r="AG541" s="315"/>
      <c r="AH541" s="315"/>
    </row>
    <row r="542" spans="1:34">
      <c r="A542" s="315" t="s">
        <v>1926</v>
      </c>
      <c r="B542" s="315" t="s">
        <v>1430</v>
      </c>
      <c r="C542" s="316" t="s">
        <v>1448</v>
      </c>
      <c r="D542" s="316" t="s">
        <v>1448</v>
      </c>
      <c r="E542" s="317">
        <v>8.9780789269256651</v>
      </c>
      <c r="F542" s="317">
        <v>2.280402</v>
      </c>
      <c r="G542" s="317">
        <v>2.280402</v>
      </c>
      <c r="H542" s="317">
        <v>2.280402</v>
      </c>
      <c r="I542" s="318">
        <v>25.399665324404435</v>
      </c>
      <c r="J542" s="318">
        <v>46.729801723480598</v>
      </c>
      <c r="K542" s="319">
        <v>41.602287214509396</v>
      </c>
      <c r="L542" s="319">
        <v>16.202621890104961</v>
      </c>
      <c r="M542" s="319">
        <f t="shared" si="8"/>
        <v>16.202621890104961</v>
      </c>
      <c r="N542" s="317">
        <v>1.4546841815249585</v>
      </c>
      <c r="O542" s="315" t="s">
        <v>1148</v>
      </c>
      <c r="P542" s="318">
        <v>217</v>
      </c>
      <c r="R542" s="320">
        <v>102.77777777777777</v>
      </c>
      <c r="S542" s="318">
        <v>37</v>
      </c>
      <c r="T542" s="318">
        <v>86</v>
      </c>
      <c r="U542" s="318">
        <v>70</v>
      </c>
      <c r="V542" s="315">
        <v>0.21</v>
      </c>
      <c r="W542" s="318">
        <v>500</v>
      </c>
      <c r="X542" s="315">
        <v>3</v>
      </c>
      <c r="Y542" s="315" t="s">
        <v>1149</v>
      </c>
      <c r="Z542" s="315">
        <v>0</v>
      </c>
      <c r="AA542" s="315" t="s">
        <v>1150</v>
      </c>
      <c r="AB542" s="315"/>
      <c r="AC542" s="315"/>
      <c r="AD542" s="315"/>
      <c r="AE542" s="315"/>
      <c r="AF542" s="315"/>
      <c r="AG542" s="315"/>
      <c r="AH542" s="315"/>
    </row>
    <row r="543" spans="1:34">
      <c r="A543" s="315" t="s">
        <v>1929</v>
      </c>
      <c r="B543" s="315" t="s">
        <v>1745</v>
      </c>
      <c r="C543" s="316" t="s">
        <v>1746</v>
      </c>
      <c r="D543" s="316" t="s">
        <v>1746</v>
      </c>
      <c r="E543" s="317">
        <v>96.97898740337962</v>
      </c>
      <c r="F543" s="317">
        <v>0</v>
      </c>
      <c r="G543" s="317">
        <v>0</v>
      </c>
      <c r="H543" s="317">
        <v>8.2702949501661891</v>
      </c>
      <c r="I543" s="318">
        <v>8.5279246273899307</v>
      </c>
      <c r="J543" s="318">
        <v>70.334610809869403</v>
      </c>
      <c r="K543" s="319">
        <v>34.708985625422002</v>
      </c>
      <c r="L543" s="319">
        <v>26.181060998032073</v>
      </c>
      <c r="M543" s="319">
        <f t="shared" si="8"/>
        <v>26.181060998032073</v>
      </c>
      <c r="N543" s="317">
        <v>25.390127847352659</v>
      </c>
      <c r="O543" s="315" t="s">
        <v>1168</v>
      </c>
      <c r="P543" s="318">
        <v>217</v>
      </c>
      <c r="R543" s="320">
        <v>102.77777777777777</v>
      </c>
      <c r="S543" s="318">
        <v>39.4</v>
      </c>
      <c r="T543" s="318">
        <v>81.565660000000008</v>
      </c>
      <c r="U543" s="318">
        <v>174</v>
      </c>
      <c r="V543" s="315">
        <v>0.18</v>
      </c>
      <c r="W543" s="318">
        <v>116</v>
      </c>
      <c r="X543" s="315">
        <v>0</v>
      </c>
      <c r="Y543" s="315" t="s">
        <v>1149</v>
      </c>
      <c r="Z543" s="315">
        <v>0</v>
      </c>
      <c r="AA543" s="315" t="s">
        <v>1150</v>
      </c>
      <c r="AB543" s="315"/>
      <c r="AC543" s="315"/>
      <c r="AD543" s="315"/>
      <c r="AE543" s="315"/>
      <c r="AF543" s="315"/>
      <c r="AG543" s="315"/>
      <c r="AH543" s="315"/>
    </row>
    <row r="544" spans="1:34">
      <c r="A544" s="315" t="s">
        <v>1931</v>
      </c>
      <c r="B544" s="315" t="s">
        <v>1745</v>
      </c>
      <c r="C544" s="316" t="s">
        <v>1747</v>
      </c>
      <c r="D544" s="316" t="s">
        <v>1747</v>
      </c>
      <c r="E544" s="317">
        <v>282.44893312649344</v>
      </c>
      <c r="F544" s="317">
        <v>10.500128506952917</v>
      </c>
      <c r="G544" s="317">
        <v>13.883796246794731</v>
      </c>
      <c r="H544" s="317">
        <v>65.178065415290561</v>
      </c>
      <c r="I544" s="318">
        <v>23.07605296781237</v>
      </c>
      <c r="J544" s="318">
        <v>72.188069449395201</v>
      </c>
      <c r="K544" s="319">
        <v>31.038336604959699</v>
      </c>
      <c r="L544" s="319">
        <v>7.9622836371473298</v>
      </c>
      <c r="M544" s="319">
        <f t="shared" si="8"/>
        <v>7.9622836371473298</v>
      </c>
      <c r="N544" s="317">
        <v>22.489385185627992</v>
      </c>
      <c r="O544" s="315" t="s">
        <v>1148</v>
      </c>
      <c r="P544" s="318">
        <v>217</v>
      </c>
      <c r="R544" s="320">
        <v>102.77777777777777</v>
      </c>
      <c r="S544" s="318">
        <v>35.799999999999997</v>
      </c>
      <c r="T544" s="318">
        <v>83.632689999999997</v>
      </c>
      <c r="U544" s="318">
        <v>124</v>
      </c>
      <c r="V544" s="315">
        <v>0.22</v>
      </c>
      <c r="W544" s="318">
        <v>103</v>
      </c>
      <c r="X544" s="315">
        <v>4</v>
      </c>
      <c r="Y544" s="315" t="s">
        <v>1149</v>
      </c>
      <c r="Z544" s="315">
        <v>0</v>
      </c>
      <c r="AA544" s="315" t="s">
        <v>1150</v>
      </c>
      <c r="AB544" s="315"/>
      <c r="AC544" s="315"/>
      <c r="AD544" s="315"/>
      <c r="AE544" s="315"/>
      <c r="AF544" s="315"/>
      <c r="AG544" s="315"/>
      <c r="AH544" s="315"/>
    </row>
    <row r="545" spans="1:34">
      <c r="A545" s="315" t="s">
        <v>1334</v>
      </c>
      <c r="B545" s="315" t="s">
        <v>1916</v>
      </c>
      <c r="C545" s="316" t="s">
        <v>1960</v>
      </c>
      <c r="D545" s="316" t="s">
        <v>1960</v>
      </c>
      <c r="E545" s="317">
        <v>18.899999999999999</v>
      </c>
      <c r="F545" s="317">
        <v>6.4822649999999999</v>
      </c>
      <c r="G545" s="317">
        <v>6.4822649999999999</v>
      </c>
      <c r="H545" s="317">
        <v>6.4822649999999999</v>
      </c>
      <c r="I545" s="318">
        <v>34.297698412698416</v>
      </c>
      <c r="J545" s="318">
        <v>55.973984189959602</v>
      </c>
      <c r="K545" s="319">
        <v>39.167945539249402</v>
      </c>
      <c r="L545" s="319">
        <v>4.8702471265509857</v>
      </c>
      <c r="M545" s="319">
        <f t="shared" si="8"/>
        <v>4.8702471265509857</v>
      </c>
      <c r="N545" s="317">
        <v>0.92047670691813621</v>
      </c>
      <c r="O545" s="315" t="s">
        <v>1148</v>
      </c>
      <c r="P545" s="318">
        <v>217</v>
      </c>
      <c r="R545" s="320">
        <v>102.77777777777777</v>
      </c>
      <c r="S545" s="318">
        <v>37</v>
      </c>
      <c r="T545" s="318">
        <v>8.1516666666666655</v>
      </c>
      <c r="U545" s="318">
        <v>5.3999999999999995</v>
      </c>
      <c r="V545" s="315">
        <v>0.20447965651196073</v>
      </c>
      <c r="W545" s="318">
        <v>147.65880000000001</v>
      </c>
      <c r="X545" s="315">
        <v>1</v>
      </c>
      <c r="Y545" s="315" t="s">
        <v>1149</v>
      </c>
      <c r="Z545" s="315">
        <v>0</v>
      </c>
      <c r="AA545" s="315" t="s">
        <v>1190</v>
      </c>
      <c r="AB545" s="315"/>
      <c r="AC545" s="315"/>
      <c r="AD545" s="315"/>
      <c r="AE545" s="315"/>
      <c r="AF545" s="315"/>
      <c r="AG545" s="315"/>
      <c r="AH545" s="315"/>
    </row>
    <row r="546" spans="1:34">
      <c r="A546" s="315" t="s">
        <v>1934</v>
      </c>
      <c r="B546" s="315" t="s">
        <v>1916</v>
      </c>
      <c r="C546" s="316" t="s">
        <v>1961</v>
      </c>
      <c r="D546" s="316" t="s">
        <v>1961</v>
      </c>
      <c r="E546" s="317">
        <v>15.8</v>
      </c>
      <c r="F546" s="317">
        <v>4.2150169999999996</v>
      </c>
      <c r="G546" s="317">
        <v>4.2150169999999996</v>
      </c>
      <c r="H546" s="317">
        <v>4.2150169999999996</v>
      </c>
      <c r="I546" s="318">
        <v>26.677322784810119</v>
      </c>
      <c r="J546" s="318">
        <v>49.684229258130799</v>
      </c>
      <c r="K546" s="319">
        <v>40.744845786188598</v>
      </c>
      <c r="L546" s="319">
        <v>14.067523001378479</v>
      </c>
      <c r="M546" s="319">
        <f t="shared" si="8"/>
        <v>14.067523001378479</v>
      </c>
      <c r="N546" s="317">
        <v>2.2226686342177997</v>
      </c>
      <c r="O546" s="315" t="s">
        <v>1148</v>
      </c>
      <c r="P546" s="318">
        <v>217</v>
      </c>
      <c r="R546" s="320">
        <v>102.77777777777777</v>
      </c>
      <c r="S546" s="318">
        <v>37</v>
      </c>
      <c r="T546" s="318">
        <v>10.224285714285715</v>
      </c>
      <c r="U546" s="318">
        <v>4.9857142857142858</v>
      </c>
      <c r="V546" s="315">
        <v>0.19236691351124771</v>
      </c>
      <c r="W546" s="318">
        <v>153.73650000000001</v>
      </c>
      <c r="X546" s="315">
        <v>5</v>
      </c>
      <c r="Y546" s="315" t="s">
        <v>1149</v>
      </c>
      <c r="Z546" s="315">
        <v>0</v>
      </c>
      <c r="AA546" s="315" t="s">
        <v>1190</v>
      </c>
      <c r="AB546" s="315"/>
      <c r="AC546" s="315"/>
      <c r="AD546" s="315"/>
      <c r="AE546" s="315"/>
      <c r="AF546" s="315"/>
      <c r="AG546" s="315"/>
      <c r="AH546" s="315"/>
    </row>
    <row r="547" spans="1:34">
      <c r="A547" s="315" t="s">
        <v>1717</v>
      </c>
      <c r="B547" s="315" t="s">
        <v>1066</v>
      </c>
      <c r="C547" s="316" t="s">
        <v>1412</v>
      </c>
      <c r="D547" s="316" t="s">
        <v>1412</v>
      </c>
      <c r="E547" s="317">
        <v>13.46</v>
      </c>
      <c r="F547" s="317">
        <v>2.4339097999999999</v>
      </c>
      <c r="G547" s="317">
        <v>2.6535017999999999</v>
      </c>
      <c r="H547" s="317">
        <v>4.4710884999999996</v>
      </c>
      <c r="I547" s="318">
        <v>33.217596582466562</v>
      </c>
      <c r="J547" s="318">
        <v>73.872054612731603</v>
      </c>
      <c r="K547" s="319">
        <v>31.14715079071</v>
      </c>
      <c r="L547" s="319">
        <v>-2.070445791756562</v>
      </c>
      <c r="M547" s="319">
        <f t="shared" si="8"/>
        <v>0</v>
      </c>
      <c r="N547" s="317">
        <v>0</v>
      </c>
      <c r="O547" s="315" t="s">
        <v>1148</v>
      </c>
      <c r="P547" s="318">
        <v>218</v>
      </c>
      <c r="R547" s="320">
        <v>103.33333333333333</v>
      </c>
      <c r="S547" s="318">
        <v>33</v>
      </c>
      <c r="T547" s="318">
        <v>77.400000000000006</v>
      </c>
      <c r="U547" s="318">
        <v>596</v>
      </c>
      <c r="V547" s="315">
        <v>0.14000000000000001</v>
      </c>
      <c r="W547" s="318">
        <v>34.700000000000003</v>
      </c>
      <c r="X547" s="315">
        <v>7</v>
      </c>
      <c r="Y547" s="315" t="s">
        <v>1149</v>
      </c>
      <c r="Z547" s="315">
        <v>0</v>
      </c>
      <c r="AA547" s="315" t="s">
        <v>1157</v>
      </c>
      <c r="AB547" s="315"/>
      <c r="AC547" s="315"/>
      <c r="AD547" s="315"/>
      <c r="AE547" s="315"/>
      <c r="AF547" s="315"/>
      <c r="AG547" s="315"/>
      <c r="AH547" s="315"/>
    </row>
    <row r="548" spans="1:34">
      <c r="A548" s="315" t="s">
        <v>1145</v>
      </c>
      <c r="B548" s="315" t="s">
        <v>696</v>
      </c>
      <c r="C548" s="316" t="s">
        <v>1603</v>
      </c>
      <c r="D548" s="316" t="s">
        <v>1603</v>
      </c>
      <c r="E548" s="317">
        <v>5.34</v>
      </c>
      <c r="F548" s="317">
        <v>4.6270513393796762</v>
      </c>
      <c r="G548" s="317">
        <v>4.9691418547016113</v>
      </c>
      <c r="H548" s="317">
        <v>4.9691418547016113</v>
      </c>
      <c r="I548" s="318">
        <v>93.055090912015189</v>
      </c>
      <c r="J548" s="318">
        <v>52.750174115136303</v>
      </c>
      <c r="K548" s="319">
        <v>41.651098265928802</v>
      </c>
      <c r="L548" s="319">
        <v>-51.403992646086387</v>
      </c>
      <c r="M548" s="319">
        <f t="shared" si="8"/>
        <v>0</v>
      </c>
      <c r="N548" s="317">
        <v>0</v>
      </c>
      <c r="O548" s="315" t="s">
        <v>1148</v>
      </c>
      <c r="P548" s="318">
        <v>218</v>
      </c>
      <c r="R548" s="320">
        <v>103.33333333333333</v>
      </c>
      <c r="S548" s="318">
        <v>35</v>
      </c>
      <c r="T548" s="318">
        <v>210.5</v>
      </c>
      <c r="U548" s="318">
        <v>148</v>
      </c>
      <c r="V548" s="315">
        <v>0.22</v>
      </c>
      <c r="W548" s="318">
        <v>50</v>
      </c>
      <c r="X548" s="315">
        <v>3</v>
      </c>
      <c r="Y548" s="315" t="s">
        <v>1149</v>
      </c>
      <c r="Z548" s="315">
        <v>0</v>
      </c>
      <c r="AA548" s="315" t="s">
        <v>1435</v>
      </c>
      <c r="AB548" s="315"/>
      <c r="AC548" s="315"/>
      <c r="AD548" s="315"/>
      <c r="AE548" s="315"/>
      <c r="AF548" s="315"/>
      <c r="AG548" s="315"/>
      <c r="AH548" s="315"/>
    </row>
    <row r="549" spans="1:34">
      <c r="A549" s="315" t="s">
        <v>1145</v>
      </c>
      <c r="B549" s="315" t="s">
        <v>696</v>
      </c>
      <c r="C549" s="316" t="s">
        <v>1604</v>
      </c>
      <c r="D549" s="316" t="s">
        <v>1604</v>
      </c>
      <c r="E549" s="317">
        <v>15.32</v>
      </c>
      <c r="F549" s="317">
        <v>2.6342090595458605</v>
      </c>
      <c r="G549" s="317">
        <v>2.8289633326254071</v>
      </c>
      <c r="H549" s="317">
        <v>5.4733210322142627</v>
      </c>
      <c r="I549" s="318">
        <v>35.726638591476913</v>
      </c>
      <c r="J549" s="318">
        <v>52.881692623224097</v>
      </c>
      <c r="K549" s="319">
        <v>41.619233203363102</v>
      </c>
      <c r="L549" s="319">
        <v>5.8925946118861887</v>
      </c>
      <c r="M549" s="319">
        <f t="shared" si="8"/>
        <v>5.8925946118861887</v>
      </c>
      <c r="N549" s="317">
        <v>0.90274549454096409</v>
      </c>
      <c r="O549" s="315" t="s">
        <v>1148</v>
      </c>
      <c r="P549" s="318">
        <v>218</v>
      </c>
      <c r="R549" s="320">
        <v>103.33333333333333</v>
      </c>
      <c r="S549" s="318">
        <v>35.700000000000003</v>
      </c>
      <c r="T549" s="318">
        <v>490.5</v>
      </c>
      <c r="U549" s="318">
        <v>88.5</v>
      </c>
      <c r="V549" s="315">
        <v>0.23</v>
      </c>
      <c r="W549" s="318">
        <v>60</v>
      </c>
      <c r="X549" s="315">
        <v>0</v>
      </c>
      <c r="Y549" s="315" t="s">
        <v>1154</v>
      </c>
      <c r="Z549" s="315">
        <v>1</v>
      </c>
      <c r="AA549" s="315" t="s">
        <v>1435</v>
      </c>
      <c r="AB549" s="315"/>
      <c r="AC549" s="315"/>
      <c r="AD549" s="315"/>
      <c r="AE549" s="315"/>
      <c r="AF549" s="315"/>
      <c r="AG549" s="315"/>
      <c r="AH549" s="315"/>
    </row>
    <row r="550" spans="1:34">
      <c r="A550" s="315" t="s">
        <v>1939</v>
      </c>
      <c r="B550" s="315" t="s">
        <v>1745</v>
      </c>
      <c r="C550" s="316" t="s">
        <v>1749</v>
      </c>
      <c r="D550" s="316" t="s">
        <v>1749</v>
      </c>
      <c r="E550" s="317">
        <v>77.899943701918914</v>
      </c>
      <c r="F550" s="317">
        <v>3.5160430314710904</v>
      </c>
      <c r="G550" s="317">
        <v>3.911425568175634</v>
      </c>
      <c r="H550" s="317">
        <v>15.758233635946478</v>
      </c>
      <c r="I550" s="318">
        <v>20.228812611527349</v>
      </c>
      <c r="J550" s="318">
        <v>71.250049463968296</v>
      </c>
      <c r="K550" s="319">
        <v>30.172803288425996</v>
      </c>
      <c r="L550" s="319">
        <v>9.9439906768986468</v>
      </c>
      <c r="M550" s="319">
        <f t="shared" si="8"/>
        <v>9.9439906768986468</v>
      </c>
      <c r="N550" s="317">
        <v>7.7463631390281114</v>
      </c>
      <c r="O550" s="315" t="s">
        <v>1148</v>
      </c>
      <c r="P550" s="318">
        <v>218</v>
      </c>
      <c r="R550" s="320">
        <v>103.33333333333333</v>
      </c>
      <c r="S550" s="318">
        <v>35.5</v>
      </c>
      <c r="T550" s="318">
        <v>61.321890000000003</v>
      </c>
      <c r="U550" s="318">
        <v>180</v>
      </c>
      <c r="V550" s="315">
        <v>0.18</v>
      </c>
      <c r="W550" s="318">
        <v>70</v>
      </c>
      <c r="X550" s="315">
        <v>1</v>
      </c>
      <c r="Y550" s="315" t="s">
        <v>1149</v>
      </c>
      <c r="Z550" s="315">
        <v>0</v>
      </c>
      <c r="AA550" s="315" t="s">
        <v>1150</v>
      </c>
      <c r="AB550" s="315"/>
      <c r="AC550" s="315"/>
      <c r="AD550" s="315"/>
      <c r="AE550" s="315"/>
      <c r="AF550" s="315"/>
      <c r="AG550" s="315"/>
      <c r="AH550" s="315"/>
    </row>
    <row r="551" spans="1:34">
      <c r="A551" s="315" t="s">
        <v>1931</v>
      </c>
      <c r="B551" s="315" t="s">
        <v>1745</v>
      </c>
      <c r="C551" s="316" t="s">
        <v>1751</v>
      </c>
      <c r="D551" s="316" t="s">
        <v>1751</v>
      </c>
      <c r="E551" s="317">
        <v>137.92860386054005</v>
      </c>
      <c r="F551" s="317">
        <v>0.54400665788403679</v>
      </c>
      <c r="G551" s="317">
        <v>0.7833282914475832</v>
      </c>
      <c r="H551" s="317">
        <v>27.081970247198306</v>
      </c>
      <c r="I551" s="318">
        <v>19.634774433431481</v>
      </c>
      <c r="J551" s="318">
        <v>68.5947286069444</v>
      </c>
      <c r="K551" s="319">
        <v>34.603277024876803</v>
      </c>
      <c r="L551" s="319">
        <v>14.968502591445322</v>
      </c>
      <c r="M551" s="319">
        <f t="shared" si="8"/>
        <v>14.968502591445322</v>
      </c>
      <c r="N551" s="317">
        <v>20.645846643209289</v>
      </c>
      <c r="O551" s="315" t="s">
        <v>1148</v>
      </c>
      <c r="P551" s="318">
        <v>218</v>
      </c>
      <c r="R551" s="320">
        <v>103.33333333333333</v>
      </c>
      <c r="S551" s="318">
        <v>39.4</v>
      </c>
      <c r="T551" s="318">
        <v>83.763930000000002</v>
      </c>
      <c r="U551" s="318">
        <v>180</v>
      </c>
      <c r="V551" s="315">
        <v>0.21</v>
      </c>
      <c r="W551" s="318">
        <v>152</v>
      </c>
      <c r="X551" s="315">
        <v>1</v>
      </c>
      <c r="Y551" s="315" t="s">
        <v>1149</v>
      </c>
      <c r="Z551" s="315">
        <v>0</v>
      </c>
      <c r="AA551" s="315" t="s">
        <v>1150</v>
      </c>
      <c r="AB551" s="315"/>
      <c r="AC551" s="315"/>
      <c r="AD551" s="315"/>
      <c r="AE551" s="315"/>
      <c r="AF551" s="315"/>
      <c r="AG551" s="315"/>
      <c r="AH551" s="315"/>
    </row>
    <row r="552" spans="1:34">
      <c r="A552" s="315" t="s">
        <v>1145</v>
      </c>
      <c r="B552" s="315" t="s">
        <v>1066</v>
      </c>
      <c r="C552" s="316" t="s">
        <v>1413</v>
      </c>
      <c r="D552" s="316" t="s">
        <v>1413</v>
      </c>
      <c r="E552" s="317">
        <v>30.32818</v>
      </c>
      <c r="F552" s="317">
        <v>2.4049958</v>
      </c>
      <c r="G552" s="317">
        <v>2.6820572</v>
      </c>
      <c r="H552" s="317">
        <v>2.7825133000000002</v>
      </c>
      <c r="I552" s="318">
        <v>9.1746794565318464</v>
      </c>
      <c r="J552" s="318">
        <v>69.0504210155989</v>
      </c>
      <c r="K552" s="319">
        <v>30.339772330619603</v>
      </c>
      <c r="L552" s="319">
        <v>21.165092874087755</v>
      </c>
      <c r="M552" s="319">
        <f t="shared" si="8"/>
        <v>21.165092874087755</v>
      </c>
      <c r="N552" s="317">
        <v>6.4189874640205078</v>
      </c>
      <c r="O552" s="315" t="s">
        <v>1148</v>
      </c>
      <c r="P552" s="318">
        <v>219</v>
      </c>
      <c r="R552" s="320">
        <v>103.88888888888889</v>
      </c>
      <c r="S552" s="318">
        <v>38</v>
      </c>
      <c r="T552" s="318">
        <v>2489</v>
      </c>
      <c r="U552" s="318">
        <v>180</v>
      </c>
      <c r="V552" s="315">
        <v>0.15</v>
      </c>
      <c r="W552" s="318">
        <v>17.399999999999999</v>
      </c>
      <c r="X552" s="315">
        <v>2</v>
      </c>
      <c r="Y552" s="315" t="s">
        <v>1149</v>
      </c>
      <c r="Z552" s="315">
        <v>0</v>
      </c>
      <c r="AA552" s="315" t="s">
        <v>1157</v>
      </c>
      <c r="AB552" s="315"/>
      <c r="AC552" s="315"/>
      <c r="AD552" s="315"/>
      <c r="AE552" s="315"/>
      <c r="AF552" s="315"/>
      <c r="AG552" s="315"/>
      <c r="AH552" s="315"/>
    </row>
    <row r="553" spans="1:34">
      <c r="A553" s="315" t="s">
        <v>1943</v>
      </c>
      <c r="B553" s="315" t="s">
        <v>584</v>
      </c>
      <c r="C553" s="316" t="s">
        <v>1159</v>
      </c>
      <c r="D553" s="316" t="s">
        <v>1160</v>
      </c>
      <c r="E553" s="317">
        <v>21.799999999999994</v>
      </c>
      <c r="F553" s="317">
        <v>4.8406010999999998</v>
      </c>
      <c r="G553" s="317">
        <v>4.8622018072166417</v>
      </c>
      <c r="H553" s="317">
        <v>4.8622018072166417</v>
      </c>
      <c r="I553" s="318">
        <v>22.303678014755242</v>
      </c>
      <c r="J553" s="318">
        <v>58.515372939580502</v>
      </c>
      <c r="K553" s="319">
        <v>36.953471466329802</v>
      </c>
      <c r="L553" s="319">
        <v>14.64979345157456</v>
      </c>
      <c r="M553" s="319">
        <f t="shared" si="8"/>
        <v>14.64979345157456</v>
      </c>
      <c r="N553" s="317">
        <v>3.1936549724432535</v>
      </c>
      <c r="O553" s="315" t="s">
        <v>1148</v>
      </c>
      <c r="P553" s="318">
        <v>220</v>
      </c>
      <c r="R553" s="320">
        <v>104.44444444444444</v>
      </c>
      <c r="S553" s="318">
        <v>43.9</v>
      </c>
      <c r="T553" s="318">
        <v>16.405000000000001</v>
      </c>
      <c r="U553" s="318">
        <v>43</v>
      </c>
      <c r="V553" s="315">
        <v>0.18</v>
      </c>
      <c r="W553" s="318">
        <v>250</v>
      </c>
      <c r="X553" s="315">
        <v>7</v>
      </c>
      <c r="Y553" s="315" t="s">
        <v>1154</v>
      </c>
      <c r="Z553" s="315">
        <v>2</v>
      </c>
      <c r="AA553" s="315" t="s">
        <v>1150</v>
      </c>
      <c r="AB553" s="315">
        <v>1</v>
      </c>
      <c r="AC553" s="315">
        <v>2386</v>
      </c>
      <c r="AD553" s="315">
        <v>2386</v>
      </c>
      <c r="AE553" s="315">
        <v>0.65</v>
      </c>
      <c r="AF553" s="315">
        <v>1.53</v>
      </c>
      <c r="AG553" s="315">
        <v>0.31</v>
      </c>
      <c r="AH553" s="315">
        <v>685</v>
      </c>
    </row>
    <row r="554" spans="1:34">
      <c r="A554" s="315" t="s">
        <v>1145</v>
      </c>
      <c r="B554" s="315" t="s">
        <v>1066</v>
      </c>
      <c r="C554" s="316" t="s">
        <v>1415</v>
      </c>
      <c r="D554" s="316" t="s">
        <v>1415</v>
      </c>
      <c r="E554" s="317">
        <v>0.36</v>
      </c>
      <c r="F554" s="317">
        <v>0</v>
      </c>
      <c r="G554" s="317">
        <v>0</v>
      </c>
      <c r="H554" s="317">
        <v>0</v>
      </c>
      <c r="I554" s="318">
        <v>0</v>
      </c>
      <c r="J554" s="318">
        <v>76.084025543625202</v>
      </c>
      <c r="K554" s="319">
        <v>27.168271313299702</v>
      </c>
      <c r="L554" s="319">
        <v>27.168271313299702</v>
      </c>
      <c r="M554" s="319">
        <f t="shared" si="8"/>
        <v>27.168271313299702</v>
      </c>
      <c r="N554" s="317">
        <v>9.7805776727878921E-2</v>
      </c>
      <c r="O554" s="315" t="s">
        <v>1168</v>
      </c>
      <c r="P554" s="318">
        <v>220</v>
      </c>
      <c r="R554" s="320">
        <v>104.44444444444444</v>
      </c>
      <c r="S554" s="318">
        <v>38</v>
      </c>
      <c r="T554" s="318">
        <v>26.58</v>
      </c>
      <c r="U554" s="318">
        <v>26.58</v>
      </c>
      <c r="V554" s="315">
        <v>0.14799999999999999</v>
      </c>
      <c r="W554" s="318">
        <v>20.68</v>
      </c>
      <c r="X554" s="315">
        <v>1</v>
      </c>
      <c r="Y554" s="315" t="s">
        <v>1149</v>
      </c>
      <c r="Z554" s="315">
        <v>0</v>
      </c>
      <c r="AA554" s="315" t="s">
        <v>1157</v>
      </c>
      <c r="AB554" s="315"/>
      <c r="AC554" s="315"/>
      <c r="AD554" s="315"/>
      <c r="AE554" s="315"/>
      <c r="AF554" s="315"/>
      <c r="AG554" s="315"/>
      <c r="AH554" s="315"/>
    </row>
    <row r="555" spans="1:34">
      <c r="A555" s="315" t="s">
        <v>1145</v>
      </c>
      <c r="B555" s="315" t="s">
        <v>696</v>
      </c>
      <c r="C555" s="316" t="s">
        <v>1605</v>
      </c>
      <c r="D555" s="316" t="s">
        <v>1605</v>
      </c>
      <c r="E555" s="317">
        <v>14.7</v>
      </c>
      <c r="F555" s="317">
        <v>0</v>
      </c>
      <c r="G555" s="317">
        <v>0</v>
      </c>
      <c r="H555" s="317">
        <v>1.21278462230069</v>
      </c>
      <c r="I555" s="318">
        <v>8.2502355258550342</v>
      </c>
      <c r="J555" s="318">
        <v>75.637610676981396</v>
      </c>
      <c r="K555" s="319">
        <v>33.405604815237098</v>
      </c>
      <c r="L555" s="319">
        <v>25.155369289382065</v>
      </c>
      <c r="M555" s="319">
        <f t="shared" si="8"/>
        <v>25.155369289382065</v>
      </c>
      <c r="N555" s="317">
        <v>3.697839285539164</v>
      </c>
      <c r="O555" s="315" t="s">
        <v>1168</v>
      </c>
      <c r="P555" s="318">
        <v>220.4</v>
      </c>
      <c r="R555" s="320">
        <v>104.66666666666667</v>
      </c>
      <c r="S555" s="318">
        <v>36</v>
      </c>
      <c r="T555" s="318">
        <v>401.33333333333331</v>
      </c>
      <c r="U555" s="318">
        <v>100.66666666666667</v>
      </c>
      <c r="V555" s="315">
        <v>0.24</v>
      </c>
      <c r="W555" s="318">
        <v>90</v>
      </c>
      <c r="X555" s="315">
        <v>0</v>
      </c>
      <c r="Y555" s="315" t="s">
        <v>1149</v>
      </c>
      <c r="Z555" s="315">
        <v>0</v>
      </c>
      <c r="AA555" s="315" t="s">
        <v>1435</v>
      </c>
      <c r="AB555" s="315"/>
      <c r="AC555" s="315"/>
      <c r="AD555" s="315"/>
      <c r="AE555" s="315"/>
      <c r="AF555" s="315"/>
      <c r="AG555" s="315"/>
      <c r="AH555" s="315"/>
    </row>
    <row r="556" spans="1:34">
      <c r="A556" s="315" t="s">
        <v>1943</v>
      </c>
      <c r="B556" s="315" t="s">
        <v>584</v>
      </c>
      <c r="C556" s="316" t="s">
        <v>1162</v>
      </c>
      <c r="D556" s="316" t="s">
        <v>1163</v>
      </c>
      <c r="E556" s="317">
        <v>25.299999999999997</v>
      </c>
      <c r="F556" s="317">
        <v>3.8946448</v>
      </c>
      <c r="G556" s="317">
        <v>4.2706536932117816</v>
      </c>
      <c r="H556" s="317">
        <v>5.806444876870831</v>
      </c>
      <c r="I556" s="318">
        <v>22.950375007394591</v>
      </c>
      <c r="J556" s="318">
        <v>55.8713510804116</v>
      </c>
      <c r="K556" s="319">
        <v>35.665513417582702</v>
      </c>
      <c r="L556" s="319">
        <v>12.715138410188111</v>
      </c>
      <c r="M556" s="319">
        <f t="shared" si="8"/>
        <v>12.715138410188111</v>
      </c>
      <c r="N556" s="317">
        <v>3.2169300177775915</v>
      </c>
      <c r="O556" s="315" t="s">
        <v>1148</v>
      </c>
      <c r="P556" s="318">
        <v>221</v>
      </c>
      <c r="R556" s="320">
        <v>105</v>
      </c>
      <c r="S556" s="318">
        <v>43.9</v>
      </c>
      <c r="T556" s="318">
        <v>19.686</v>
      </c>
      <c r="U556" s="318">
        <v>66</v>
      </c>
      <c r="V556" s="315">
        <v>0.16</v>
      </c>
      <c r="W556" s="318">
        <v>150</v>
      </c>
      <c r="X556" s="315">
        <v>4</v>
      </c>
      <c r="Y556" s="315" t="s">
        <v>1154</v>
      </c>
      <c r="Z556" s="315">
        <v>2</v>
      </c>
      <c r="AA556" s="315" t="s">
        <v>1150</v>
      </c>
      <c r="AB556" s="315">
        <v>0.14000000000000001</v>
      </c>
      <c r="AC556" s="315">
        <v>2386</v>
      </c>
      <c r="AD556" s="315">
        <v>2386</v>
      </c>
      <c r="AE556" s="315">
        <v>0.76</v>
      </c>
      <c r="AF556" s="315">
        <v>1.53</v>
      </c>
      <c r="AG556" s="315">
        <v>0.31</v>
      </c>
      <c r="AH556" s="315">
        <v>685</v>
      </c>
    </row>
    <row r="557" spans="1:34">
      <c r="A557" s="315" t="s">
        <v>1145</v>
      </c>
      <c r="B557" s="315" t="s">
        <v>1066</v>
      </c>
      <c r="C557" s="316" t="s">
        <v>1417</v>
      </c>
      <c r="D557" s="316" t="s">
        <v>1417</v>
      </c>
      <c r="E557" s="317">
        <v>1.274896</v>
      </c>
      <c r="F557" s="317">
        <v>0</v>
      </c>
      <c r="G557" s="317">
        <v>0</v>
      </c>
      <c r="H557" s="317">
        <v>0</v>
      </c>
      <c r="I557" s="318">
        <v>0</v>
      </c>
      <c r="J557" s="318">
        <v>55.602107257136304</v>
      </c>
      <c r="K557" s="319">
        <v>38.537951482464003</v>
      </c>
      <c r="L557" s="319">
        <v>38.537951482464003</v>
      </c>
      <c r="M557" s="319">
        <f t="shared" si="8"/>
        <v>38.537951482464003</v>
      </c>
      <c r="N557" s="317">
        <v>0.49131880193187427</v>
      </c>
      <c r="O557" s="315" t="s">
        <v>1168</v>
      </c>
      <c r="P557" s="318">
        <v>222</v>
      </c>
      <c r="R557" s="320">
        <v>105.55555555555556</v>
      </c>
      <c r="S557" s="318">
        <v>38</v>
      </c>
      <c r="T557" s="318">
        <v>468.03</v>
      </c>
      <c r="U557" s="318">
        <v>2029</v>
      </c>
      <c r="V557" s="315">
        <v>0.186</v>
      </c>
      <c r="W557" s="318">
        <v>32.4</v>
      </c>
      <c r="X557" s="315">
        <v>1</v>
      </c>
      <c r="Y557" s="315" t="s">
        <v>1149</v>
      </c>
      <c r="Z557" s="315">
        <v>0</v>
      </c>
      <c r="AA557" s="315" t="s">
        <v>1157</v>
      </c>
      <c r="AB557" s="315"/>
      <c r="AC557" s="315"/>
      <c r="AD557" s="315"/>
      <c r="AE557" s="315"/>
      <c r="AF557" s="315"/>
      <c r="AG557" s="315"/>
      <c r="AH557" s="315"/>
    </row>
    <row r="558" spans="1:34">
      <c r="A558" s="315" t="s">
        <v>1485</v>
      </c>
      <c r="B558" s="315" t="s">
        <v>1966</v>
      </c>
      <c r="C558" s="316" t="s">
        <v>1968</v>
      </c>
      <c r="D558" s="316" t="s">
        <v>1968</v>
      </c>
      <c r="E558" s="317">
        <v>458.71</v>
      </c>
      <c r="F558" s="317">
        <v>226.74619300000001</v>
      </c>
      <c r="G558" s="317">
        <v>227.55205684000001</v>
      </c>
      <c r="H558" s="317">
        <v>227.61724705944999</v>
      </c>
      <c r="I558" s="318">
        <v>49.621165237175994</v>
      </c>
      <c r="J558" s="318">
        <v>52.599476195473599</v>
      </c>
      <c r="K558" s="319">
        <v>44.462683585823498</v>
      </c>
      <c r="L558" s="319">
        <v>-5.1584816513524956</v>
      </c>
      <c r="M558" s="319">
        <f t="shared" si="8"/>
        <v>0</v>
      </c>
      <c r="N558" s="317">
        <v>0</v>
      </c>
      <c r="O558" s="315" t="s">
        <v>1148</v>
      </c>
      <c r="P558" s="318">
        <v>223</v>
      </c>
      <c r="R558" s="320">
        <v>106.11111111111111</v>
      </c>
      <c r="S558" s="318">
        <v>47</v>
      </c>
      <c r="T558" s="318">
        <v>98.43</v>
      </c>
      <c r="U558" s="318">
        <v>157.488</v>
      </c>
      <c r="V558" s="315">
        <v>0.2</v>
      </c>
      <c r="W558" s="318">
        <v>200</v>
      </c>
      <c r="X558" s="315">
        <v>58</v>
      </c>
      <c r="Y558" s="315" t="s">
        <v>1440</v>
      </c>
      <c r="Z558" s="315">
        <v>4</v>
      </c>
      <c r="AA558" s="315" t="s">
        <v>1190</v>
      </c>
      <c r="AB558" s="315"/>
      <c r="AC558" s="315"/>
      <c r="AD558" s="315"/>
      <c r="AE558" s="315"/>
      <c r="AF558" s="315"/>
      <c r="AG558" s="315"/>
      <c r="AH558" s="315"/>
    </row>
    <row r="559" spans="1:34">
      <c r="A559" s="315" t="s">
        <v>1931</v>
      </c>
      <c r="B559" s="315" t="s">
        <v>1745</v>
      </c>
      <c r="C559" s="316" t="s">
        <v>1752</v>
      </c>
      <c r="D559" s="316" t="s">
        <v>1752</v>
      </c>
      <c r="E559" s="317">
        <v>101.74353408237923</v>
      </c>
      <c r="F559" s="317">
        <v>10.034122803691957</v>
      </c>
      <c r="G559" s="317">
        <v>12.409192987926051</v>
      </c>
      <c r="H559" s="317">
        <v>28.224474799108044</v>
      </c>
      <c r="I559" s="318">
        <v>27.74080441933085</v>
      </c>
      <c r="J559" s="318">
        <v>69.378515315545798</v>
      </c>
      <c r="K559" s="319">
        <v>32.251190159572801</v>
      </c>
      <c r="L559" s="319">
        <v>4.5103857402419507</v>
      </c>
      <c r="M559" s="319">
        <f t="shared" si="8"/>
        <v>4.5103857402419507</v>
      </c>
      <c r="N559" s="317">
        <v>4.5890258528698418</v>
      </c>
      <c r="O559" s="315" t="s">
        <v>1148</v>
      </c>
      <c r="P559" s="318">
        <v>224</v>
      </c>
      <c r="R559" s="320">
        <v>106.66666666666667</v>
      </c>
      <c r="S559" s="318">
        <v>35.6</v>
      </c>
      <c r="T559" s="318">
        <v>81.467230000000001</v>
      </c>
      <c r="U559" s="318">
        <v>93</v>
      </c>
      <c r="V559" s="315">
        <v>0.21</v>
      </c>
      <c r="W559" s="318">
        <v>84</v>
      </c>
      <c r="X559" s="315">
        <v>4</v>
      </c>
      <c r="Y559" s="315" t="s">
        <v>1149</v>
      </c>
      <c r="Z559" s="315">
        <v>0</v>
      </c>
      <c r="AA559" s="315" t="s">
        <v>1150</v>
      </c>
      <c r="AB559" s="315"/>
      <c r="AC559" s="315"/>
      <c r="AD559" s="315"/>
      <c r="AE559" s="315"/>
      <c r="AF559" s="315"/>
      <c r="AG559" s="315"/>
      <c r="AH559" s="315"/>
    </row>
    <row r="560" spans="1:34">
      <c r="A560" s="315" t="s">
        <v>1951</v>
      </c>
      <c r="B560" s="315" t="s">
        <v>663</v>
      </c>
      <c r="C560" s="316" t="s">
        <v>1911</v>
      </c>
      <c r="D560" s="316" t="s">
        <v>1911</v>
      </c>
      <c r="E560" s="317">
        <v>7.7945991420290106</v>
      </c>
      <c r="F560" s="317">
        <v>0</v>
      </c>
      <c r="G560" s="317">
        <v>0</v>
      </c>
      <c r="H560" s="317">
        <v>0</v>
      </c>
      <c r="I560" s="318">
        <v>0</v>
      </c>
      <c r="J560" s="318">
        <v>85.587139653537605</v>
      </c>
      <c r="K560" s="319">
        <v>20.125332475581899</v>
      </c>
      <c r="L560" s="319">
        <v>20.125332475581899</v>
      </c>
      <c r="M560" s="319">
        <f t="shared" si="8"/>
        <v>20.125332475581899</v>
      </c>
      <c r="N560" s="317">
        <v>1.5686889924721927</v>
      </c>
      <c r="O560" s="315" t="s">
        <v>1168</v>
      </c>
      <c r="P560" s="318">
        <v>224</v>
      </c>
      <c r="R560" s="320">
        <v>106.66666666666667</v>
      </c>
      <c r="S560" s="318">
        <v>32</v>
      </c>
      <c r="T560" s="318">
        <v>33.94</v>
      </c>
      <c r="U560" s="318">
        <v>184</v>
      </c>
      <c r="V560" s="315">
        <v>0.108</v>
      </c>
      <c r="W560" s="318">
        <v>10</v>
      </c>
      <c r="X560" s="315">
        <v>0</v>
      </c>
      <c r="Y560" s="315" t="s">
        <v>1149</v>
      </c>
      <c r="Z560" s="315">
        <v>0</v>
      </c>
      <c r="AA560" s="315" t="s">
        <v>1150</v>
      </c>
      <c r="AB560" s="315"/>
      <c r="AC560" s="315"/>
      <c r="AD560" s="315"/>
      <c r="AE560" s="315"/>
      <c r="AF560" s="315"/>
      <c r="AG560" s="315"/>
      <c r="AH560" s="315"/>
    </row>
    <row r="561" spans="1:34">
      <c r="A561" s="315" t="s">
        <v>1145</v>
      </c>
      <c r="B561" s="315" t="s">
        <v>696</v>
      </c>
      <c r="C561" s="316" t="s">
        <v>1606</v>
      </c>
      <c r="D561" s="316" t="s">
        <v>1606</v>
      </c>
      <c r="E561" s="317">
        <v>18.7</v>
      </c>
      <c r="F561" s="317">
        <v>0</v>
      </c>
      <c r="G561" s="317">
        <v>0</v>
      </c>
      <c r="H561" s="317">
        <v>2.7895586283924949</v>
      </c>
      <c r="I561" s="318">
        <v>14.917425820280721</v>
      </c>
      <c r="J561" s="318">
        <v>59.562251452543798</v>
      </c>
      <c r="K561" s="319">
        <v>41.414145201109797</v>
      </c>
      <c r="L561" s="319">
        <v>26.496719380829077</v>
      </c>
      <c r="M561" s="319">
        <f t="shared" si="8"/>
        <v>26.496719380829077</v>
      </c>
      <c r="N561" s="317">
        <v>4.9548865242150368</v>
      </c>
      <c r="O561" s="315" t="s">
        <v>1168</v>
      </c>
      <c r="P561" s="318">
        <v>224.4</v>
      </c>
      <c r="R561" s="320">
        <v>106.88888888888889</v>
      </c>
      <c r="S561" s="318">
        <v>36</v>
      </c>
      <c r="T561" s="318">
        <v>291</v>
      </c>
      <c r="U561" s="318">
        <v>181</v>
      </c>
      <c r="V561" s="315">
        <v>0.24</v>
      </c>
      <c r="W561" s="318">
        <v>150</v>
      </c>
      <c r="X561" s="315">
        <v>0</v>
      </c>
      <c r="Y561" s="315" t="s">
        <v>1149</v>
      </c>
      <c r="Z561" s="315">
        <v>0</v>
      </c>
      <c r="AA561" s="315" t="s">
        <v>1435</v>
      </c>
      <c r="AB561" s="315"/>
      <c r="AC561" s="315"/>
      <c r="AD561" s="315"/>
      <c r="AE561" s="315"/>
      <c r="AF561" s="315"/>
      <c r="AG561" s="315"/>
      <c r="AH561" s="315"/>
    </row>
    <row r="562" spans="1:34">
      <c r="A562" s="315" t="s">
        <v>1145</v>
      </c>
      <c r="B562" s="315" t="s">
        <v>663</v>
      </c>
      <c r="C562" s="316" t="s">
        <v>1912</v>
      </c>
      <c r="D562" s="316" t="s">
        <v>1912</v>
      </c>
      <c r="E562" s="317">
        <v>4.0640513868889183</v>
      </c>
      <c r="F562" s="317">
        <v>0.4824155</v>
      </c>
      <c r="G562" s="317">
        <v>0.58256090000000005</v>
      </c>
      <c r="H562" s="317">
        <v>0.58256090000000005</v>
      </c>
      <c r="I562" s="318">
        <v>14.334486563811824</v>
      </c>
      <c r="J562" s="318">
        <v>70.414349207575498</v>
      </c>
      <c r="K562" s="319">
        <v>33.587559181318397</v>
      </c>
      <c r="L562" s="319">
        <v>19.253072617506575</v>
      </c>
      <c r="M562" s="319">
        <f t="shared" si="8"/>
        <v>19.253072617506575</v>
      </c>
      <c r="N562" s="317">
        <v>0.78245476473050657</v>
      </c>
      <c r="O562" s="315" t="s">
        <v>1148</v>
      </c>
      <c r="P562" s="318">
        <v>224.4425</v>
      </c>
      <c r="R562" s="320">
        <v>106.91249999999999</v>
      </c>
      <c r="S562" s="318">
        <v>32</v>
      </c>
      <c r="T562" s="318">
        <v>48</v>
      </c>
      <c r="U562" s="318">
        <v>95.149000000000001</v>
      </c>
      <c r="V562" s="315">
        <v>0.19</v>
      </c>
      <c r="W562" s="318">
        <v>120</v>
      </c>
      <c r="X562" s="315">
        <v>0</v>
      </c>
      <c r="Y562" s="315" t="s">
        <v>1149</v>
      </c>
      <c r="Z562" s="315">
        <v>0</v>
      </c>
      <c r="AA562" s="315" t="s">
        <v>1190</v>
      </c>
      <c r="AB562" s="315"/>
      <c r="AC562" s="315"/>
      <c r="AD562" s="315"/>
      <c r="AE562" s="315"/>
      <c r="AF562" s="315"/>
      <c r="AG562" s="315"/>
      <c r="AH562" s="315"/>
    </row>
    <row r="563" spans="1:34">
      <c r="A563" s="315" t="s">
        <v>1955</v>
      </c>
      <c r="B563" s="315" t="s">
        <v>1430</v>
      </c>
      <c r="C563" s="316" t="s">
        <v>1449</v>
      </c>
      <c r="D563" s="316" t="s">
        <v>1449</v>
      </c>
      <c r="E563" s="317">
        <v>21.9053453341675</v>
      </c>
      <c r="F563" s="317">
        <v>3.9292871544307197</v>
      </c>
      <c r="G563" s="317">
        <v>4.6489026147355546</v>
      </c>
      <c r="H563" s="317">
        <v>5.6090727801947038</v>
      </c>
      <c r="I563" s="318">
        <v>25.605954595227448</v>
      </c>
      <c r="J563" s="318">
        <v>64.976987126153503</v>
      </c>
      <c r="K563" s="319">
        <v>30.731083505407902</v>
      </c>
      <c r="L563" s="319">
        <v>5.1251289101804538</v>
      </c>
      <c r="M563" s="319">
        <f t="shared" si="8"/>
        <v>5.1251289101804538</v>
      </c>
      <c r="N563" s="317">
        <v>1.1226771865962837</v>
      </c>
      <c r="O563" s="315" t="s">
        <v>1148</v>
      </c>
      <c r="P563" s="318">
        <v>225</v>
      </c>
      <c r="R563" s="320">
        <v>107.22222222222223</v>
      </c>
      <c r="S563" s="318">
        <v>37</v>
      </c>
      <c r="T563" s="318">
        <v>187</v>
      </c>
      <c r="U563" s="318">
        <v>130</v>
      </c>
      <c r="V563" s="315">
        <v>0.16</v>
      </c>
      <c r="W563" s="318">
        <v>50</v>
      </c>
      <c r="X563" s="315">
        <v>3</v>
      </c>
      <c r="Y563" s="315" t="s">
        <v>1149</v>
      </c>
      <c r="Z563" s="315">
        <v>0</v>
      </c>
      <c r="AA563" s="315" t="s">
        <v>1190</v>
      </c>
      <c r="AB563" s="315"/>
      <c r="AC563" s="315"/>
      <c r="AD563" s="315"/>
      <c r="AE563" s="315"/>
      <c r="AF563" s="315"/>
      <c r="AG563" s="315"/>
      <c r="AH563" s="315"/>
    </row>
    <row r="564" spans="1:34">
      <c r="A564" s="315" t="s">
        <v>1957</v>
      </c>
      <c r="B564" s="315" t="s">
        <v>1430</v>
      </c>
      <c r="C564" s="316" t="s">
        <v>1450</v>
      </c>
      <c r="D564" s="316" t="s">
        <v>1450</v>
      </c>
      <c r="E564" s="317">
        <v>26.515973082122819</v>
      </c>
      <c r="F564" s="317">
        <v>5.0450242346819847</v>
      </c>
      <c r="G564" s="317">
        <v>5.7646396949868191</v>
      </c>
      <c r="H564" s="317">
        <v>5.7646396949868191</v>
      </c>
      <c r="I564" s="318">
        <v>21.740253232016453</v>
      </c>
      <c r="J564" s="318">
        <v>49.578306443317501</v>
      </c>
      <c r="K564" s="319">
        <v>40.451668855161699</v>
      </c>
      <c r="L564" s="319">
        <v>18.711415623145246</v>
      </c>
      <c r="M564" s="319">
        <f t="shared" si="8"/>
        <v>18.711415623145246</v>
      </c>
      <c r="N564" s="317">
        <v>4.9615139299173174</v>
      </c>
      <c r="O564" s="315" t="s">
        <v>1148</v>
      </c>
      <c r="P564" s="318">
        <v>225</v>
      </c>
      <c r="R564" s="320">
        <v>107.22222222222223</v>
      </c>
      <c r="S564" s="318">
        <v>37</v>
      </c>
      <c r="T564" s="318">
        <v>339</v>
      </c>
      <c r="U564" s="318">
        <v>47</v>
      </c>
      <c r="V564" s="315">
        <v>0.2</v>
      </c>
      <c r="W564" s="318">
        <v>480</v>
      </c>
      <c r="X564" s="315">
        <v>7</v>
      </c>
      <c r="Y564" s="315" t="s">
        <v>1149</v>
      </c>
      <c r="Z564" s="315">
        <v>0</v>
      </c>
      <c r="AA564" s="315" t="s">
        <v>1190</v>
      </c>
      <c r="AB564" s="315"/>
      <c r="AC564" s="315"/>
      <c r="AD564" s="315"/>
      <c r="AE564" s="315"/>
      <c r="AF564" s="315"/>
      <c r="AG564" s="315"/>
      <c r="AH564" s="315"/>
    </row>
    <row r="565" spans="1:34">
      <c r="A565" s="315" t="s">
        <v>1145</v>
      </c>
      <c r="B565" s="315" t="s">
        <v>696</v>
      </c>
      <c r="C565" s="316" t="s">
        <v>1607</v>
      </c>
      <c r="D565" s="316" t="s">
        <v>1607</v>
      </c>
      <c r="E565" s="317">
        <v>8.98</v>
      </c>
      <c r="F565" s="317">
        <v>0</v>
      </c>
      <c r="G565" s="317">
        <v>0</v>
      </c>
      <c r="H565" s="317">
        <v>0</v>
      </c>
      <c r="I565" s="318">
        <v>0</v>
      </c>
      <c r="J565" s="318">
        <v>56.840588696459903</v>
      </c>
      <c r="K565" s="319">
        <v>40.535936435035502</v>
      </c>
      <c r="L565" s="319">
        <v>40.535936435035502</v>
      </c>
      <c r="M565" s="319">
        <f t="shared" si="8"/>
        <v>40.535936435035502</v>
      </c>
      <c r="N565" s="317">
        <v>3.6401270918661881</v>
      </c>
      <c r="O565" s="315" t="s">
        <v>1168</v>
      </c>
      <c r="P565" s="318">
        <v>225</v>
      </c>
      <c r="R565" s="320">
        <v>107.22222222222223</v>
      </c>
      <c r="S565" s="318">
        <v>36</v>
      </c>
      <c r="T565" s="318">
        <v>212</v>
      </c>
      <c r="U565" s="318">
        <v>239</v>
      </c>
      <c r="V565" s="315">
        <v>0.25</v>
      </c>
      <c r="W565" s="318">
        <v>80</v>
      </c>
      <c r="X565" s="315">
        <v>0</v>
      </c>
      <c r="Y565" s="315" t="s">
        <v>1149</v>
      </c>
      <c r="Z565" s="315">
        <v>0</v>
      </c>
      <c r="AA565" s="315" t="s">
        <v>1435</v>
      </c>
      <c r="AB565" s="315"/>
      <c r="AC565" s="315"/>
      <c r="AD565" s="315"/>
      <c r="AE565" s="315"/>
      <c r="AF565" s="315"/>
      <c r="AG565" s="315"/>
      <c r="AH565" s="315"/>
    </row>
    <row r="566" spans="1:34">
      <c r="A566" s="315" t="s">
        <v>1145</v>
      </c>
      <c r="B566" s="315" t="s">
        <v>696</v>
      </c>
      <c r="C566" s="316" t="s">
        <v>1608</v>
      </c>
      <c r="D566" s="316" t="s">
        <v>1608</v>
      </c>
      <c r="E566" s="317">
        <v>6</v>
      </c>
      <c r="F566" s="317">
        <v>0</v>
      </c>
      <c r="G566" s="317">
        <v>0</v>
      </c>
      <c r="H566" s="317">
        <v>0</v>
      </c>
      <c r="I566" s="318">
        <v>0</v>
      </c>
      <c r="J566" s="318">
        <v>0</v>
      </c>
      <c r="K566" s="319">
        <v>0</v>
      </c>
      <c r="L566" s="319">
        <v>0</v>
      </c>
      <c r="M566" s="319">
        <f t="shared" si="8"/>
        <v>0</v>
      </c>
      <c r="N566" s="317">
        <v>0</v>
      </c>
      <c r="O566" s="315" t="s">
        <v>1168</v>
      </c>
      <c r="P566" s="318">
        <v>225</v>
      </c>
      <c r="R566" s="320">
        <v>107.22222222222223</v>
      </c>
      <c r="S566" s="318">
        <v>36</v>
      </c>
      <c r="T566" s="318">
        <v>85</v>
      </c>
      <c r="U566" s="318">
        <v>150</v>
      </c>
      <c r="V566" s="315">
        <v>0.25</v>
      </c>
      <c r="W566" s="318">
        <v>100</v>
      </c>
      <c r="X566" s="315">
        <v>0</v>
      </c>
      <c r="Y566" s="315" t="s">
        <v>1149</v>
      </c>
      <c r="Z566" s="315">
        <v>0</v>
      </c>
      <c r="AA566" s="315" t="s">
        <v>1435</v>
      </c>
      <c r="AB566" s="315"/>
      <c r="AC566" s="315"/>
      <c r="AD566" s="315"/>
      <c r="AE566" s="315"/>
      <c r="AF566" s="315"/>
      <c r="AG566" s="315"/>
      <c r="AH566" s="315"/>
    </row>
    <row r="567" spans="1:34">
      <c r="A567" s="315" t="s">
        <v>1327</v>
      </c>
      <c r="B567" s="315" t="s">
        <v>663</v>
      </c>
      <c r="C567" s="316" t="s">
        <v>1913</v>
      </c>
      <c r="D567" s="316" t="s">
        <v>1913</v>
      </c>
      <c r="E567" s="317">
        <v>5.0100004769412294</v>
      </c>
      <c r="F567" s="317">
        <v>0</v>
      </c>
      <c r="G567" s="317">
        <v>0</v>
      </c>
      <c r="H567" s="317">
        <v>0</v>
      </c>
      <c r="I567" s="318">
        <v>0</v>
      </c>
      <c r="J567" s="318">
        <v>80.820931447470997</v>
      </c>
      <c r="K567" s="319">
        <v>23.1003287630183</v>
      </c>
      <c r="L567" s="319">
        <v>23.1003287630183</v>
      </c>
      <c r="M567" s="319">
        <f t="shared" si="8"/>
        <v>23.1003287630183</v>
      </c>
      <c r="N567" s="317">
        <v>1.1573265812022089</v>
      </c>
      <c r="O567" s="315" t="s">
        <v>1168</v>
      </c>
      <c r="P567" s="318">
        <v>229.51835</v>
      </c>
      <c r="R567" s="320">
        <v>109.73241666666667</v>
      </c>
      <c r="S567" s="318">
        <v>36</v>
      </c>
      <c r="T567" s="318">
        <v>53.82</v>
      </c>
      <c r="U567" s="318">
        <v>571</v>
      </c>
      <c r="V567" s="315">
        <v>0.15</v>
      </c>
      <c r="W567" s="318">
        <v>10</v>
      </c>
      <c r="X567" s="315">
        <v>0</v>
      </c>
      <c r="Y567" s="315" t="s">
        <v>1149</v>
      </c>
      <c r="Z567" s="315">
        <v>0</v>
      </c>
      <c r="AA567" s="315" t="s">
        <v>1150</v>
      </c>
      <c r="AB567" s="315"/>
      <c r="AC567" s="315"/>
      <c r="AD567" s="315"/>
      <c r="AE567" s="315"/>
      <c r="AF567" s="315"/>
      <c r="AG567" s="315"/>
      <c r="AH567" s="315"/>
    </row>
    <row r="568" spans="1:34">
      <c r="A568" s="315" t="s">
        <v>1145</v>
      </c>
      <c r="B568" s="315" t="s">
        <v>696</v>
      </c>
      <c r="C568" s="316" t="s">
        <v>1609</v>
      </c>
      <c r="D568" s="316" t="s">
        <v>1609</v>
      </c>
      <c r="E568" s="317">
        <v>8.1</v>
      </c>
      <c r="F568" s="317">
        <v>0</v>
      </c>
      <c r="G568" s="317">
        <v>0</v>
      </c>
      <c r="H568" s="317">
        <v>0.67797356180913426</v>
      </c>
      <c r="I568" s="318">
        <v>8.3700439729522742</v>
      </c>
      <c r="J568" s="318">
        <v>73.287054600279106</v>
      </c>
      <c r="K568" s="319">
        <v>34.965140085319405</v>
      </c>
      <c r="L568" s="319">
        <v>26.595096112367131</v>
      </c>
      <c r="M568" s="319">
        <f t="shared" si="8"/>
        <v>26.595096112367131</v>
      </c>
      <c r="N568" s="317">
        <v>2.1542027851017371</v>
      </c>
      <c r="O568" s="315" t="s">
        <v>1168</v>
      </c>
      <c r="P568" s="318">
        <v>229.6</v>
      </c>
      <c r="R568" s="320">
        <v>109.77777777777777</v>
      </c>
      <c r="S568" s="318">
        <v>36</v>
      </c>
      <c r="T568" s="318">
        <v>284.45</v>
      </c>
      <c r="U568" s="318">
        <v>136</v>
      </c>
      <c r="V568" s="315">
        <v>0.24</v>
      </c>
      <c r="W568" s="318">
        <v>200</v>
      </c>
      <c r="X568" s="315">
        <v>0</v>
      </c>
      <c r="Y568" s="315" t="s">
        <v>1149</v>
      </c>
      <c r="Z568" s="315">
        <v>0</v>
      </c>
      <c r="AA568" s="315" t="s">
        <v>1435</v>
      </c>
      <c r="AB568" s="315"/>
      <c r="AC568" s="315"/>
      <c r="AD568" s="315"/>
      <c r="AE568" s="315"/>
      <c r="AF568" s="315"/>
      <c r="AG568" s="315"/>
      <c r="AH568" s="315"/>
    </row>
    <row r="569" spans="1:34">
      <c r="A569" s="315" t="s">
        <v>1963</v>
      </c>
      <c r="B569" s="315" t="s">
        <v>768</v>
      </c>
      <c r="C569" s="316" t="s">
        <v>1527</v>
      </c>
      <c r="D569" s="316" t="s">
        <v>1527</v>
      </c>
      <c r="E569" s="317">
        <v>19.135448699999998</v>
      </c>
      <c r="F569" s="317">
        <v>5.0380770999999998</v>
      </c>
      <c r="G569" s="317">
        <v>7.3458418999999999</v>
      </c>
      <c r="H569" s="317">
        <v>10.391889232735</v>
      </c>
      <c r="I569" s="318">
        <v>54.307005786255758</v>
      </c>
      <c r="J569" s="318">
        <v>64.790862307935697</v>
      </c>
      <c r="K569" s="319">
        <v>36.680071594680705</v>
      </c>
      <c r="L569" s="319">
        <v>-17.626934191575053</v>
      </c>
      <c r="M569" s="319">
        <f t="shared" si="8"/>
        <v>0</v>
      </c>
      <c r="N569" s="317">
        <v>0</v>
      </c>
      <c r="O569" s="315" t="s">
        <v>1148</v>
      </c>
      <c r="P569" s="318">
        <v>235</v>
      </c>
      <c r="R569" s="320">
        <v>112.77777777777777</v>
      </c>
      <c r="S569" s="318">
        <v>34.5</v>
      </c>
      <c r="T569" s="318">
        <v>132.30000000000001</v>
      </c>
      <c r="U569" s="318">
        <v>21</v>
      </c>
      <c r="V569" s="315">
        <v>0.2</v>
      </c>
      <c r="W569" s="318">
        <v>258</v>
      </c>
      <c r="X569" s="315">
        <v>5</v>
      </c>
      <c r="Y569" s="315" t="s">
        <v>1149</v>
      </c>
      <c r="Z569" s="315">
        <v>0</v>
      </c>
      <c r="AA569" s="315" t="s">
        <v>1157</v>
      </c>
      <c r="AB569" s="315"/>
      <c r="AC569" s="315"/>
      <c r="AD569" s="315"/>
      <c r="AE569" s="315"/>
      <c r="AF569" s="315"/>
      <c r="AG569" s="315"/>
      <c r="AH569" s="315"/>
    </row>
    <row r="570" spans="1:34">
      <c r="A570" s="315" t="s">
        <v>1965</v>
      </c>
      <c r="B570" s="315" t="s">
        <v>768</v>
      </c>
      <c r="C570" s="316" t="s">
        <v>1528</v>
      </c>
      <c r="D570" s="316" t="s">
        <v>1528</v>
      </c>
      <c r="E570" s="317">
        <v>149.5</v>
      </c>
      <c r="F570" s="317">
        <v>48.155796000000002</v>
      </c>
      <c r="G570" s="317">
        <v>48.155796000000002</v>
      </c>
      <c r="H570" s="317">
        <v>48.155796000000002</v>
      </c>
      <c r="I570" s="318">
        <v>32.211234782608699</v>
      </c>
      <c r="J570" s="318">
        <v>68.993807326029795</v>
      </c>
      <c r="K570" s="319">
        <v>34.711213467002402</v>
      </c>
      <c r="L570" s="319">
        <v>2.4999786843937031</v>
      </c>
      <c r="M570" s="319">
        <f t="shared" si="8"/>
        <v>2.4999786843937031</v>
      </c>
      <c r="N570" s="317">
        <v>3.7374681331685862</v>
      </c>
      <c r="O570" s="315" t="s">
        <v>1148</v>
      </c>
      <c r="P570" s="318">
        <v>235</v>
      </c>
      <c r="R570" s="320">
        <v>112.77777777777777</v>
      </c>
      <c r="S570" s="318">
        <v>34.5</v>
      </c>
      <c r="T570" s="318">
        <v>200</v>
      </c>
      <c r="U570" s="318">
        <v>80</v>
      </c>
      <c r="V570" s="315">
        <v>0.19600000000000001</v>
      </c>
      <c r="W570" s="318">
        <v>310</v>
      </c>
      <c r="X570" s="315">
        <v>13</v>
      </c>
      <c r="Y570" s="315" t="s">
        <v>1440</v>
      </c>
      <c r="Z570" s="315">
        <v>4</v>
      </c>
      <c r="AA570" s="315" t="s">
        <v>1157</v>
      </c>
      <c r="AB570" s="315"/>
      <c r="AC570" s="315"/>
      <c r="AD570" s="315"/>
      <c r="AE570" s="315"/>
      <c r="AF570" s="315"/>
      <c r="AG570" s="315"/>
      <c r="AH570" s="315"/>
    </row>
    <row r="571" spans="1:34">
      <c r="A571" s="315" t="s">
        <v>1161</v>
      </c>
      <c r="B571" s="328" t="s">
        <v>584</v>
      </c>
      <c r="C571" s="329" t="s">
        <v>1164</v>
      </c>
      <c r="D571" s="316" t="s">
        <v>1165</v>
      </c>
      <c r="E571" s="317">
        <v>25.539999999999996</v>
      </c>
      <c r="F571" s="317">
        <v>7.6000674999999998</v>
      </c>
      <c r="G571" s="317">
        <v>8.1197849866134231</v>
      </c>
      <c r="H571" s="317">
        <v>9.0921885866134229</v>
      </c>
      <c r="I571" s="318">
        <v>35.599798694649273</v>
      </c>
      <c r="J571" s="318">
        <v>51.058840834657502</v>
      </c>
      <c r="K571" s="319">
        <v>40.296265135735297</v>
      </c>
      <c r="L571" s="319">
        <v>4.6964664410860237</v>
      </c>
      <c r="M571" s="319">
        <f t="shared" si="8"/>
        <v>4.6964664410860237</v>
      </c>
      <c r="N571" s="317">
        <v>1.1994775290533704</v>
      </c>
      <c r="O571" s="315" t="s">
        <v>1148</v>
      </c>
      <c r="P571" s="318">
        <v>239</v>
      </c>
      <c r="R571" s="320">
        <v>115</v>
      </c>
      <c r="S571" s="318">
        <v>42</v>
      </c>
      <c r="T571" s="318">
        <v>36.091000000000001</v>
      </c>
      <c r="U571" s="318">
        <v>170</v>
      </c>
      <c r="V571" s="315">
        <v>0.19</v>
      </c>
      <c r="W571" s="318">
        <v>150</v>
      </c>
      <c r="X571" s="315">
        <v>6</v>
      </c>
      <c r="Y571" s="315" t="s">
        <v>1154</v>
      </c>
      <c r="Z571" s="315">
        <v>1</v>
      </c>
      <c r="AA571" s="315" t="s">
        <v>1150</v>
      </c>
      <c r="AB571" s="328">
        <v>0.26</v>
      </c>
      <c r="AC571" s="328">
        <v>2341</v>
      </c>
      <c r="AD571" s="328">
        <v>2341</v>
      </c>
      <c r="AE571" s="328">
        <v>0.8</v>
      </c>
      <c r="AF571" s="328">
        <v>1.38</v>
      </c>
      <c r="AG571" s="328">
        <v>0.2</v>
      </c>
      <c r="AH571" s="328">
        <v>1000</v>
      </c>
    </row>
    <row r="572" spans="1:34">
      <c r="A572" s="315" t="s">
        <v>1969</v>
      </c>
      <c r="B572" s="315" t="s">
        <v>652</v>
      </c>
      <c r="C572" s="316" t="s">
        <v>1510</v>
      </c>
      <c r="D572" s="316" t="s">
        <v>1510</v>
      </c>
      <c r="E572" s="317">
        <v>10.0359</v>
      </c>
      <c r="F572" s="317">
        <v>2.8505503999999999</v>
      </c>
      <c r="G572" s="317">
        <v>3.4544321</v>
      </c>
      <c r="H572" s="317">
        <v>11.460867500000001</v>
      </c>
      <c r="I572" s="318">
        <v>114.19870166103689</v>
      </c>
      <c r="J572" s="318">
        <v>66.898208929884305</v>
      </c>
      <c r="K572" s="319">
        <v>36.030160285759898</v>
      </c>
      <c r="L572" s="319">
        <v>-78.168541375276988</v>
      </c>
      <c r="M572" s="319">
        <f t="shared" si="8"/>
        <v>0</v>
      </c>
      <c r="N572" s="317">
        <v>0</v>
      </c>
      <c r="O572" s="315" t="s">
        <v>1148</v>
      </c>
      <c r="P572" s="318">
        <v>239</v>
      </c>
      <c r="R572" s="320">
        <v>115</v>
      </c>
      <c r="S572" s="318">
        <v>35</v>
      </c>
      <c r="T572" s="318">
        <v>124</v>
      </c>
      <c r="U572" s="318">
        <v>62</v>
      </c>
      <c r="V572" s="315">
        <v>0.15</v>
      </c>
      <c r="W572" s="318">
        <v>91</v>
      </c>
      <c r="X572" s="315">
        <v>1</v>
      </c>
      <c r="Y572" s="315" t="s">
        <v>1149</v>
      </c>
      <c r="Z572" s="315">
        <v>0</v>
      </c>
      <c r="AA572" s="315" t="s">
        <v>1190</v>
      </c>
      <c r="AB572" s="315"/>
      <c r="AC572" s="315"/>
      <c r="AD572" s="315"/>
      <c r="AE572" s="315"/>
      <c r="AF572" s="315"/>
      <c r="AG572" s="315"/>
      <c r="AH572" s="315"/>
    </row>
    <row r="573" spans="1:34">
      <c r="A573" s="315" t="s">
        <v>1972</v>
      </c>
      <c r="B573" s="315" t="s">
        <v>652</v>
      </c>
      <c r="C573" s="316" t="s">
        <v>1511</v>
      </c>
      <c r="D573" s="316" t="s">
        <v>1511</v>
      </c>
      <c r="E573" s="317">
        <v>10.902100000000001</v>
      </c>
      <c r="F573" s="317">
        <v>3.1952924</v>
      </c>
      <c r="G573" s="317">
        <v>3.6299808000000002</v>
      </c>
      <c r="H573" s="317">
        <v>4.0725088999999999</v>
      </c>
      <c r="I573" s="318">
        <v>37.355270085579839</v>
      </c>
      <c r="J573" s="318">
        <v>85.930970983236904</v>
      </c>
      <c r="K573" s="319">
        <v>25.218532647683201</v>
      </c>
      <c r="L573" s="319">
        <v>-12.136737437896638</v>
      </c>
      <c r="M573" s="319">
        <f t="shared" si="8"/>
        <v>0</v>
      </c>
      <c r="N573" s="317">
        <v>0</v>
      </c>
      <c r="O573" s="315" t="s">
        <v>1148</v>
      </c>
      <c r="P573" s="318">
        <v>239</v>
      </c>
      <c r="R573" s="320">
        <v>115</v>
      </c>
      <c r="S573" s="318">
        <v>35</v>
      </c>
      <c r="T573" s="318">
        <v>287</v>
      </c>
      <c r="U573" s="318">
        <v>97</v>
      </c>
      <c r="V573" s="315">
        <v>0.19</v>
      </c>
      <c r="W573" s="318">
        <v>859</v>
      </c>
      <c r="X573" s="315">
        <v>1</v>
      </c>
      <c r="Y573" s="315" t="s">
        <v>1149</v>
      </c>
      <c r="Z573" s="315">
        <v>0</v>
      </c>
      <c r="AA573" s="315" t="s">
        <v>1190</v>
      </c>
      <c r="AB573" s="315"/>
      <c r="AC573" s="315"/>
      <c r="AD573" s="315"/>
      <c r="AE573" s="315"/>
      <c r="AF573" s="315"/>
      <c r="AG573" s="315"/>
      <c r="AH573" s="315"/>
    </row>
    <row r="574" spans="1:34">
      <c r="A574" s="315" t="s">
        <v>1161</v>
      </c>
      <c r="B574" s="315" t="s">
        <v>584</v>
      </c>
      <c r="C574" s="316" t="s">
        <v>1166</v>
      </c>
      <c r="D574" s="316" t="s">
        <v>1167</v>
      </c>
      <c r="E574" s="317">
        <v>1.0749999999999997</v>
      </c>
      <c r="F574" s="317">
        <v>0</v>
      </c>
      <c r="G574" s="317">
        <v>0</v>
      </c>
      <c r="H574" s="317">
        <v>0</v>
      </c>
      <c r="I574" s="318">
        <v>0</v>
      </c>
      <c r="J574" s="318">
        <v>44.464515390184197</v>
      </c>
      <c r="K574" s="319">
        <v>41.538067744000301</v>
      </c>
      <c r="L574" s="319">
        <v>41.538067744000301</v>
      </c>
      <c r="M574" s="319">
        <f t="shared" si="8"/>
        <v>41.538067744000301</v>
      </c>
      <c r="N574" s="317">
        <v>0.44653422824800315</v>
      </c>
      <c r="O574" s="315" t="s">
        <v>1168</v>
      </c>
      <c r="P574" s="318">
        <v>240</v>
      </c>
      <c r="R574" s="320">
        <v>115.55555555555556</v>
      </c>
      <c r="S574" s="318">
        <v>41</v>
      </c>
      <c r="T574" s="318">
        <v>15.748799999999999</v>
      </c>
      <c r="U574" s="318">
        <v>183</v>
      </c>
      <c r="V574" s="315">
        <v>0.183</v>
      </c>
      <c r="W574" s="318">
        <v>44</v>
      </c>
      <c r="X574" s="315">
        <v>0</v>
      </c>
      <c r="Y574" s="315" t="s">
        <v>1149</v>
      </c>
      <c r="Z574" s="315">
        <v>0</v>
      </c>
      <c r="AA574" s="315" t="s">
        <v>1157</v>
      </c>
      <c r="AB574" s="315">
        <v>47.5</v>
      </c>
      <c r="AC574" s="315">
        <v>2330</v>
      </c>
      <c r="AD574" s="315">
        <v>2330</v>
      </c>
      <c r="AE574" s="315">
        <v>0.75</v>
      </c>
      <c r="AF574" s="315">
        <v>1.46</v>
      </c>
      <c r="AG574" s="315">
        <v>0.44</v>
      </c>
      <c r="AH574" s="315">
        <v>0.64200000000000002</v>
      </c>
    </row>
    <row r="575" spans="1:34">
      <c r="A575" s="315" t="s">
        <v>1161</v>
      </c>
      <c r="B575" s="315" t="s">
        <v>584</v>
      </c>
      <c r="C575" s="316" t="s">
        <v>1169</v>
      </c>
      <c r="D575" s="316" t="s">
        <v>1170</v>
      </c>
      <c r="E575" s="317">
        <v>45.569999999999986</v>
      </c>
      <c r="F575" s="317">
        <v>14.282691699999999</v>
      </c>
      <c r="G575" s="317">
        <v>15.643114253781915</v>
      </c>
      <c r="H575" s="317">
        <v>16.453246488992544</v>
      </c>
      <c r="I575" s="318">
        <v>36.105434472224154</v>
      </c>
      <c r="J575" s="318">
        <v>53.370986936080598</v>
      </c>
      <c r="K575" s="319">
        <v>39.028623470133397</v>
      </c>
      <c r="L575" s="319">
        <v>2.9231889979092429</v>
      </c>
      <c r="M575" s="319">
        <f t="shared" si="8"/>
        <v>2.9231889979092429</v>
      </c>
      <c r="N575" s="317">
        <v>1.3320972263472415</v>
      </c>
      <c r="O575" s="315" t="s">
        <v>1148</v>
      </c>
      <c r="P575" s="318">
        <v>240</v>
      </c>
      <c r="R575" s="320">
        <v>115.55555555555556</v>
      </c>
      <c r="S575" s="318">
        <v>41</v>
      </c>
      <c r="T575" s="318">
        <v>10.4992</v>
      </c>
      <c r="U575" s="318">
        <v>144</v>
      </c>
      <c r="V575" s="315">
        <v>0.23400000000000001</v>
      </c>
      <c r="W575" s="318">
        <v>526</v>
      </c>
      <c r="X575" s="315">
        <v>4</v>
      </c>
      <c r="Y575" s="315" t="s">
        <v>1154</v>
      </c>
      <c r="Z575" s="315">
        <v>1</v>
      </c>
      <c r="AA575" s="315" t="s">
        <v>1157</v>
      </c>
      <c r="AB575" s="315">
        <v>0.3</v>
      </c>
      <c r="AC575" s="315">
        <v>2330</v>
      </c>
      <c r="AD575" s="315">
        <v>2330</v>
      </c>
      <c r="AE575" s="315">
        <v>0.8</v>
      </c>
      <c r="AF575" s="315">
        <v>1.44</v>
      </c>
      <c r="AG575" s="315">
        <v>0.44</v>
      </c>
      <c r="AH575" s="315">
        <v>0.64200000000000002</v>
      </c>
    </row>
    <row r="576" spans="1:34">
      <c r="A576" s="315" t="s">
        <v>1161</v>
      </c>
      <c r="B576" s="315" t="s">
        <v>584</v>
      </c>
      <c r="C576" s="316" t="s">
        <v>1171</v>
      </c>
      <c r="D576" s="316" t="s">
        <v>1172</v>
      </c>
      <c r="E576" s="317">
        <v>7.6279999999999983</v>
      </c>
      <c r="F576" s="317">
        <v>1.7774671</v>
      </c>
      <c r="G576" s="317">
        <v>2.0382766071031968</v>
      </c>
      <c r="H576" s="317">
        <v>2.5233984071031967</v>
      </c>
      <c r="I576" s="318">
        <v>33.080734230508618</v>
      </c>
      <c r="J576" s="318">
        <v>51.816488885401697</v>
      </c>
      <c r="K576" s="319">
        <v>39.3113068815425</v>
      </c>
      <c r="L576" s="319">
        <v>6.2305726510338815</v>
      </c>
      <c r="M576" s="319">
        <f t="shared" si="8"/>
        <v>6.2305726510338815</v>
      </c>
      <c r="N576" s="317">
        <v>0.47526808182086433</v>
      </c>
      <c r="O576" s="315" t="s">
        <v>1148</v>
      </c>
      <c r="P576" s="318">
        <v>240</v>
      </c>
      <c r="R576" s="320">
        <v>115.55555555555556</v>
      </c>
      <c r="S576" s="318">
        <v>41</v>
      </c>
      <c r="T576" s="318">
        <v>14.1083</v>
      </c>
      <c r="U576" s="318">
        <v>108</v>
      </c>
      <c r="V576" s="315">
        <v>0.23400000000000001</v>
      </c>
      <c r="W576" s="318">
        <v>526</v>
      </c>
      <c r="X576" s="315">
        <v>3</v>
      </c>
      <c r="Y576" s="315" t="s">
        <v>1149</v>
      </c>
      <c r="Z576" s="315">
        <v>0</v>
      </c>
      <c r="AA576" s="315" t="s">
        <v>1157</v>
      </c>
      <c r="AB576" s="315">
        <v>4.0999999999999996</v>
      </c>
      <c r="AC576" s="315">
        <v>2330</v>
      </c>
      <c r="AD576" s="315">
        <v>2330</v>
      </c>
      <c r="AE576" s="315">
        <v>0.8</v>
      </c>
      <c r="AF576" s="315">
        <v>1.44</v>
      </c>
      <c r="AG576" s="315">
        <v>0.44</v>
      </c>
      <c r="AH576" s="315">
        <v>0.64200000000000002</v>
      </c>
    </row>
    <row r="577" spans="1:34">
      <c r="A577" s="315" t="s">
        <v>1161</v>
      </c>
      <c r="B577" s="315" t="s">
        <v>584</v>
      </c>
      <c r="C577" s="316" t="s">
        <v>1174</v>
      </c>
      <c r="D577" s="316" t="s">
        <v>1175</v>
      </c>
      <c r="E577" s="317">
        <v>6.4719999999999986</v>
      </c>
      <c r="F577" s="317">
        <v>1.7519001999999999</v>
      </c>
      <c r="G577" s="317">
        <v>1.7519001999999999</v>
      </c>
      <c r="H577" s="317">
        <v>1.7519001999999999</v>
      </c>
      <c r="I577" s="318">
        <v>27.068915327564902</v>
      </c>
      <c r="J577" s="318">
        <v>53.207355562324899</v>
      </c>
      <c r="K577" s="319">
        <v>39.057666476679195</v>
      </c>
      <c r="L577" s="319">
        <v>11.988751149114293</v>
      </c>
      <c r="M577" s="319">
        <f t="shared" si="8"/>
        <v>11.988751149114293</v>
      </c>
      <c r="N577" s="317">
        <v>0.77591197437067694</v>
      </c>
      <c r="O577" s="315" t="s">
        <v>1148</v>
      </c>
      <c r="P577" s="318">
        <v>240</v>
      </c>
      <c r="R577" s="320">
        <v>115.55555555555556</v>
      </c>
      <c r="S577" s="318">
        <v>41</v>
      </c>
      <c r="T577" s="318">
        <v>11.1554</v>
      </c>
      <c r="U577" s="318">
        <v>72</v>
      </c>
      <c r="V577" s="315">
        <v>0.23699999999999999</v>
      </c>
      <c r="W577" s="318">
        <v>524</v>
      </c>
      <c r="X577" s="315">
        <v>1</v>
      </c>
      <c r="Y577" s="315" t="s">
        <v>1154</v>
      </c>
      <c r="Z577" s="315">
        <v>1</v>
      </c>
      <c r="AA577" s="315" t="s">
        <v>1157</v>
      </c>
      <c r="AB577" s="315">
        <v>0.7</v>
      </c>
      <c r="AC577" s="315">
        <v>2330</v>
      </c>
      <c r="AD577" s="315">
        <v>2330</v>
      </c>
      <c r="AE577" s="315">
        <v>0.8</v>
      </c>
      <c r="AF577" s="315">
        <v>1.44</v>
      </c>
      <c r="AG577" s="315">
        <v>0.44</v>
      </c>
      <c r="AH577" s="315">
        <v>0.64200000000000002</v>
      </c>
    </row>
    <row r="578" spans="1:34">
      <c r="A578" s="315" t="s">
        <v>1978</v>
      </c>
      <c r="B578" s="315" t="s">
        <v>1691</v>
      </c>
      <c r="C578" s="316" t="s">
        <v>1692</v>
      </c>
      <c r="D578" s="316" t="s">
        <v>1692</v>
      </c>
      <c r="E578" s="317">
        <v>18.399999999999999</v>
      </c>
      <c r="F578" s="317">
        <v>2.957014</v>
      </c>
      <c r="G578" s="317">
        <v>2.957014</v>
      </c>
      <c r="H578" s="317">
        <v>2.957014</v>
      </c>
      <c r="I578" s="318">
        <v>16.070728260869565</v>
      </c>
      <c r="J578" s="318">
        <v>62.872072327539399</v>
      </c>
      <c r="K578" s="319">
        <v>35.948392989854199</v>
      </c>
      <c r="L578" s="319">
        <v>19.877664728984634</v>
      </c>
      <c r="M578" s="319">
        <f t="shared" si="8"/>
        <v>19.877664728984634</v>
      </c>
      <c r="N578" s="317">
        <v>3.6574903101331726</v>
      </c>
      <c r="O578" s="315" t="s">
        <v>1148</v>
      </c>
      <c r="P578" s="318">
        <v>240</v>
      </c>
      <c r="R578" s="320">
        <v>115.55555555555556</v>
      </c>
      <c r="S578" s="318">
        <v>32</v>
      </c>
      <c r="T578" s="318">
        <v>91.868000000000009</v>
      </c>
      <c r="U578" s="318">
        <v>144.364</v>
      </c>
      <c r="V578" s="315">
        <v>0.22</v>
      </c>
      <c r="W578" s="318">
        <v>850</v>
      </c>
      <c r="X578" s="315">
        <v>5</v>
      </c>
      <c r="Y578" s="315" t="s">
        <v>1149</v>
      </c>
      <c r="Z578" s="315">
        <v>0</v>
      </c>
      <c r="AA578" s="315" t="s">
        <v>1150</v>
      </c>
      <c r="AB578" s="315"/>
      <c r="AC578" s="315"/>
      <c r="AD578" s="315"/>
      <c r="AE578" s="315"/>
      <c r="AF578" s="315"/>
      <c r="AG578" s="315"/>
      <c r="AH578" s="315"/>
    </row>
    <row r="579" spans="1:34">
      <c r="A579" s="315" t="s">
        <v>1978</v>
      </c>
      <c r="B579" s="315" t="s">
        <v>1691</v>
      </c>
      <c r="C579" s="316" t="s">
        <v>1693</v>
      </c>
      <c r="D579" s="316" t="s">
        <v>1693</v>
      </c>
      <c r="E579" s="317">
        <v>28.5</v>
      </c>
      <c r="F579" s="317">
        <v>4.1257760000000001</v>
      </c>
      <c r="G579" s="317">
        <v>4.1257760000000001</v>
      </c>
      <c r="H579" s="317">
        <v>4.1257760000000001</v>
      </c>
      <c r="I579" s="318">
        <v>14.47640701754386</v>
      </c>
      <c r="J579" s="318">
        <v>62.226656721435802</v>
      </c>
      <c r="K579" s="319">
        <v>36.251032662309598</v>
      </c>
      <c r="L579" s="319">
        <v>21.774625644765738</v>
      </c>
      <c r="M579" s="319">
        <f t="shared" ref="M579:M601" si="9">IF(L579&lt;0,0,L579)</f>
        <v>21.774625644765738</v>
      </c>
      <c r="N579" s="317">
        <v>6.2057683087582358</v>
      </c>
      <c r="O579" s="315" t="s">
        <v>1148</v>
      </c>
      <c r="P579" s="318">
        <v>240</v>
      </c>
      <c r="R579" s="320">
        <v>115.55555555555556</v>
      </c>
      <c r="S579" s="318">
        <v>30</v>
      </c>
      <c r="T579" s="318">
        <v>108.27300000000001</v>
      </c>
      <c r="U579" s="318">
        <v>180.45500000000001</v>
      </c>
      <c r="V579" s="315">
        <v>0.22</v>
      </c>
      <c r="W579" s="318">
        <v>550</v>
      </c>
      <c r="X579" s="315">
        <v>5</v>
      </c>
      <c r="Y579" s="315" t="s">
        <v>1149</v>
      </c>
      <c r="Z579" s="315">
        <v>0</v>
      </c>
      <c r="AA579" s="315" t="s">
        <v>1150</v>
      </c>
      <c r="AB579" s="315"/>
      <c r="AC579" s="315"/>
      <c r="AD579" s="315"/>
      <c r="AE579" s="315"/>
      <c r="AF579" s="315"/>
      <c r="AG579" s="315"/>
      <c r="AH579" s="315"/>
    </row>
    <row r="580" spans="1:34">
      <c r="A580" s="315" t="s">
        <v>1161</v>
      </c>
      <c r="B580" s="334" t="s">
        <v>584</v>
      </c>
      <c r="C580" s="335" t="s">
        <v>1176</v>
      </c>
      <c r="D580" s="316" t="s">
        <v>1177</v>
      </c>
      <c r="E580" s="317">
        <v>228.12999999999997</v>
      </c>
      <c r="F580" s="317">
        <v>122.7483538</v>
      </c>
      <c r="G580" s="317">
        <v>131.73263836234693</v>
      </c>
      <c r="H580" s="317">
        <v>133.26633770151187</v>
      </c>
      <c r="I580" s="318">
        <v>58.416840267177442</v>
      </c>
      <c r="J580" s="318">
        <v>52.895345733758198</v>
      </c>
      <c r="K580" s="319">
        <v>39.996934043544101</v>
      </c>
      <c r="L580" s="319">
        <v>-18.41990622363334</v>
      </c>
      <c r="M580" s="319">
        <f t="shared" si="9"/>
        <v>0</v>
      </c>
      <c r="N580" s="317">
        <v>0</v>
      </c>
      <c r="O580" s="315" t="s">
        <v>1148</v>
      </c>
      <c r="P580" s="318">
        <v>241</v>
      </c>
      <c r="R580" s="320">
        <v>116.11111111111111</v>
      </c>
      <c r="S580" s="318">
        <v>42</v>
      </c>
      <c r="T580" s="318">
        <v>49.215000000000003</v>
      </c>
      <c r="U580" s="318">
        <v>236</v>
      </c>
      <c r="V580" s="315">
        <v>0.25</v>
      </c>
      <c r="W580" s="318">
        <v>700</v>
      </c>
      <c r="X580" s="315">
        <v>16</v>
      </c>
      <c r="Y580" s="315" t="s">
        <v>1154</v>
      </c>
      <c r="Z580" s="315">
        <v>10</v>
      </c>
      <c r="AA580" s="315" t="s">
        <v>1150</v>
      </c>
      <c r="AB580" s="334">
        <v>0.03</v>
      </c>
      <c r="AC580" s="334">
        <v>2345</v>
      </c>
      <c r="AD580" s="334">
        <v>2345</v>
      </c>
      <c r="AE580" s="334">
        <v>0.78</v>
      </c>
      <c r="AF580" s="334">
        <v>1.385</v>
      </c>
      <c r="AG580" s="334">
        <v>0.45</v>
      </c>
      <c r="AH580" s="334">
        <v>0.54</v>
      </c>
    </row>
    <row r="581" spans="1:34">
      <c r="A581" s="315" t="s">
        <v>1161</v>
      </c>
      <c r="B581" s="315" t="s">
        <v>584</v>
      </c>
      <c r="C581" s="316" t="s">
        <v>1178</v>
      </c>
      <c r="D581" s="316" t="s">
        <v>1179</v>
      </c>
      <c r="E581" s="317">
        <v>30.899999999999991</v>
      </c>
      <c r="F581" s="317">
        <v>10.7111907</v>
      </c>
      <c r="G581" s="317">
        <v>10.734478407216642</v>
      </c>
      <c r="H581" s="317">
        <v>10.736047344653752</v>
      </c>
      <c r="I581" s="318">
        <v>34.744489788523481</v>
      </c>
      <c r="J581" s="318">
        <v>51.796329653762001</v>
      </c>
      <c r="K581" s="319">
        <v>38.826723868142999</v>
      </c>
      <c r="L581" s="319">
        <v>4.0822340796195178</v>
      </c>
      <c r="M581" s="319">
        <f t="shared" si="9"/>
        <v>4.0822340796195178</v>
      </c>
      <c r="N581" s="317">
        <v>1.2614103306024307</v>
      </c>
      <c r="O581" s="315" t="s">
        <v>1148</v>
      </c>
      <c r="P581" s="318">
        <v>241</v>
      </c>
      <c r="R581" s="320">
        <v>116.11111111111111</v>
      </c>
      <c r="S581" s="318">
        <v>42.3</v>
      </c>
      <c r="T581" s="318">
        <v>52.496000000000002</v>
      </c>
      <c r="U581" s="318">
        <v>105</v>
      </c>
      <c r="V581" s="315">
        <v>0.25</v>
      </c>
      <c r="W581" s="318">
        <v>500</v>
      </c>
      <c r="X581" s="315">
        <v>4</v>
      </c>
      <c r="Y581" s="315" t="s">
        <v>1149</v>
      </c>
      <c r="Z581" s="315">
        <v>0</v>
      </c>
      <c r="AA581" s="315" t="s">
        <v>1157</v>
      </c>
      <c r="AB581" s="315">
        <v>2.6</v>
      </c>
      <c r="AC581" s="315">
        <v>2388</v>
      </c>
      <c r="AD581" s="315">
        <v>2388</v>
      </c>
      <c r="AE581" s="315">
        <v>0.75</v>
      </c>
      <c r="AF581" s="315">
        <v>1.3779999999999999</v>
      </c>
      <c r="AG581" s="315">
        <v>0.36</v>
      </c>
      <c r="AH581" s="315">
        <v>0.46</v>
      </c>
    </row>
    <row r="582" spans="1:34">
      <c r="A582" s="315" t="s">
        <v>1943</v>
      </c>
      <c r="B582" s="315" t="s">
        <v>584</v>
      </c>
      <c r="C582" s="316" t="s">
        <v>1180</v>
      </c>
      <c r="D582" s="316" t="s">
        <v>1181</v>
      </c>
      <c r="E582" s="317">
        <v>65.689999999999984</v>
      </c>
      <c r="F582" s="317">
        <v>19.771714899999999</v>
      </c>
      <c r="G582" s="317">
        <v>20.89609253202315</v>
      </c>
      <c r="H582" s="317">
        <v>22.502491932023151</v>
      </c>
      <c r="I582" s="318">
        <v>34.255582176926715</v>
      </c>
      <c r="J582" s="318">
        <v>52.811112591176403</v>
      </c>
      <c r="K582" s="319">
        <v>40.444144833406995</v>
      </c>
      <c r="L582" s="319">
        <v>6.1885626564802791</v>
      </c>
      <c r="M582" s="319">
        <f t="shared" si="9"/>
        <v>6.1885626564802791</v>
      </c>
      <c r="N582" s="317">
        <v>4.0652668090418942</v>
      </c>
      <c r="O582" s="315" t="s">
        <v>1148</v>
      </c>
      <c r="P582" s="318">
        <v>241</v>
      </c>
      <c r="R582" s="320">
        <v>116.11111111111111</v>
      </c>
      <c r="S582" s="318">
        <v>42.3</v>
      </c>
      <c r="T582" s="318">
        <v>39.372</v>
      </c>
      <c r="U582" s="318">
        <v>131</v>
      </c>
      <c r="V582" s="315">
        <v>0.28000000000000003</v>
      </c>
      <c r="W582" s="318">
        <v>500</v>
      </c>
      <c r="X582" s="315">
        <v>7</v>
      </c>
      <c r="Y582" s="315" t="s">
        <v>1154</v>
      </c>
      <c r="Z582" s="315">
        <v>3</v>
      </c>
      <c r="AA582" s="315" t="s">
        <v>1150</v>
      </c>
      <c r="AB582" s="315">
        <v>0.1</v>
      </c>
      <c r="AC582" s="315">
        <v>2354</v>
      </c>
      <c r="AD582" s="315">
        <v>2354</v>
      </c>
      <c r="AE582" s="315">
        <v>0.75</v>
      </c>
      <c r="AF582" s="315">
        <v>1.4064000000000001</v>
      </c>
      <c r="AG582" s="315">
        <v>0.37</v>
      </c>
      <c r="AH582" s="315">
        <v>0.47</v>
      </c>
    </row>
    <row r="583" spans="1:34">
      <c r="A583" s="315" t="s">
        <v>1161</v>
      </c>
      <c r="B583" s="315" t="s">
        <v>584</v>
      </c>
      <c r="C583" s="316" t="s">
        <v>1182</v>
      </c>
      <c r="D583" s="316" t="s">
        <v>1183</v>
      </c>
      <c r="E583" s="317">
        <v>41.779999999999994</v>
      </c>
      <c r="F583" s="317">
        <v>13.8134266</v>
      </c>
      <c r="G583" s="317">
        <v>15.159329804200549</v>
      </c>
      <c r="H583" s="317">
        <v>15.833266263402322</v>
      </c>
      <c r="I583" s="318">
        <v>37.896759845386129</v>
      </c>
      <c r="J583" s="318">
        <v>54.626773885283001</v>
      </c>
      <c r="K583" s="319">
        <v>38.929732420014105</v>
      </c>
      <c r="L583" s="319">
        <v>1.0329725746279763</v>
      </c>
      <c r="M583" s="319">
        <f t="shared" si="9"/>
        <v>1.0329725746279763</v>
      </c>
      <c r="N583" s="317">
        <v>0.43157594167956848</v>
      </c>
      <c r="O583" s="315" t="s">
        <v>1148</v>
      </c>
      <c r="P583" s="318">
        <v>241</v>
      </c>
      <c r="R583" s="320">
        <v>116.11111111111111</v>
      </c>
      <c r="S583" s="318">
        <v>42.3</v>
      </c>
      <c r="T583" s="318">
        <v>32.81</v>
      </c>
      <c r="U583" s="318">
        <v>125</v>
      </c>
      <c r="V583" s="315">
        <v>0.24</v>
      </c>
      <c r="W583" s="318">
        <v>1000</v>
      </c>
      <c r="X583" s="315">
        <v>4</v>
      </c>
      <c r="Y583" s="315" t="s">
        <v>1154</v>
      </c>
      <c r="Z583" s="315">
        <v>2</v>
      </c>
      <c r="AA583" s="315" t="s">
        <v>1150</v>
      </c>
      <c r="AB583" s="315">
        <v>0</v>
      </c>
      <c r="AC583" s="315">
        <v>2347</v>
      </c>
      <c r="AD583" s="315">
        <v>2347</v>
      </c>
      <c r="AE583" s="315">
        <v>0.75</v>
      </c>
      <c r="AF583" s="315">
        <v>1.385</v>
      </c>
      <c r="AG583" s="315">
        <v>0.45</v>
      </c>
      <c r="AH583" s="315">
        <v>0.44</v>
      </c>
    </row>
    <row r="584" spans="1:34">
      <c r="A584" s="315" t="s">
        <v>1161</v>
      </c>
      <c r="B584" s="315" t="s">
        <v>584</v>
      </c>
      <c r="C584" s="316" t="s">
        <v>1184</v>
      </c>
      <c r="D584" s="316" t="s">
        <v>1185</v>
      </c>
      <c r="E584" s="317">
        <v>21.999999999999996</v>
      </c>
      <c r="F584" s="317">
        <v>10.737226</v>
      </c>
      <c r="G584" s="317">
        <v>12.912110892915619</v>
      </c>
      <c r="H584" s="317">
        <v>12.913388192915619</v>
      </c>
      <c r="I584" s="318">
        <v>58.697219058707375</v>
      </c>
      <c r="J584" s="318">
        <v>52.091324659842599</v>
      </c>
      <c r="K584" s="319">
        <v>41.632558376389198</v>
      </c>
      <c r="L584" s="319">
        <v>-17.064660682318177</v>
      </c>
      <c r="M584" s="319">
        <f t="shared" si="9"/>
        <v>0</v>
      </c>
      <c r="N584" s="317">
        <v>0</v>
      </c>
      <c r="O584" s="315" t="s">
        <v>1148</v>
      </c>
      <c r="P584" s="318">
        <v>241</v>
      </c>
      <c r="R584" s="320">
        <v>116.11111111111111</v>
      </c>
      <c r="S584" s="318">
        <v>42.3</v>
      </c>
      <c r="T584" s="318">
        <v>39.372</v>
      </c>
      <c r="U584" s="318">
        <v>108</v>
      </c>
      <c r="V584" s="315">
        <v>0.25</v>
      </c>
      <c r="W584" s="318">
        <v>1000</v>
      </c>
      <c r="X584" s="315">
        <v>6</v>
      </c>
      <c r="Y584" s="315" t="s">
        <v>1154</v>
      </c>
      <c r="Z584" s="315">
        <v>2</v>
      </c>
      <c r="AA584" s="315" t="s">
        <v>1150</v>
      </c>
      <c r="AB584" s="315">
        <v>0.04</v>
      </c>
      <c r="AC584" s="315">
        <v>2333</v>
      </c>
      <c r="AD584" s="315">
        <v>2333</v>
      </c>
      <c r="AE584" s="315">
        <v>0.75</v>
      </c>
      <c r="AF584" s="315">
        <v>1.385</v>
      </c>
      <c r="AG584" s="315">
        <v>0.31</v>
      </c>
      <c r="AH584" s="315">
        <v>0.66</v>
      </c>
    </row>
    <row r="585" spans="1:34">
      <c r="A585" s="315" t="s">
        <v>1161</v>
      </c>
      <c r="B585" s="315" t="s">
        <v>584</v>
      </c>
      <c r="C585" s="316" t="s">
        <v>1186</v>
      </c>
      <c r="D585" s="316" t="s">
        <v>1187</v>
      </c>
      <c r="E585" s="317">
        <v>31.299999999999997</v>
      </c>
      <c r="F585" s="317">
        <v>4.5545555000000002</v>
      </c>
      <c r="G585" s="317">
        <v>5.7702454825478791</v>
      </c>
      <c r="H585" s="317">
        <v>10.409809940496585</v>
      </c>
      <c r="I585" s="318">
        <v>33.258178723631268</v>
      </c>
      <c r="J585" s="318">
        <v>47.751321833098999</v>
      </c>
      <c r="K585" s="319">
        <v>40.810239722443399</v>
      </c>
      <c r="L585" s="319">
        <v>7.5520609988121308</v>
      </c>
      <c r="M585" s="319">
        <f t="shared" si="9"/>
        <v>7.5520609988121308</v>
      </c>
      <c r="N585" s="317">
        <v>2.3637950926281968</v>
      </c>
      <c r="O585" s="315" t="s">
        <v>1148</v>
      </c>
      <c r="P585" s="318">
        <v>241</v>
      </c>
      <c r="R585" s="320">
        <v>116.11111111111111</v>
      </c>
      <c r="S585" s="318">
        <v>42.3</v>
      </c>
      <c r="T585" s="318">
        <v>49.215000000000003</v>
      </c>
      <c r="U585" s="318">
        <v>147</v>
      </c>
      <c r="V585" s="315">
        <v>0.28000000000000003</v>
      </c>
      <c r="W585" s="318">
        <v>1000</v>
      </c>
      <c r="X585" s="315">
        <v>4</v>
      </c>
      <c r="Y585" s="315" t="s">
        <v>1154</v>
      </c>
      <c r="Z585" s="315">
        <v>2</v>
      </c>
      <c r="AA585" s="315" t="s">
        <v>1157</v>
      </c>
      <c r="AB585" s="315">
        <v>5</v>
      </c>
      <c r="AC585" s="315">
        <v>2347</v>
      </c>
      <c r="AD585" s="315">
        <v>2347</v>
      </c>
      <c r="AE585" s="315">
        <v>0.85</v>
      </c>
      <c r="AF585" s="315">
        <v>1.4064000000000001</v>
      </c>
      <c r="AG585" s="315">
        <v>0.4</v>
      </c>
      <c r="AH585" s="315">
        <v>355</v>
      </c>
    </row>
    <row r="586" spans="1:34">
      <c r="A586" s="315" t="s">
        <v>1987</v>
      </c>
      <c r="B586" s="315" t="s">
        <v>1679</v>
      </c>
      <c r="C586" s="316" t="s">
        <v>1680</v>
      </c>
      <c r="D586" s="316" t="s">
        <v>1680</v>
      </c>
      <c r="E586" s="317">
        <v>21</v>
      </c>
      <c r="F586" s="317">
        <v>0</v>
      </c>
      <c r="G586" s="317">
        <v>0</v>
      </c>
      <c r="H586" s="317">
        <v>0</v>
      </c>
      <c r="I586" s="318">
        <v>0</v>
      </c>
      <c r="J586" s="318">
        <v>57.399816689214397</v>
      </c>
      <c r="K586" s="319">
        <v>39.772224180540697</v>
      </c>
      <c r="L586" s="319">
        <v>39.772224180540697</v>
      </c>
      <c r="M586" s="319">
        <f t="shared" si="9"/>
        <v>39.772224180540697</v>
      </c>
      <c r="N586" s="317">
        <v>8.3521670779135455</v>
      </c>
      <c r="O586" s="315" t="s">
        <v>1168</v>
      </c>
      <c r="P586" s="318">
        <v>241</v>
      </c>
      <c r="R586" s="320">
        <v>116.11111111111111</v>
      </c>
      <c r="S586" s="318">
        <v>43</v>
      </c>
      <c r="T586" s="318">
        <v>66.276200000000003</v>
      </c>
      <c r="U586" s="318">
        <v>147.64500000000001</v>
      </c>
      <c r="V586" s="315">
        <v>0.23</v>
      </c>
      <c r="W586" s="318">
        <v>800</v>
      </c>
      <c r="X586" s="315">
        <v>1</v>
      </c>
      <c r="Y586" s="315" t="s">
        <v>1149</v>
      </c>
      <c r="Z586" s="315">
        <v>0</v>
      </c>
      <c r="AA586" s="315" t="s">
        <v>1150</v>
      </c>
      <c r="AB586" s="315"/>
      <c r="AC586" s="315"/>
      <c r="AD586" s="315"/>
      <c r="AE586" s="315"/>
      <c r="AF586" s="315"/>
      <c r="AG586" s="315"/>
      <c r="AH586" s="315"/>
    </row>
    <row r="587" spans="1:34">
      <c r="A587" s="315" t="s">
        <v>1145</v>
      </c>
      <c r="B587" s="315" t="s">
        <v>652</v>
      </c>
      <c r="C587" s="316" t="s">
        <v>1512</v>
      </c>
      <c r="D587" s="316" t="s">
        <v>1512</v>
      </c>
      <c r="E587" s="317">
        <v>52.056199999999997</v>
      </c>
      <c r="F587" s="317">
        <v>2.2285631000000001</v>
      </c>
      <c r="G587" s="317">
        <v>2.5542855000000002</v>
      </c>
      <c r="H587" s="317">
        <v>9.4482090000000003</v>
      </c>
      <c r="I587" s="318">
        <v>18.150016712706655</v>
      </c>
      <c r="J587" s="318">
        <v>89.325830974088007</v>
      </c>
      <c r="K587" s="319">
        <v>20.858038887090601</v>
      </c>
      <c r="L587" s="319">
        <v>2.7080221743839452</v>
      </c>
      <c r="M587" s="319">
        <f t="shared" si="9"/>
        <v>2.7080221743839452</v>
      </c>
      <c r="N587" s="317">
        <v>1.4096934391416553</v>
      </c>
      <c r="O587" s="315" t="s">
        <v>1148</v>
      </c>
      <c r="P587" s="318">
        <v>247</v>
      </c>
      <c r="R587" s="320">
        <v>119.44444444444444</v>
      </c>
      <c r="S587" s="318">
        <v>33</v>
      </c>
      <c r="T587" s="318">
        <v>356</v>
      </c>
      <c r="U587" s="318">
        <v>57</v>
      </c>
      <c r="V587" s="315">
        <v>0.2</v>
      </c>
      <c r="W587" s="318">
        <v>352</v>
      </c>
      <c r="X587" s="315">
        <v>2</v>
      </c>
      <c r="Y587" s="315" t="s">
        <v>1149</v>
      </c>
      <c r="Z587" s="315">
        <v>0</v>
      </c>
      <c r="AA587" s="315" t="s">
        <v>1190</v>
      </c>
      <c r="AB587" s="315"/>
      <c r="AC587" s="315"/>
      <c r="AD587" s="315"/>
      <c r="AE587" s="315"/>
      <c r="AF587" s="315"/>
      <c r="AG587" s="315"/>
      <c r="AH587" s="315"/>
    </row>
    <row r="588" spans="1:34">
      <c r="A588" s="315" t="s">
        <v>1145</v>
      </c>
      <c r="B588" s="315" t="s">
        <v>652</v>
      </c>
      <c r="C588" s="316" t="s">
        <v>1513</v>
      </c>
      <c r="D588" s="316" t="s">
        <v>1513</v>
      </c>
      <c r="E588" s="317">
        <v>12.652900000000001</v>
      </c>
      <c r="F588" s="317">
        <v>0.51944170000000001</v>
      </c>
      <c r="G588" s="317">
        <v>1.5358087</v>
      </c>
      <c r="H588" s="317">
        <v>4.0863440999999998</v>
      </c>
      <c r="I588" s="318">
        <v>32.295711655035603</v>
      </c>
      <c r="J588" s="318">
        <v>86.954053270543795</v>
      </c>
      <c r="K588" s="319">
        <v>23.0237885210305</v>
      </c>
      <c r="L588" s="319">
        <v>-9.2719231340051032</v>
      </c>
      <c r="M588" s="319">
        <f t="shared" si="9"/>
        <v>0</v>
      </c>
      <c r="N588" s="317">
        <v>0</v>
      </c>
      <c r="O588" s="315" t="s">
        <v>1148</v>
      </c>
      <c r="P588" s="318">
        <v>247</v>
      </c>
      <c r="R588" s="320">
        <v>119.44444444444444</v>
      </c>
      <c r="S588" s="318">
        <v>33</v>
      </c>
      <c r="T588" s="318">
        <v>288</v>
      </c>
      <c r="U588" s="318">
        <v>144</v>
      </c>
      <c r="V588" s="315">
        <v>0.19</v>
      </c>
      <c r="W588" s="318">
        <v>405</v>
      </c>
      <c r="X588" s="315">
        <v>1</v>
      </c>
      <c r="Y588" s="315" t="s">
        <v>1149</v>
      </c>
      <c r="Z588" s="315">
        <v>0</v>
      </c>
      <c r="AA588" s="315" t="s">
        <v>1190</v>
      </c>
      <c r="AB588" s="315"/>
      <c r="AC588" s="315"/>
      <c r="AD588" s="315"/>
      <c r="AE588" s="315"/>
      <c r="AF588" s="315"/>
      <c r="AG588" s="315"/>
      <c r="AH588" s="315"/>
    </row>
    <row r="589" spans="1:34">
      <c r="A589" s="315" t="s">
        <v>1145</v>
      </c>
      <c r="B589" s="315" t="s">
        <v>1487</v>
      </c>
      <c r="C589" s="316" t="s">
        <v>1488</v>
      </c>
      <c r="D589" s="316" t="s">
        <v>1488</v>
      </c>
      <c r="E589" s="317">
        <v>36.195999999999998</v>
      </c>
      <c r="F589" s="317">
        <v>2.5967399000000002</v>
      </c>
      <c r="G589" s="317">
        <v>8.5607399000000015</v>
      </c>
      <c r="H589" s="317">
        <v>8.5607399000000015</v>
      </c>
      <c r="I589" s="318">
        <v>23.651066139904966</v>
      </c>
      <c r="J589" s="318">
        <v>46.6590582043087</v>
      </c>
      <c r="K589" s="319">
        <v>44.269969011496599</v>
      </c>
      <c r="L589" s="319">
        <v>20.618902871591633</v>
      </c>
      <c r="M589" s="319">
        <f t="shared" si="9"/>
        <v>20.618902871591633</v>
      </c>
      <c r="N589" s="317">
        <v>7.4632180834013067</v>
      </c>
      <c r="O589" s="315" t="s">
        <v>1148</v>
      </c>
      <c r="P589" s="318">
        <v>250</v>
      </c>
      <c r="R589" s="320">
        <v>121.11111111111111</v>
      </c>
      <c r="S589" s="318">
        <v>30.5</v>
      </c>
      <c r="T589" s="318">
        <v>420</v>
      </c>
      <c r="U589" s="318">
        <v>80</v>
      </c>
      <c r="V589" s="315">
        <v>0.27900000000000003</v>
      </c>
      <c r="W589" s="318">
        <v>41.6</v>
      </c>
      <c r="X589" s="315">
        <v>1</v>
      </c>
      <c r="Y589" s="315" t="s">
        <v>1149</v>
      </c>
      <c r="Z589" s="315">
        <v>0</v>
      </c>
      <c r="AA589" s="315" t="s">
        <v>1157</v>
      </c>
      <c r="AB589" s="315"/>
      <c r="AC589" s="315"/>
      <c r="AD589" s="315"/>
      <c r="AE589" s="315"/>
      <c r="AF589" s="315"/>
      <c r="AG589" s="315"/>
      <c r="AH589" s="315"/>
    </row>
    <row r="590" spans="1:34">
      <c r="A590" s="315" t="s">
        <v>1993</v>
      </c>
      <c r="B590" s="315" t="s">
        <v>1487</v>
      </c>
      <c r="C590" s="316" t="s">
        <v>1489</v>
      </c>
      <c r="D590" s="316" t="s">
        <v>1489</v>
      </c>
      <c r="E590" s="317">
        <v>6.2</v>
      </c>
      <c r="F590" s="317">
        <v>0</v>
      </c>
      <c r="G590" s="317">
        <v>0</v>
      </c>
      <c r="H590" s="317">
        <v>0</v>
      </c>
      <c r="I590" s="318">
        <v>0</v>
      </c>
      <c r="J590" s="318">
        <v>43.139440503802199</v>
      </c>
      <c r="K590" s="319">
        <v>46.288622213794298</v>
      </c>
      <c r="L590" s="319">
        <v>46.288622213794298</v>
      </c>
      <c r="M590" s="319">
        <f t="shared" si="9"/>
        <v>46.288622213794298</v>
      </c>
      <c r="N590" s="317">
        <v>2.8698945772552467</v>
      </c>
      <c r="O590" s="315" t="s">
        <v>1168</v>
      </c>
      <c r="P590" s="318">
        <v>250</v>
      </c>
      <c r="R590" s="320">
        <v>121.11111111111111</v>
      </c>
      <c r="S590" s="318">
        <v>30.5</v>
      </c>
      <c r="T590" s="318">
        <v>420</v>
      </c>
      <c r="U590" s="318">
        <v>45</v>
      </c>
      <c r="V590" s="315">
        <v>0.27900000000000003</v>
      </c>
      <c r="W590" s="318">
        <v>158</v>
      </c>
      <c r="X590" s="315">
        <v>1</v>
      </c>
      <c r="Y590" s="315" t="s">
        <v>1149</v>
      </c>
      <c r="Z590" s="315">
        <v>0</v>
      </c>
      <c r="AA590" s="315" t="s">
        <v>1157</v>
      </c>
      <c r="AB590" s="315"/>
      <c r="AC590" s="315"/>
      <c r="AD590" s="315"/>
      <c r="AE590" s="315"/>
      <c r="AF590" s="315"/>
      <c r="AG590" s="315"/>
      <c r="AH590" s="315"/>
    </row>
    <row r="591" spans="1:34">
      <c r="A591" s="315" t="s">
        <v>1895</v>
      </c>
      <c r="B591" s="315" t="s">
        <v>1681</v>
      </c>
      <c r="C591" s="316" t="s">
        <v>1682</v>
      </c>
      <c r="D591" s="316" t="s">
        <v>1682</v>
      </c>
      <c r="E591" s="317">
        <v>26.781000000000002</v>
      </c>
      <c r="F591" s="317">
        <v>8.0117900000000013</v>
      </c>
      <c r="G591" s="317">
        <v>8.0117900000000013</v>
      </c>
      <c r="H591" s="317">
        <v>8.0117900000000013</v>
      </c>
      <c r="I591" s="318">
        <v>29.915947873492403</v>
      </c>
      <c r="J591" s="318">
        <v>63.115209601249397</v>
      </c>
      <c r="K591" s="319">
        <v>36.149001216975698</v>
      </c>
      <c r="L591" s="319">
        <v>6.2330533434832951</v>
      </c>
      <c r="M591" s="319">
        <f t="shared" si="9"/>
        <v>6.2330533434832951</v>
      </c>
      <c r="N591" s="317">
        <v>1.6692740159182613</v>
      </c>
      <c r="O591" s="315" t="s">
        <v>1148</v>
      </c>
      <c r="P591" s="318">
        <v>250</v>
      </c>
      <c r="R591" s="320">
        <v>121.11111111111111</v>
      </c>
      <c r="S591" s="318">
        <v>31.1</v>
      </c>
      <c r="T591" s="318">
        <v>15</v>
      </c>
      <c r="U591" s="318">
        <v>120</v>
      </c>
      <c r="V591" s="315">
        <v>0.21</v>
      </c>
      <c r="W591" s="318">
        <v>200</v>
      </c>
      <c r="X591" s="315">
        <v>5</v>
      </c>
      <c r="Y591" s="315" t="s">
        <v>1149</v>
      </c>
      <c r="Z591" s="315">
        <v>0</v>
      </c>
      <c r="AA591" s="315" t="s">
        <v>1190</v>
      </c>
      <c r="AB591" s="315"/>
      <c r="AC591" s="315"/>
      <c r="AD591" s="315"/>
      <c r="AE591" s="315"/>
      <c r="AF591" s="315"/>
      <c r="AG591" s="315"/>
      <c r="AH591" s="315"/>
    </row>
    <row r="592" spans="1:34">
      <c r="A592" s="315" t="s">
        <v>1895</v>
      </c>
      <c r="B592" s="315" t="s">
        <v>1681</v>
      </c>
      <c r="C592" s="316" t="s">
        <v>1683</v>
      </c>
      <c r="D592" s="316" t="s">
        <v>1683</v>
      </c>
      <c r="E592" s="317">
        <v>23.44</v>
      </c>
      <c r="F592" s="317">
        <v>0.52992899999999998</v>
      </c>
      <c r="G592" s="317">
        <v>0.52992899999999998</v>
      </c>
      <c r="H592" s="317">
        <v>0.52992899999999998</v>
      </c>
      <c r="I592" s="318">
        <v>2.2607892491467574</v>
      </c>
      <c r="J592" s="318">
        <v>72.733857994595894</v>
      </c>
      <c r="K592" s="319">
        <v>32.1342482894322</v>
      </c>
      <c r="L592" s="319">
        <v>29.873459040285443</v>
      </c>
      <c r="M592" s="319">
        <f t="shared" si="9"/>
        <v>29.873459040285443</v>
      </c>
      <c r="N592" s="317">
        <v>7.0023387990429082</v>
      </c>
      <c r="O592" s="315" t="s">
        <v>1148</v>
      </c>
      <c r="P592" s="318">
        <v>250</v>
      </c>
      <c r="R592" s="320">
        <v>121.11111111111111</v>
      </c>
      <c r="S592" s="318">
        <v>31</v>
      </c>
      <c r="T592" s="318">
        <v>98.43</v>
      </c>
      <c r="U592" s="318">
        <v>82.025000000000006</v>
      </c>
      <c r="V592" s="315">
        <v>0.21</v>
      </c>
      <c r="W592" s="318">
        <v>200</v>
      </c>
      <c r="X592" s="315">
        <v>5</v>
      </c>
      <c r="Y592" s="315" t="s">
        <v>1149</v>
      </c>
      <c r="Z592" s="315">
        <v>0</v>
      </c>
      <c r="AA592" s="315" t="s">
        <v>1190</v>
      </c>
      <c r="AB592" s="315"/>
      <c r="AC592" s="315"/>
      <c r="AD592" s="315"/>
      <c r="AE592" s="315"/>
      <c r="AF592" s="315"/>
      <c r="AG592" s="315"/>
      <c r="AH592" s="315"/>
    </row>
    <row r="593" spans="1:27" s="315" customFormat="1">
      <c r="A593" s="315" t="s">
        <v>1895</v>
      </c>
      <c r="B593" s="315" t="s">
        <v>1681</v>
      </c>
      <c r="C593" s="316" t="s">
        <v>1684</v>
      </c>
      <c r="D593" s="316" t="s">
        <v>1684</v>
      </c>
      <c r="E593" s="317">
        <v>23.442</v>
      </c>
      <c r="F593" s="317">
        <v>9.6074549999999999</v>
      </c>
      <c r="G593" s="317">
        <v>9.6074549999999999</v>
      </c>
      <c r="H593" s="317">
        <v>9.6074549999999999</v>
      </c>
      <c r="I593" s="318">
        <v>40.98393908369593</v>
      </c>
      <c r="J593" s="318">
        <v>62.711948701494698</v>
      </c>
      <c r="K593" s="319">
        <v>36.593316110926899</v>
      </c>
      <c r="L593" s="319">
        <v>-4.3906229727690302</v>
      </c>
      <c r="M593" s="319">
        <f t="shared" si="9"/>
        <v>0</v>
      </c>
      <c r="N593" s="317">
        <v>0</v>
      </c>
      <c r="O593" s="315" t="s">
        <v>1148</v>
      </c>
      <c r="P593" s="318">
        <v>253</v>
      </c>
      <c r="R593" s="320">
        <v>122.77777777777777</v>
      </c>
      <c r="S593" s="318">
        <v>29.4</v>
      </c>
      <c r="T593" s="318">
        <v>34</v>
      </c>
      <c r="U593" s="318">
        <v>92</v>
      </c>
      <c r="V593" s="315">
        <v>0.2</v>
      </c>
      <c r="W593" s="318">
        <v>200</v>
      </c>
      <c r="X593" s="315">
        <v>5</v>
      </c>
      <c r="Y593" s="315" t="s">
        <v>1149</v>
      </c>
      <c r="Z593" s="315">
        <v>0</v>
      </c>
      <c r="AA593" s="315" t="s">
        <v>1190</v>
      </c>
    </row>
    <row r="594" spans="1:27" s="315" customFormat="1">
      <c r="A594" s="315" t="s">
        <v>1895</v>
      </c>
      <c r="B594" s="315" t="s">
        <v>1681</v>
      </c>
      <c r="C594" s="316" t="s">
        <v>1685</v>
      </c>
      <c r="D594" s="316" t="s">
        <v>1685</v>
      </c>
      <c r="E594" s="317">
        <v>10.544</v>
      </c>
      <c r="F594" s="317">
        <v>1.464912</v>
      </c>
      <c r="G594" s="317">
        <v>1.464912</v>
      </c>
      <c r="H594" s="317">
        <v>1.464912</v>
      </c>
      <c r="I594" s="318">
        <v>13.893323216995446</v>
      </c>
      <c r="J594" s="318">
        <v>72.375763307224204</v>
      </c>
      <c r="K594" s="319">
        <v>31.937530166834399</v>
      </c>
      <c r="L594" s="319">
        <v>18.044206949838951</v>
      </c>
      <c r="M594" s="319">
        <f t="shared" si="9"/>
        <v>18.044206949838951</v>
      </c>
      <c r="N594" s="317">
        <v>1.9025811807910191</v>
      </c>
      <c r="O594" s="315" t="s">
        <v>1148</v>
      </c>
      <c r="P594" s="318">
        <v>258</v>
      </c>
      <c r="R594" s="320">
        <v>125.55555555555556</v>
      </c>
      <c r="S594" s="318">
        <v>29.4</v>
      </c>
      <c r="T594" s="318">
        <v>30</v>
      </c>
      <c r="U594" s="318">
        <v>98.43</v>
      </c>
      <c r="V594" s="315">
        <v>0.2</v>
      </c>
      <c r="W594" s="318">
        <v>50</v>
      </c>
      <c r="X594" s="315">
        <v>4</v>
      </c>
      <c r="Y594" s="315" t="s">
        <v>1149</v>
      </c>
      <c r="Z594" s="315">
        <v>0</v>
      </c>
      <c r="AA594" s="315" t="s">
        <v>1190</v>
      </c>
    </row>
    <row r="595" spans="1:27" s="315" customFormat="1">
      <c r="A595" s="315" t="s">
        <v>1145</v>
      </c>
      <c r="B595" s="315" t="s">
        <v>663</v>
      </c>
      <c r="C595" s="316" t="s">
        <v>1914</v>
      </c>
      <c r="D595" s="316" t="s">
        <v>1914</v>
      </c>
      <c r="E595" s="317">
        <v>7.1126376771077515</v>
      </c>
      <c r="F595" s="317">
        <v>0</v>
      </c>
      <c r="G595" s="317">
        <v>0</v>
      </c>
      <c r="H595" s="317">
        <v>0.15</v>
      </c>
      <c r="I595" s="318">
        <v>2.1089222706054569</v>
      </c>
      <c r="J595" s="318">
        <v>87.311615183479105</v>
      </c>
      <c r="K595" s="319">
        <v>19.3965182420323</v>
      </c>
      <c r="L595" s="319">
        <v>17.287595971426843</v>
      </c>
      <c r="M595" s="319">
        <f t="shared" si="9"/>
        <v>17.287595971426843</v>
      </c>
      <c r="N595" s="317">
        <v>1.2296040645298674</v>
      </c>
      <c r="O595" s="315" t="s">
        <v>1168</v>
      </c>
      <c r="P595" s="318">
        <v>259.96109999999999</v>
      </c>
      <c r="R595" s="320">
        <v>126.64505555555554</v>
      </c>
      <c r="S595" s="318">
        <v>36</v>
      </c>
      <c r="T595" s="318">
        <v>61.76</v>
      </c>
      <c r="U595" s="318">
        <v>108</v>
      </c>
      <c r="V595" s="315">
        <v>0.13</v>
      </c>
      <c r="W595" s="318">
        <v>10</v>
      </c>
      <c r="X595" s="315">
        <v>0</v>
      </c>
      <c r="Y595" s="315" t="s">
        <v>1149</v>
      </c>
      <c r="Z595" s="315">
        <v>0</v>
      </c>
      <c r="AA595" s="315" t="s">
        <v>1150</v>
      </c>
    </row>
    <row r="596" spans="1:27" s="315" customFormat="1">
      <c r="A596" s="315" t="s">
        <v>1145</v>
      </c>
      <c r="B596" s="315" t="s">
        <v>652</v>
      </c>
      <c r="C596" s="316" t="s">
        <v>1514</v>
      </c>
      <c r="D596" s="316" t="s">
        <v>1514</v>
      </c>
      <c r="E596" s="317">
        <v>12.241199999999999</v>
      </c>
      <c r="F596" s="317">
        <v>4.6100000000000004E-3</v>
      </c>
      <c r="G596" s="317">
        <v>4.6100000000000004E-3</v>
      </c>
      <c r="H596" s="317">
        <v>1.9293651999999999</v>
      </c>
      <c r="I596" s="318">
        <v>15.761242361859948</v>
      </c>
      <c r="J596" s="318">
        <v>79.082721017948501</v>
      </c>
      <c r="K596" s="319">
        <v>30.015670896718401</v>
      </c>
      <c r="L596" s="319">
        <v>14.254428534858453</v>
      </c>
      <c r="M596" s="319">
        <f t="shared" si="9"/>
        <v>14.254428534858453</v>
      </c>
      <c r="N596" s="317">
        <v>1.744913105809093</v>
      </c>
      <c r="O596" s="315" t="s">
        <v>1148</v>
      </c>
      <c r="P596" s="318">
        <v>260</v>
      </c>
      <c r="R596" s="320">
        <v>126.66666666666667</v>
      </c>
      <c r="S596" s="318">
        <v>33</v>
      </c>
      <c r="T596" s="318">
        <v>289</v>
      </c>
      <c r="U596" s="318">
        <v>58</v>
      </c>
      <c r="V596" s="315">
        <v>0.19</v>
      </c>
      <c r="W596" s="318">
        <v>96.372</v>
      </c>
      <c r="X596" s="315">
        <v>1</v>
      </c>
      <c r="Y596" s="315" t="s">
        <v>1149</v>
      </c>
      <c r="Z596" s="315">
        <v>0</v>
      </c>
      <c r="AA596" s="315" t="s">
        <v>1190</v>
      </c>
    </row>
    <row r="597" spans="1:27" s="315" customFormat="1">
      <c r="A597" s="315" t="s">
        <v>1145</v>
      </c>
      <c r="B597" s="315" t="s">
        <v>652</v>
      </c>
      <c r="C597" s="316" t="s">
        <v>1515</v>
      </c>
      <c r="D597" s="316" t="s">
        <v>1515</v>
      </c>
      <c r="E597" s="317">
        <v>16.952999999999999</v>
      </c>
      <c r="F597" s="317">
        <v>2.6881626000000001</v>
      </c>
      <c r="G597" s="317">
        <v>3.0288716</v>
      </c>
      <c r="H597" s="317">
        <v>3.0288716</v>
      </c>
      <c r="I597" s="318">
        <v>17.866286792898013</v>
      </c>
      <c r="J597" s="318">
        <v>74.779276397274799</v>
      </c>
      <c r="K597" s="319">
        <v>31.170435210053</v>
      </c>
      <c r="L597" s="319">
        <v>13.304148417154988</v>
      </c>
      <c r="M597" s="319">
        <f t="shared" si="9"/>
        <v>13.304148417154988</v>
      </c>
      <c r="N597" s="317">
        <v>2.2554522811602848</v>
      </c>
      <c r="O597" s="315" t="s">
        <v>1148</v>
      </c>
      <c r="P597" s="318">
        <v>260</v>
      </c>
      <c r="R597" s="320">
        <v>126.66666666666667</v>
      </c>
      <c r="S597" s="318">
        <v>33</v>
      </c>
      <c r="T597" s="318">
        <v>283</v>
      </c>
      <c r="U597" s="318">
        <v>170</v>
      </c>
      <c r="V597" s="315">
        <v>0.21</v>
      </c>
      <c r="W597" s="318">
        <v>126</v>
      </c>
      <c r="X597" s="315">
        <v>2</v>
      </c>
      <c r="Y597" s="315" t="s">
        <v>1149</v>
      </c>
      <c r="Z597" s="315">
        <v>0</v>
      </c>
      <c r="AA597" s="315" t="s">
        <v>1190</v>
      </c>
    </row>
    <row r="598" spans="1:27" s="315" customFormat="1">
      <c r="A598" s="315" t="s">
        <v>2003</v>
      </c>
      <c r="B598" s="315" t="s">
        <v>663</v>
      </c>
      <c r="C598" s="316" t="s">
        <v>1915</v>
      </c>
      <c r="D598" s="316" t="s">
        <v>1915</v>
      </c>
      <c r="E598" s="317">
        <v>23.322854220285372</v>
      </c>
      <c r="F598" s="317">
        <v>0</v>
      </c>
      <c r="G598" s="317">
        <v>0</v>
      </c>
      <c r="H598" s="317">
        <v>0</v>
      </c>
      <c r="I598" s="318">
        <v>0</v>
      </c>
      <c r="J598" s="318">
        <v>87.294375138044202</v>
      </c>
      <c r="K598" s="319">
        <v>19.4139697433321</v>
      </c>
      <c r="L598" s="319">
        <v>19.4139697433321</v>
      </c>
      <c r="M598" s="319">
        <f t="shared" si="9"/>
        <v>19.4139697433321</v>
      </c>
      <c r="N598" s="317">
        <v>4.5278918616076558</v>
      </c>
      <c r="O598" s="315" t="s">
        <v>1168</v>
      </c>
      <c r="P598" s="318">
        <v>264.76525000000004</v>
      </c>
      <c r="R598" s="320">
        <v>129.3140277777778</v>
      </c>
      <c r="S598" s="318">
        <v>36</v>
      </c>
      <c r="T598" s="318">
        <v>61.16</v>
      </c>
      <c r="U598" s="318">
        <v>607</v>
      </c>
      <c r="V598" s="315">
        <v>0.13</v>
      </c>
      <c r="W598" s="318">
        <v>10</v>
      </c>
      <c r="X598" s="315">
        <v>0</v>
      </c>
      <c r="Y598" s="315" t="s">
        <v>1149</v>
      </c>
      <c r="Z598" s="315">
        <v>0</v>
      </c>
      <c r="AA598" s="315" t="s">
        <v>1150</v>
      </c>
    </row>
    <row r="599" spans="1:27" s="315" customFormat="1">
      <c r="A599" s="315" t="s">
        <v>1895</v>
      </c>
      <c r="B599" s="315" t="s">
        <v>1681</v>
      </c>
      <c r="C599" s="316" t="s">
        <v>1686</v>
      </c>
      <c r="D599" s="316" t="s">
        <v>1686</v>
      </c>
      <c r="E599" s="317">
        <v>5.98</v>
      </c>
      <c r="F599" s="317">
        <v>1.4499649999999999</v>
      </c>
      <c r="G599" s="317">
        <v>1.4499649999999999</v>
      </c>
      <c r="H599" s="317">
        <v>1.4499649999999999</v>
      </c>
      <c r="I599" s="318">
        <v>24.246906354515048</v>
      </c>
      <c r="J599" s="318">
        <v>72.507031143032606</v>
      </c>
      <c r="K599" s="319">
        <v>31.874355409166899</v>
      </c>
      <c r="L599" s="319">
        <v>7.6274490546518514</v>
      </c>
      <c r="M599" s="319">
        <f t="shared" si="9"/>
        <v>7.6274490546518514</v>
      </c>
      <c r="N599" s="317">
        <v>0.45612145346818073</v>
      </c>
      <c r="O599" s="315" t="s">
        <v>1148</v>
      </c>
      <c r="P599" s="318">
        <v>265</v>
      </c>
      <c r="R599" s="320">
        <v>129.44444444444446</v>
      </c>
      <c r="S599" s="318">
        <v>29.4</v>
      </c>
      <c r="T599" s="318">
        <v>30</v>
      </c>
      <c r="U599" s="318">
        <v>65.62</v>
      </c>
      <c r="V599" s="315">
        <v>0.2</v>
      </c>
      <c r="W599" s="318">
        <v>50</v>
      </c>
      <c r="X599" s="315">
        <v>3</v>
      </c>
      <c r="Y599" s="315" t="s">
        <v>1149</v>
      </c>
      <c r="Z599" s="315">
        <v>0</v>
      </c>
      <c r="AA599" s="315" t="s">
        <v>1190</v>
      </c>
    </row>
    <row r="600" spans="1:27" s="315" customFormat="1">
      <c r="A600" s="315" t="s">
        <v>1145</v>
      </c>
      <c r="B600" s="315" t="s">
        <v>1451</v>
      </c>
      <c r="C600" s="316" t="s">
        <v>1456</v>
      </c>
      <c r="D600" s="316" t="s">
        <v>1456</v>
      </c>
      <c r="E600" s="317">
        <v>133.89999999999998</v>
      </c>
      <c r="F600" s="317">
        <v>29.447862900000001</v>
      </c>
      <c r="G600" s="317">
        <v>31.778569805291614</v>
      </c>
      <c r="H600" s="317">
        <v>34.337260966346918</v>
      </c>
      <c r="I600" s="318">
        <v>25.643958899437585</v>
      </c>
      <c r="J600" s="318">
        <v>53.446121178148303</v>
      </c>
      <c r="K600" s="319">
        <v>38.759864370744204</v>
      </c>
      <c r="L600" s="319">
        <v>13.115905471306618</v>
      </c>
      <c r="M600" s="319">
        <f t="shared" si="9"/>
        <v>13.115905471306618</v>
      </c>
      <c r="N600" s="317">
        <v>17.56219742607956</v>
      </c>
      <c r="O600" s="315" t="s">
        <v>1148</v>
      </c>
      <c r="P600" s="318">
        <v>280</v>
      </c>
      <c r="R600" s="320">
        <v>137.77777777777777</v>
      </c>
      <c r="S600" s="318">
        <v>46.7</v>
      </c>
      <c r="T600" s="318">
        <v>226.28</v>
      </c>
      <c r="U600" s="318">
        <v>144</v>
      </c>
      <c r="V600" s="315">
        <v>0.18</v>
      </c>
      <c r="W600" s="318">
        <v>55</v>
      </c>
      <c r="X600" s="315">
        <v>32</v>
      </c>
      <c r="Y600" s="315" t="s">
        <v>1149</v>
      </c>
      <c r="Z600" s="315">
        <v>0</v>
      </c>
      <c r="AA600" s="315" t="s">
        <v>1190</v>
      </c>
    </row>
    <row r="601" spans="1:27" s="315" customFormat="1">
      <c r="A601" s="315" t="s">
        <v>1145</v>
      </c>
      <c r="B601" s="315" t="s">
        <v>1451</v>
      </c>
      <c r="C601" s="316" t="s">
        <v>1457</v>
      </c>
      <c r="D601" s="316" t="s">
        <v>1457</v>
      </c>
      <c r="E601" s="317">
        <v>46.089999999999996</v>
      </c>
      <c r="F601" s="317">
        <v>6.6669668</v>
      </c>
      <c r="G601" s="317">
        <v>6.7237233723554661</v>
      </c>
      <c r="H601" s="317">
        <v>6.736698315948499</v>
      </c>
      <c r="I601" s="318">
        <v>14.616399036555652</v>
      </c>
      <c r="J601" s="318">
        <v>54.350769866547097</v>
      </c>
      <c r="K601" s="319">
        <v>34.360907246463</v>
      </c>
      <c r="L601" s="319">
        <v>19.744508209907348</v>
      </c>
      <c r="M601" s="319">
        <f t="shared" si="9"/>
        <v>19.744508209907348</v>
      </c>
      <c r="N601" s="317">
        <v>9.1002438339462959</v>
      </c>
      <c r="O601" s="315" t="s">
        <v>1148</v>
      </c>
      <c r="P601" s="318">
        <v>284</v>
      </c>
      <c r="R601" s="320">
        <v>140</v>
      </c>
      <c r="S601" s="318">
        <v>46.3</v>
      </c>
      <c r="T601" s="318">
        <v>212.98</v>
      </c>
      <c r="U601" s="318">
        <v>176</v>
      </c>
      <c r="V601" s="315">
        <v>0.18</v>
      </c>
      <c r="W601" s="318">
        <v>55</v>
      </c>
      <c r="X601" s="315">
        <v>8</v>
      </c>
      <c r="Y601" s="315" t="s">
        <v>1149</v>
      </c>
      <c r="Z601" s="315">
        <v>0</v>
      </c>
      <c r="AA601" s="315" t="s">
        <v>1190</v>
      </c>
    </row>
  </sheetData>
  <autoFilter ref="A1:AA601" xr:uid="{2B415DF8-5764-45B7-AFBB-7CA4B94F2AC6}"/>
  <pageMargins left="0.7" right="0.7" top="0.75" bottom="0.75" header="0.3" footer="0.3"/>
  <headerFooter>
    <oddHeader>&amp;C&amp;"Calibri"&amp;8&amp;K000000 For Internal Use - For Internal Distribution Only&amp;1#_x000D_</oddHead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5518C-51C1-46DB-BD43-6F5B6316A760}">
  <dimension ref="A1:AC601"/>
  <sheetViews>
    <sheetView workbookViewId="0">
      <pane ySplit="1" topLeftCell="A332" activePane="bottomLeft" state="frozen"/>
      <selection activeCell="B1" sqref="B1"/>
      <selection pane="bottomLeft" activeCell="C604" sqref="C604"/>
    </sheetView>
  </sheetViews>
  <sheetFormatPr defaultRowHeight="14"/>
  <cols>
    <col min="1" max="1" width="12.08203125" style="315" customWidth="1"/>
    <col min="2" max="2" width="16.08203125" style="315" bestFit="1" customWidth="1"/>
    <col min="3" max="3" width="17.9140625" style="316" customWidth="1"/>
    <col min="4" max="4" width="19.9140625" style="316" customWidth="1"/>
    <col min="5" max="6" width="32.5" style="316" bestFit="1" customWidth="1"/>
    <col min="7" max="7" width="20.33203125" style="317" bestFit="1" customWidth="1"/>
    <col min="8" max="8" width="21.33203125" style="317" bestFit="1" customWidth="1"/>
    <col min="9" max="9" width="17.33203125" style="317" bestFit="1" customWidth="1"/>
    <col min="10" max="10" width="19" style="317" bestFit="1" customWidth="1"/>
    <col min="11" max="11" width="15.33203125" style="318" customWidth="1"/>
    <col min="12" max="12" width="16.83203125" style="318" customWidth="1"/>
    <col min="13" max="13" width="17.6640625" style="319" customWidth="1"/>
    <col min="14" max="14" width="34" style="319" bestFit="1" customWidth="1"/>
    <col min="15" max="15" width="34" style="319" customWidth="1"/>
    <col min="16" max="16" width="20.5" style="317" customWidth="1"/>
    <col min="17" max="17" width="8.6640625" style="315"/>
    <col min="18" max="18" width="22.5" style="318" bestFit="1" customWidth="1"/>
    <col min="19" max="19" width="18" style="315" bestFit="1" customWidth="1"/>
    <col min="20" max="20" width="12.5" style="320" bestFit="1" customWidth="1"/>
    <col min="21" max="21" width="8.6640625" style="318"/>
    <col min="22" max="22" width="17.33203125" style="318" bestFit="1" customWidth="1"/>
    <col min="23" max="23" width="8.6640625" style="318"/>
    <col min="24" max="24" width="8.6640625" style="315"/>
    <col min="25" max="25" width="21.58203125" style="318" customWidth="1"/>
    <col min="26" max="26" width="8.6640625" style="315"/>
    <col min="27" max="27" width="11.5" style="315" bestFit="1" customWidth="1"/>
    <col min="28" max="28" width="8.6640625" style="315"/>
    <col min="29" max="29" width="27.33203125" style="315" bestFit="1" customWidth="1"/>
    <col min="30" max="16384" width="8.6640625" style="315"/>
  </cols>
  <sheetData>
    <row r="1" spans="1:29" s="346" customFormat="1" ht="56">
      <c r="A1" s="346" t="s">
        <v>1113</v>
      </c>
      <c r="B1" s="346" t="s">
        <v>361</v>
      </c>
      <c r="C1" s="314" t="s">
        <v>1047</v>
      </c>
      <c r="D1" s="314" t="s">
        <v>1048</v>
      </c>
      <c r="E1" s="310" t="s">
        <v>673</v>
      </c>
      <c r="F1" s="310" t="s">
        <v>1114</v>
      </c>
      <c r="G1" s="311" t="s">
        <v>1115</v>
      </c>
      <c r="H1" s="311" t="s">
        <v>1116</v>
      </c>
      <c r="I1" s="311" t="s">
        <v>1117</v>
      </c>
      <c r="J1" s="311" t="s">
        <v>1118</v>
      </c>
      <c r="K1" s="347" t="s">
        <v>1119</v>
      </c>
      <c r="L1" s="347" t="s">
        <v>1120</v>
      </c>
      <c r="M1" s="348" t="s">
        <v>1121</v>
      </c>
      <c r="N1" s="348" t="s">
        <v>1122</v>
      </c>
      <c r="O1" s="348" t="s">
        <v>1123</v>
      </c>
      <c r="P1" s="311" t="s">
        <v>1124</v>
      </c>
      <c r="Q1" s="346" t="s">
        <v>1125</v>
      </c>
      <c r="R1" s="347" t="s">
        <v>1126</v>
      </c>
      <c r="S1" s="346" t="s">
        <v>1127</v>
      </c>
      <c r="T1" s="313" t="s">
        <v>1128</v>
      </c>
      <c r="U1" s="347" t="s">
        <v>1129</v>
      </c>
      <c r="V1" s="347" t="s">
        <v>1130</v>
      </c>
      <c r="W1" s="347" t="s">
        <v>1131</v>
      </c>
      <c r="X1" s="346" t="s">
        <v>1132</v>
      </c>
      <c r="Y1" s="347" t="s">
        <v>1133</v>
      </c>
      <c r="Z1" s="346" t="s">
        <v>1134</v>
      </c>
      <c r="AA1" s="346" t="s">
        <v>1135</v>
      </c>
      <c r="AB1" s="346" t="s">
        <v>1136</v>
      </c>
      <c r="AC1" s="346" t="s">
        <v>1137</v>
      </c>
    </row>
    <row r="2" spans="1:29">
      <c r="A2" s="315" t="s">
        <v>1361</v>
      </c>
      <c r="B2" s="315" t="s">
        <v>1146</v>
      </c>
      <c r="C2" s="329">
        <v>6.1194305555555504</v>
      </c>
      <c r="D2" s="329">
        <v>105.286388888888</v>
      </c>
      <c r="E2" s="316" t="s">
        <v>1147</v>
      </c>
      <c r="F2" s="316" t="s">
        <v>1147</v>
      </c>
      <c r="G2" s="317">
        <v>3.62</v>
      </c>
      <c r="H2" s="317">
        <v>0.68135285346569807</v>
      </c>
      <c r="I2" s="317">
        <v>0.68135285346569807</v>
      </c>
      <c r="J2" s="317">
        <v>0.68135285346569807</v>
      </c>
      <c r="K2" s="318">
        <v>18.821902029439173</v>
      </c>
      <c r="L2" s="318">
        <v>56.612852659583702</v>
      </c>
      <c r="M2" s="319">
        <v>42.779693180893105</v>
      </c>
      <c r="N2" s="319">
        <v>23.957791151453932</v>
      </c>
      <c r="O2" s="319">
        <f t="shared" ref="O2:O65" si="0">IF(N2&lt;0,0,N2)</f>
        <v>23.957791151453932</v>
      </c>
      <c r="P2" s="317">
        <v>0.86727203968263245</v>
      </c>
      <c r="Q2" s="315" t="s">
        <v>1148</v>
      </c>
      <c r="R2" s="318">
        <v>159</v>
      </c>
      <c r="T2" s="320">
        <v>70.555555555555557</v>
      </c>
      <c r="U2" s="318">
        <v>28</v>
      </c>
      <c r="V2" s="318">
        <v>65</v>
      </c>
      <c r="W2" s="318">
        <v>55.2</v>
      </c>
      <c r="X2" s="315">
        <v>0.25</v>
      </c>
      <c r="Y2" s="318">
        <v>1000</v>
      </c>
      <c r="Z2" s="315">
        <v>1</v>
      </c>
      <c r="AA2" s="315" t="s">
        <v>1149</v>
      </c>
      <c r="AB2" s="315">
        <v>0</v>
      </c>
      <c r="AC2" s="315" t="s">
        <v>1150</v>
      </c>
    </row>
    <row r="3" spans="1:29">
      <c r="A3" s="315" t="s">
        <v>1361</v>
      </c>
      <c r="B3" s="315" t="s">
        <v>1146</v>
      </c>
      <c r="C3" s="329">
        <v>6.1194305555555504</v>
      </c>
      <c r="D3" s="329">
        <v>105.286388888888</v>
      </c>
      <c r="E3" s="316" t="s">
        <v>1151</v>
      </c>
      <c r="F3" s="316" t="s">
        <v>1151</v>
      </c>
      <c r="G3" s="317">
        <v>4.29</v>
      </c>
      <c r="H3" s="317">
        <v>1.548225667032777</v>
      </c>
      <c r="I3" s="317">
        <v>1.548225667032777</v>
      </c>
      <c r="J3" s="317">
        <v>1.548225667032777</v>
      </c>
      <c r="K3" s="318">
        <v>36.089176387710417</v>
      </c>
      <c r="L3" s="318">
        <v>56.626625930249801</v>
      </c>
      <c r="M3" s="319">
        <v>42.775134339439703</v>
      </c>
      <c r="N3" s="319">
        <v>6.6859579517292858</v>
      </c>
      <c r="O3" s="319">
        <f t="shared" si="0"/>
        <v>6.6859579517292858</v>
      </c>
      <c r="P3" s="317">
        <v>0.2868275961291864</v>
      </c>
      <c r="Q3" s="315" t="s">
        <v>1148</v>
      </c>
      <c r="R3" s="318">
        <v>161</v>
      </c>
      <c r="T3" s="320">
        <v>71.666666666666671</v>
      </c>
      <c r="U3" s="318">
        <v>30</v>
      </c>
      <c r="V3" s="318">
        <v>56</v>
      </c>
      <c r="W3" s="318">
        <v>43.5</v>
      </c>
      <c r="X3" s="315">
        <v>0.25</v>
      </c>
      <c r="Y3" s="318">
        <v>2600</v>
      </c>
      <c r="Z3" s="315">
        <v>2</v>
      </c>
      <c r="AA3" s="315" t="s">
        <v>1149</v>
      </c>
      <c r="AB3" s="315">
        <v>0</v>
      </c>
      <c r="AC3" s="315" t="s">
        <v>1150</v>
      </c>
    </row>
    <row r="4" spans="1:29">
      <c r="A4" s="315" t="s">
        <v>1161</v>
      </c>
      <c r="B4" s="315" t="s">
        <v>584</v>
      </c>
      <c r="C4" s="329">
        <v>5.2101175</v>
      </c>
      <c r="D4" s="329">
        <v>104.72277800000001</v>
      </c>
      <c r="E4" s="316" t="s">
        <v>1152</v>
      </c>
      <c r="F4" s="316" t="s">
        <v>1153</v>
      </c>
      <c r="G4" s="317">
        <v>230.59999999999994</v>
      </c>
      <c r="H4" s="317">
        <v>74.262301300000004</v>
      </c>
      <c r="I4" s="317">
        <v>79.6660989817657</v>
      </c>
      <c r="J4" s="317">
        <v>80.942711902350254</v>
      </c>
      <c r="K4" s="318">
        <v>35.100915829293264</v>
      </c>
      <c r="L4" s="318">
        <v>55.0109213760526</v>
      </c>
      <c r="M4" s="319">
        <v>38.529838075710998</v>
      </c>
      <c r="N4" s="319">
        <v>3.4289222464177342</v>
      </c>
      <c r="O4" s="319">
        <f t="shared" si="0"/>
        <v>3.4289222464177342</v>
      </c>
      <c r="P4" s="317">
        <v>7.9070947002392931</v>
      </c>
      <c r="Q4" s="315" t="s">
        <v>1148</v>
      </c>
      <c r="R4" s="318">
        <v>118</v>
      </c>
      <c r="T4" s="320">
        <v>116.11111111111111</v>
      </c>
      <c r="U4" s="318">
        <v>42</v>
      </c>
      <c r="V4" s="318">
        <v>30</v>
      </c>
      <c r="W4" s="318">
        <v>164</v>
      </c>
      <c r="X4" s="315">
        <v>0.21</v>
      </c>
      <c r="Y4" s="318">
        <v>150</v>
      </c>
      <c r="Z4" s="315">
        <v>12</v>
      </c>
      <c r="AA4" s="315" t="s">
        <v>1154</v>
      </c>
      <c r="AB4" s="315">
        <v>9</v>
      </c>
      <c r="AC4" s="315" t="s">
        <v>1150</v>
      </c>
    </row>
    <row r="5" spans="1:29">
      <c r="A5" s="315" t="s">
        <v>1161</v>
      </c>
      <c r="B5" s="315" t="s">
        <v>584</v>
      </c>
      <c r="C5" s="329">
        <v>5.2101175</v>
      </c>
      <c r="D5" s="329">
        <v>104.72277800000001</v>
      </c>
      <c r="E5" s="316" t="s">
        <v>1155</v>
      </c>
      <c r="F5" s="316" t="s">
        <v>1156</v>
      </c>
      <c r="G5" s="317">
        <v>43.699999999999996</v>
      </c>
      <c r="H5" s="317">
        <v>10.1335262</v>
      </c>
      <c r="I5" s="317">
        <v>11.472260002101649</v>
      </c>
      <c r="J5" s="317">
        <v>12.800666023909105</v>
      </c>
      <c r="K5" s="318">
        <v>29.292141931142119</v>
      </c>
      <c r="L5" s="318">
        <v>67.341215561661798</v>
      </c>
      <c r="M5" s="319">
        <v>30.301619508314399</v>
      </c>
      <c r="N5" s="319">
        <v>1.0094775771722801</v>
      </c>
      <c r="O5" s="319">
        <f t="shared" si="0"/>
        <v>1.0094775771722801</v>
      </c>
      <c r="P5" s="317">
        <v>0.44114170122428642</v>
      </c>
      <c r="Q5" s="315" t="s">
        <v>1148</v>
      </c>
      <c r="R5" s="318">
        <v>215</v>
      </c>
      <c r="T5" s="320">
        <v>101.66666666666667</v>
      </c>
      <c r="U5" s="318">
        <v>41.2</v>
      </c>
      <c r="V5" s="318">
        <v>16.405000000000001</v>
      </c>
      <c r="W5" s="318">
        <v>108</v>
      </c>
      <c r="X5" s="315">
        <v>0.22</v>
      </c>
      <c r="Y5" s="318">
        <v>1000</v>
      </c>
      <c r="Z5" s="315">
        <v>10</v>
      </c>
      <c r="AA5" s="315" t="s">
        <v>1154</v>
      </c>
      <c r="AB5" s="315">
        <v>2</v>
      </c>
      <c r="AC5" s="315" t="s">
        <v>1157</v>
      </c>
    </row>
    <row r="6" spans="1:29">
      <c r="A6" s="315" t="s">
        <v>1943</v>
      </c>
      <c r="B6" s="315" t="s">
        <v>584</v>
      </c>
      <c r="C6" s="329">
        <v>5.2101175</v>
      </c>
      <c r="D6" s="329">
        <v>104.72277800000001</v>
      </c>
      <c r="E6" s="316" t="s">
        <v>1159</v>
      </c>
      <c r="F6" s="316" t="s">
        <v>1160</v>
      </c>
      <c r="G6" s="317">
        <v>21.799999999999994</v>
      </c>
      <c r="H6" s="317">
        <v>4.8406010999999998</v>
      </c>
      <c r="I6" s="317">
        <v>4.8622018072166417</v>
      </c>
      <c r="J6" s="317">
        <v>4.8622018072166417</v>
      </c>
      <c r="K6" s="318">
        <v>22.303678014755242</v>
      </c>
      <c r="L6" s="318">
        <v>58.515372939580502</v>
      </c>
      <c r="M6" s="319">
        <v>36.953471466329802</v>
      </c>
      <c r="N6" s="319">
        <v>14.64979345157456</v>
      </c>
      <c r="O6" s="319">
        <f t="shared" si="0"/>
        <v>14.64979345157456</v>
      </c>
      <c r="P6" s="317">
        <v>3.1936549724432535</v>
      </c>
      <c r="Q6" s="315" t="s">
        <v>1148</v>
      </c>
      <c r="R6" s="318">
        <v>220</v>
      </c>
      <c r="T6" s="320">
        <v>104.44444444444444</v>
      </c>
      <c r="U6" s="318">
        <v>43.9</v>
      </c>
      <c r="V6" s="318">
        <v>16.405000000000001</v>
      </c>
      <c r="W6" s="318">
        <v>43</v>
      </c>
      <c r="X6" s="315">
        <v>0.18</v>
      </c>
      <c r="Y6" s="318">
        <v>250</v>
      </c>
      <c r="Z6" s="315">
        <v>7</v>
      </c>
      <c r="AA6" s="315" t="s">
        <v>1154</v>
      </c>
      <c r="AB6" s="315">
        <v>2</v>
      </c>
      <c r="AC6" s="315" t="s">
        <v>1150</v>
      </c>
    </row>
    <row r="7" spans="1:29">
      <c r="A7" s="315" t="s">
        <v>1943</v>
      </c>
      <c r="B7" s="315" t="s">
        <v>584</v>
      </c>
      <c r="C7" s="329">
        <v>5.2101175</v>
      </c>
      <c r="D7" s="329">
        <v>104.72277800000001</v>
      </c>
      <c r="E7" s="316" t="s">
        <v>1162</v>
      </c>
      <c r="F7" s="316" t="s">
        <v>1163</v>
      </c>
      <c r="G7" s="317">
        <v>25.299999999999997</v>
      </c>
      <c r="H7" s="317">
        <v>3.8946448</v>
      </c>
      <c r="I7" s="317">
        <v>4.2706536932117816</v>
      </c>
      <c r="J7" s="317">
        <v>5.806444876870831</v>
      </c>
      <c r="K7" s="318">
        <v>22.950375007394591</v>
      </c>
      <c r="L7" s="318">
        <v>55.8713510804116</v>
      </c>
      <c r="M7" s="319">
        <v>35.665513417582702</v>
      </c>
      <c r="N7" s="319">
        <v>12.715138410188111</v>
      </c>
      <c r="O7" s="319">
        <f t="shared" si="0"/>
        <v>12.715138410188111</v>
      </c>
      <c r="P7" s="317">
        <v>3.2169300177775915</v>
      </c>
      <c r="Q7" s="315" t="s">
        <v>1148</v>
      </c>
      <c r="R7" s="318">
        <v>221</v>
      </c>
      <c r="T7" s="320">
        <v>105</v>
      </c>
      <c r="U7" s="318">
        <v>43.9</v>
      </c>
      <c r="V7" s="318">
        <v>19.686</v>
      </c>
      <c r="W7" s="318">
        <v>66</v>
      </c>
      <c r="X7" s="315">
        <v>0.16</v>
      </c>
      <c r="Y7" s="318">
        <v>150</v>
      </c>
      <c r="Z7" s="315">
        <v>4</v>
      </c>
      <c r="AA7" s="315" t="s">
        <v>1154</v>
      </c>
      <c r="AB7" s="315">
        <v>2</v>
      </c>
      <c r="AC7" s="315" t="s">
        <v>1150</v>
      </c>
    </row>
    <row r="8" spans="1:29">
      <c r="A8" s="315" t="s">
        <v>1161</v>
      </c>
      <c r="B8" s="315" t="s">
        <v>584</v>
      </c>
      <c r="C8" s="329">
        <v>5.2101175</v>
      </c>
      <c r="D8" s="329">
        <v>104.72277800000001</v>
      </c>
      <c r="E8" s="316" t="s">
        <v>1164</v>
      </c>
      <c r="F8" s="316" t="s">
        <v>1165</v>
      </c>
      <c r="G8" s="317">
        <v>25.539999999999996</v>
      </c>
      <c r="H8" s="317">
        <v>7.6000674999999998</v>
      </c>
      <c r="I8" s="317">
        <v>8.1197849866134231</v>
      </c>
      <c r="J8" s="317">
        <v>9.0921885866134229</v>
      </c>
      <c r="K8" s="318">
        <v>35.599798694649273</v>
      </c>
      <c r="L8" s="318">
        <v>51.058840834657502</v>
      </c>
      <c r="M8" s="319">
        <v>40.296265135735297</v>
      </c>
      <c r="N8" s="319">
        <v>4.6964664410860237</v>
      </c>
      <c r="O8" s="319">
        <f t="shared" si="0"/>
        <v>4.6964664410860237</v>
      </c>
      <c r="P8" s="317">
        <v>1.1994775290533704</v>
      </c>
      <c r="Q8" s="315" t="s">
        <v>1148</v>
      </c>
      <c r="R8" s="318">
        <v>239</v>
      </c>
      <c r="T8" s="320">
        <v>115</v>
      </c>
      <c r="U8" s="318">
        <v>42</v>
      </c>
      <c r="V8" s="318">
        <v>36.091000000000001</v>
      </c>
      <c r="W8" s="318">
        <v>170</v>
      </c>
      <c r="X8" s="315">
        <v>0.19</v>
      </c>
      <c r="Y8" s="318">
        <v>150</v>
      </c>
      <c r="Z8" s="315">
        <v>6</v>
      </c>
      <c r="AA8" s="315" t="s">
        <v>1154</v>
      </c>
      <c r="AB8" s="315">
        <v>1</v>
      </c>
      <c r="AC8" s="315" t="s">
        <v>1150</v>
      </c>
    </row>
    <row r="9" spans="1:29">
      <c r="A9" s="315" t="s">
        <v>1161</v>
      </c>
      <c r="B9" s="315" t="s">
        <v>584</v>
      </c>
      <c r="C9" s="329">
        <v>5.2101175</v>
      </c>
      <c r="D9" s="329">
        <v>104.72277800000001</v>
      </c>
      <c r="E9" s="316" t="s">
        <v>1166</v>
      </c>
      <c r="F9" s="316" t="s">
        <v>1167</v>
      </c>
      <c r="G9" s="317">
        <v>1.0749999999999997</v>
      </c>
      <c r="H9" s="317">
        <v>0</v>
      </c>
      <c r="I9" s="317">
        <v>0</v>
      </c>
      <c r="J9" s="317">
        <v>0</v>
      </c>
      <c r="K9" s="318">
        <v>0</v>
      </c>
      <c r="L9" s="318">
        <v>44.464515390184197</v>
      </c>
      <c r="M9" s="319">
        <v>41.538067744000301</v>
      </c>
      <c r="N9" s="319">
        <v>41.538067744000301</v>
      </c>
      <c r="O9" s="319">
        <f t="shared" si="0"/>
        <v>41.538067744000301</v>
      </c>
      <c r="P9" s="317">
        <v>0.44653422824800315</v>
      </c>
      <c r="Q9" s="315" t="s">
        <v>1168</v>
      </c>
      <c r="R9" s="318">
        <v>240</v>
      </c>
      <c r="T9" s="320">
        <v>115.55555555555556</v>
      </c>
      <c r="U9" s="318">
        <v>41</v>
      </c>
      <c r="V9" s="318">
        <v>15.748799999999999</v>
      </c>
      <c r="W9" s="318">
        <v>183</v>
      </c>
      <c r="X9" s="315">
        <v>0.183</v>
      </c>
      <c r="Y9" s="318">
        <v>44</v>
      </c>
      <c r="Z9" s="315">
        <v>0</v>
      </c>
      <c r="AA9" s="315" t="s">
        <v>1149</v>
      </c>
      <c r="AB9" s="315">
        <v>0</v>
      </c>
      <c r="AC9" s="315" t="s">
        <v>1157</v>
      </c>
    </row>
    <row r="10" spans="1:29">
      <c r="A10" s="315" t="s">
        <v>1161</v>
      </c>
      <c r="B10" s="315" t="s">
        <v>584</v>
      </c>
      <c r="C10" s="329">
        <v>5.2101175</v>
      </c>
      <c r="D10" s="329">
        <v>104.72277800000001</v>
      </c>
      <c r="E10" s="316" t="s">
        <v>1169</v>
      </c>
      <c r="F10" s="316" t="s">
        <v>1170</v>
      </c>
      <c r="G10" s="317">
        <v>45.569999999999986</v>
      </c>
      <c r="H10" s="317">
        <v>14.282691699999999</v>
      </c>
      <c r="I10" s="317">
        <v>15.643114253781915</v>
      </c>
      <c r="J10" s="317">
        <v>16.453246488992544</v>
      </c>
      <c r="K10" s="318">
        <v>36.105434472224154</v>
      </c>
      <c r="L10" s="318">
        <v>53.370986936080598</v>
      </c>
      <c r="M10" s="319">
        <v>39.028623470133397</v>
      </c>
      <c r="N10" s="319">
        <v>2.9231889979092429</v>
      </c>
      <c r="O10" s="319">
        <f t="shared" si="0"/>
        <v>2.9231889979092429</v>
      </c>
      <c r="P10" s="317">
        <v>1.3320972263472415</v>
      </c>
      <c r="Q10" s="315" t="s">
        <v>1148</v>
      </c>
      <c r="R10" s="318">
        <v>240</v>
      </c>
      <c r="T10" s="320">
        <v>115.55555555555556</v>
      </c>
      <c r="U10" s="318">
        <v>41</v>
      </c>
      <c r="V10" s="318">
        <v>10.4992</v>
      </c>
      <c r="W10" s="318">
        <v>144</v>
      </c>
      <c r="X10" s="315">
        <v>0.23400000000000001</v>
      </c>
      <c r="Y10" s="318">
        <v>526</v>
      </c>
      <c r="Z10" s="315">
        <v>4</v>
      </c>
      <c r="AA10" s="315" t="s">
        <v>1154</v>
      </c>
      <c r="AB10" s="315">
        <v>1</v>
      </c>
      <c r="AC10" s="315" t="s">
        <v>1157</v>
      </c>
    </row>
    <row r="11" spans="1:29">
      <c r="A11" s="315" t="s">
        <v>1161</v>
      </c>
      <c r="B11" s="315" t="s">
        <v>584</v>
      </c>
      <c r="C11" s="329">
        <v>5.2101175</v>
      </c>
      <c r="D11" s="329">
        <v>104.72277800000001</v>
      </c>
      <c r="E11" s="316" t="s">
        <v>1171</v>
      </c>
      <c r="F11" s="316" t="s">
        <v>1172</v>
      </c>
      <c r="G11" s="317">
        <v>7.6279999999999983</v>
      </c>
      <c r="H11" s="317">
        <v>1.7774671</v>
      </c>
      <c r="I11" s="317">
        <v>2.0382766071031968</v>
      </c>
      <c r="J11" s="317">
        <v>2.5233984071031967</v>
      </c>
      <c r="K11" s="318">
        <v>33.080734230508618</v>
      </c>
      <c r="L11" s="318">
        <v>51.816488885401697</v>
      </c>
      <c r="M11" s="319">
        <v>39.3113068815425</v>
      </c>
      <c r="N11" s="319">
        <v>6.2305726510338815</v>
      </c>
      <c r="O11" s="319">
        <f t="shared" si="0"/>
        <v>6.2305726510338815</v>
      </c>
      <c r="P11" s="317">
        <v>0.47526808182086433</v>
      </c>
      <c r="Q11" s="315" t="s">
        <v>1148</v>
      </c>
      <c r="R11" s="318">
        <v>240</v>
      </c>
      <c r="T11" s="320">
        <v>115.55555555555556</v>
      </c>
      <c r="U11" s="318">
        <v>41</v>
      </c>
      <c r="V11" s="318">
        <v>14.1083</v>
      </c>
      <c r="W11" s="318">
        <v>108</v>
      </c>
      <c r="X11" s="315">
        <v>0.23400000000000001</v>
      </c>
      <c r="Y11" s="318">
        <v>526</v>
      </c>
      <c r="Z11" s="315">
        <v>3</v>
      </c>
      <c r="AA11" s="315" t="s">
        <v>1149</v>
      </c>
      <c r="AB11" s="315">
        <v>0</v>
      </c>
      <c r="AC11" s="315" t="s">
        <v>1157</v>
      </c>
    </row>
    <row r="12" spans="1:29">
      <c r="A12" s="315" t="s">
        <v>1161</v>
      </c>
      <c r="B12" s="315" t="s">
        <v>584</v>
      </c>
      <c r="C12" s="329">
        <v>5.2101175</v>
      </c>
      <c r="D12" s="329">
        <v>104.72277800000001</v>
      </c>
      <c r="E12" s="316" t="s">
        <v>1174</v>
      </c>
      <c r="F12" s="316" t="s">
        <v>1175</v>
      </c>
      <c r="G12" s="317">
        <v>6.4719999999999986</v>
      </c>
      <c r="H12" s="317">
        <v>1.7519001999999999</v>
      </c>
      <c r="I12" s="317">
        <v>1.7519001999999999</v>
      </c>
      <c r="J12" s="317">
        <v>1.7519001999999999</v>
      </c>
      <c r="K12" s="318">
        <v>27.068915327564902</v>
      </c>
      <c r="L12" s="318">
        <v>53.207355562324899</v>
      </c>
      <c r="M12" s="319">
        <v>39.057666476679195</v>
      </c>
      <c r="N12" s="319">
        <v>11.988751149114293</v>
      </c>
      <c r="O12" s="319">
        <f t="shared" si="0"/>
        <v>11.988751149114293</v>
      </c>
      <c r="P12" s="317">
        <v>0.77591197437067694</v>
      </c>
      <c r="Q12" s="315" t="s">
        <v>1148</v>
      </c>
      <c r="R12" s="318">
        <v>240</v>
      </c>
      <c r="T12" s="320">
        <v>115.55555555555556</v>
      </c>
      <c r="U12" s="318">
        <v>41</v>
      </c>
      <c r="V12" s="318">
        <v>11.1554</v>
      </c>
      <c r="W12" s="318">
        <v>72</v>
      </c>
      <c r="X12" s="315">
        <v>0.23699999999999999</v>
      </c>
      <c r="Y12" s="318">
        <v>524</v>
      </c>
      <c r="Z12" s="315">
        <v>1</v>
      </c>
      <c r="AA12" s="315" t="s">
        <v>1154</v>
      </c>
      <c r="AB12" s="315">
        <v>1</v>
      </c>
      <c r="AC12" s="315" t="s">
        <v>1157</v>
      </c>
    </row>
    <row r="13" spans="1:29">
      <c r="A13" s="315" t="s">
        <v>1161</v>
      </c>
      <c r="B13" s="315" t="s">
        <v>584</v>
      </c>
      <c r="C13" s="329">
        <v>5.2101175</v>
      </c>
      <c r="D13" s="329">
        <v>104.72277800000001</v>
      </c>
      <c r="E13" s="316" t="s">
        <v>1176</v>
      </c>
      <c r="F13" s="316" t="s">
        <v>1177</v>
      </c>
      <c r="G13" s="317">
        <v>228.12999999999997</v>
      </c>
      <c r="H13" s="317">
        <v>122.7483538</v>
      </c>
      <c r="I13" s="317">
        <v>131.73263836234693</v>
      </c>
      <c r="J13" s="317">
        <v>133.26633770151187</v>
      </c>
      <c r="K13" s="318">
        <v>58.416840267177442</v>
      </c>
      <c r="L13" s="318">
        <v>52.895345733758198</v>
      </c>
      <c r="M13" s="319">
        <v>39.996934043544101</v>
      </c>
      <c r="N13" s="319">
        <v>-18.41990622363334</v>
      </c>
      <c r="O13" s="319">
        <f t="shared" si="0"/>
        <v>0</v>
      </c>
      <c r="P13" s="317">
        <v>0</v>
      </c>
      <c r="Q13" s="315" t="s">
        <v>1148</v>
      </c>
      <c r="R13" s="318">
        <v>241</v>
      </c>
      <c r="T13" s="320">
        <v>116.11111111111111</v>
      </c>
      <c r="U13" s="318">
        <v>42</v>
      </c>
      <c r="V13" s="318">
        <v>49.215000000000003</v>
      </c>
      <c r="W13" s="318">
        <v>236</v>
      </c>
      <c r="X13" s="315">
        <v>0.25</v>
      </c>
      <c r="Y13" s="318">
        <v>700</v>
      </c>
      <c r="Z13" s="315">
        <v>16</v>
      </c>
      <c r="AA13" s="315" t="s">
        <v>1154</v>
      </c>
      <c r="AB13" s="315">
        <v>10</v>
      </c>
      <c r="AC13" s="315" t="s">
        <v>1150</v>
      </c>
    </row>
    <row r="14" spans="1:29">
      <c r="A14" s="315" t="s">
        <v>1161</v>
      </c>
      <c r="B14" s="315" t="s">
        <v>584</v>
      </c>
      <c r="C14" s="329">
        <v>5.2101175</v>
      </c>
      <c r="D14" s="329">
        <v>104.72277800000001</v>
      </c>
      <c r="E14" s="316" t="s">
        <v>1178</v>
      </c>
      <c r="F14" s="316" t="s">
        <v>1179</v>
      </c>
      <c r="G14" s="317">
        <v>30.899999999999991</v>
      </c>
      <c r="H14" s="317">
        <v>10.7111907</v>
      </c>
      <c r="I14" s="317">
        <v>10.734478407216642</v>
      </c>
      <c r="J14" s="317">
        <v>10.736047344653752</v>
      </c>
      <c r="K14" s="318">
        <v>34.744489788523481</v>
      </c>
      <c r="L14" s="318">
        <v>51.796329653762001</v>
      </c>
      <c r="M14" s="319">
        <v>38.826723868142999</v>
      </c>
      <c r="N14" s="319">
        <v>4.0822340796195178</v>
      </c>
      <c r="O14" s="319">
        <f t="shared" si="0"/>
        <v>4.0822340796195178</v>
      </c>
      <c r="P14" s="317">
        <v>1.2614103306024307</v>
      </c>
      <c r="Q14" s="315" t="s">
        <v>1148</v>
      </c>
      <c r="R14" s="318">
        <v>241</v>
      </c>
      <c r="T14" s="320">
        <v>116.11111111111111</v>
      </c>
      <c r="U14" s="318">
        <v>42.3</v>
      </c>
      <c r="V14" s="318">
        <v>52.496000000000002</v>
      </c>
      <c r="W14" s="318">
        <v>105</v>
      </c>
      <c r="X14" s="315">
        <v>0.25</v>
      </c>
      <c r="Y14" s="318">
        <v>500</v>
      </c>
      <c r="Z14" s="315">
        <v>4</v>
      </c>
      <c r="AA14" s="315" t="s">
        <v>1149</v>
      </c>
      <c r="AB14" s="315">
        <v>0</v>
      </c>
      <c r="AC14" s="315" t="s">
        <v>1157</v>
      </c>
    </row>
    <row r="15" spans="1:29">
      <c r="A15" s="315" t="s">
        <v>1943</v>
      </c>
      <c r="B15" s="315" t="s">
        <v>584</v>
      </c>
      <c r="C15" s="329">
        <v>5.2101175</v>
      </c>
      <c r="D15" s="329">
        <v>104.72277800000001</v>
      </c>
      <c r="E15" s="316" t="s">
        <v>1180</v>
      </c>
      <c r="F15" s="316" t="s">
        <v>1181</v>
      </c>
      <c r="G15" s="317">
        <v>65.689999999999984</v>
      </c>
      <c r="H15" s="317">
        <v>19.771714899999999</v>
      </c>
      <c r="I15" s="317">
        <v>20.89609253202315</v>
      </c>
      <c r="J15" s="317">
        <v>22.502491932023151</v>
      </c>
      <c r="K15" s="318">
        <v>34.255582176926715</v>
      </c>
      <c r="L15" s="318">
        <v>52.811112591176403</v>
      </c>
      <c r="M15" s="319">
        <v>40.444144833406995</v>
      </c>
      <c r="N15" s="319">
        <v>6.1885626564802791</v>
      </c>
      <c r="O15" s="319">
        <f t="shared" si="0"/>
        <v>6.1885626564802791</v>
      </c>
      <c r="P15" s="317">
        <v>4.0652668090418942</v>
      </c>
      <c r="Q15" s="315" t="s">
        <v>1148</v>
      </c>
      <c r="R15" s="318">
        <v>241</v>
      </c>
      <c r="T15" s="320">
        <v>116.11111111111111</v>
      </c>
      <c r="U15" s="318">
        <v>42.3</v>
      </c>
      <c r="V15" s="318">
        <v>39.372</v>
      </c>
      <c r="W15" s="318">
        <v>131</v>
      </c>
      <c r="X15" s="315">
        <v>0.28000000000000003</v>
      </c>
      <c r="Y15" s="318">
        <v>500</v>
      </c>
      <c r="Z15" s="315">
        <v>7</v>
      </c>
      <c r="AA15" s="315" t="s">
        <v>1154</v>
      </c>
      <c r="AB15" s="315">
        <v>3</v>
      </c>
      <c r="AC15" s="315" t="s">
        <v>1150</v>
      </c>
    </row>
    <row r="16" spans="1:29">
      <c r="A16" s="315" t="s">
        <v>1161</v>
      </c>
      <c r="B16" s="315" t="s">
        <v>584</v>
      </c>
      <c r="C16" s="329">
        <v>5.2101175</v>
      </c>
      <c r="D16" s="329">
        <v>104.72277800000001</v>
      </c>
      <c r="E16" s="316" t="s">
        <v>1182</v>
      </c>
      <c r="F16" s="316" t="s">
        <v>1183</v>
      </c>
      <c r="G16" s="317">
        <v>41.779999999999994</v>
      </c>
      <c r="H16" s="317">
        <v>13.8134266</v>
      </c>
      <c r="I16" s="317">
        <v>15.159329804200549</v>
      </c>
      <c r="J16" s="317">
        <v>15.833266263402322</v>
      </c>
      <c r="K16" s="318">
        <v>37.896759845386129</v>
      </c>
      <c r="L16" s="318">
        <v>54.626773885283001</v>
      </c>
      <c r="M16" s="319">
        <v>38.929732420014105</v>
      </c>
      <c r="N16" s="319">
        <v>1.0329725746279763</v>
      </c>
      <c r="O16" s="319">
        <f t="shared" si="0"/>
        <v>1.0329725746279763</v>
      </c>
      <c r="P16" s="317">
        <v>0.43157594167956848</v>
      </c>
      <c r="Q16" s="315" t="s">
        <v>1148</v>
      </c>
      <c r="R16" s="318">
        <v>241</v>
      </c>
      <c r="T16" s="320">
        <v>116.11111111111111</v>
      </c>
      <c r="U16" s="318">
        <v>42.3</v>
      </c>
      <c r="V16" s="318">
        <v>32.81</v>
      </c>
      <c r="W16" s="318">
        <v>125</v>
      </c>
      <c r="X16" s="315">
        <v>0.24</v>
      </c>
      <c r="Y16" s="318">
        <v>1000</v>
      </c>
      <c r="Z16" s="315">
        <v>4</v>
      </c>
      <c r="AA16" s="315" t="s">
        <v>1154</v>
      </c>
      <c r="AB16" s="315">
        <v>2</v>
      </c>
      <c r="AC16" s="315" t="s">
        <v>1150</v>
      </c>
    </row>
    <row r="17" spans="1:29">
      <c r="A17" s="315" t="s">
        <v>1161</v>
      </c>
      <c r="B17" s="315" t="s">
        <v>584</v>
      </c>
      <c r="C17" s="329">
        <v>5.2101175</v>
      </c>
      <c r="D17" s="329">
        <v>104.72277800000001</v>
      </c>
      <c r="E17" s="316" t="s">
        <v>1184</v>
      </c>
      <c r="F17" s="316" t="s">
        <v>1185</v>
      </c>
      <c r="G17" s="317">
        <v>21.999999999999996</v>
      </c>
      <c r="H17" s="317">
        <v>10.737226</v>
      </c>
      <c r="I17" s="317">
        <v>12.912110892915619</v>
      </c>
      <c r="J17" s="317">
        <v>12.913388192915619</v>
      </c>
      <c r="K17" s="318">
        <v>58.697219058707375</v>
      </c>
      <c r="L17" s="318">
        <v>52.091324659842599</v>
      </c>
      <c r="M17" s="319">
        <v>41.632558376389198</v>
      </c>
      <c r="N17" s="319">
        <v>-17.064660682318177</v>
      </c>
      <c r="O17" s="319">
        <f t="shared" si="0"/>
        <v>0</v>
      </c>
      <c r="P17" s="317">
        <v>0</v>
      </c>
      <c r="Q17" s="315" t="s">
        <v>1148</v>
      </c>
      <c r="R17" s="318">
        <v>241</v>
      </c>
      <c r="T17" s="320">
        <v>116.11111111111111</v>
      </c>
      <c r="U17" s="318">
        <v>42.3</v>
      </c>
      <c r="V17" s="318">
        <v>39.372</v>
      </c>
      <c r="W17" s="318">
        <v>108</v>
      </c>
      <c r="X17" s="315">
        <v>0.25</v>
      </c>
      <c r="Y17" s="318">
        <v>1000</v>
      </c>
      <c r="Z17" s="315">
        <v>6</v>
      </c>
      <c r="AA17" s="315" t="s">
        <v>1154</v>
      </c>
      <c r="AB17" s="315">
        <v>2</v>
      </c>
      <c r="AC17" s="315" t="s">
        <v>1150</v>
      </c>
    </row>
    <row r="18" spans="1:29">
      <c r="A18" s="315" t="s">
        <v>1161</v>
      </c>
      <c r="B18" s="315" t="s">
        <v>584</v>
      </c>
      <c r="C18" s="329">
        <v>5.2101175</v>
      </c>
      <c r="D18" s="329">
        <v>104.72277800000001</v>
      </c>
      <c r="E18" s="316" t="s">
        <v>1186</v>
      </c>
      <c r="F18" s="316" t="s">
        <v>1187</v>
      </c>
      <c r="G18" s="317">
        <v>31.299999999999997</v>
      </c>
      <c r="H18" s="317">
        <v>4.5545555000000002</v>
      </c>
      <c r="I18" s="317">
        <v>5.7702454825478791</v>
      </c>
      <c r="J18" s="317">
        <v>10.409809940496585</v>
      </c>
      <c r="K18" s="318">
        <v>33.258178723631268</v>
      </c>
      <c r="L18" s="318">
        <v>47.751321833098999</v>
      </c>
      <c r="M18" s="319">
        <v>40.810239722443399</v>
      </c>
      <c r="N18" s="319">
        <v>7.5520609988121308</v>
      </c>
      <c r="O18" s="319">
        <f t="shared" si="0"/>
        <v>7.5520609988121308</v>
      </c>
      <c r="P18" s="317">
        <v>2.3637950926281968</v>
      </c>
      <c r="Q18" s="315" t="s">
        <v>1148</v>
      </c>
      <c r="R18" s="318">
        <v>241</v>
      </c>
      <c r="T18" s="320">
        <v>116.11111111111111</v>
      </c>
      <c r="U18" s="318">
        <v>42.3</v>
      </c>
      <c r="V18" s="318">
        <v>49.215000000000003</v>
      </c>
      <c r="W18" s="318">
        <v>147</v>
      </c>
      <c r="X18" s="315">
        <v>0.28000000000000003</v>
      </c>
      <c r="Y18" s="318">
        <v>1000</v>
      </c>
      <c r="Z18" s="315">
        <v>4</v>
      </c>
      <c r="AA18" s="315" t="s">
        <v>1154</v>
      </c>
      <c r="AB18" s="315">
        <v>2</v>
      </c>
      <c r="AC18" s="315" t="s">
        <v>1157</v>
      </c>
    </row>
    <row r="19" spans="1:29">
      <c r="A19" s="315" t="s">
        <v>1161</v>
      </c>
      <c r="B19" s="315" t="s">
        <v>1066</v>
      </c>
      <c r="C19" s="329">
        <v>4.6791344444444398</v>
      </c>
      <c r="D19" s="329">
        <v>113.7</v>
      </c>
      <c r="E19" s="316" t="s">
        <v>1188</v>
      </c>
      <c r="F19" s="316" t="s">
        <v>1189</v>
      </c>
      <c r="G19" s="317">
        <v>29.9</v>
      </c>
      <c r="H19" s="317">
        <v>1.7916493</v>
      </c>
      <c r="I19" s="317">
        <v>1.9532953</v>
      </c>
      <c r="J19" s="317">
        <v>3.2936563999999997</v>
      </c>
      <c r="K19" s="318">
        <v>11.015573244147157</v>
      </c>
      <c r="L19" s="318">
        <v>68.042130992923305</v>
      </c>
      <c r="M19" s="319">
        <v>33.474819444724901</v>
      </c>
      <c r="N19" s="319">
        <v>22.459246200577745</v>
      </c>
      <c r="O19" s="319">
        <f t="shared" si="0"/>
        <v>22.459246200577745</v>
      </c>
      <c r="P19" s="317">
        <v>6.7153146139727458</v>
      </c>
      <c r="Q19" s="315" t="s">
        <v>1148</v>
      </c>
      <c r="R19" s="318">
        <v>135</v>
      </c>
      <c r="T19" s="320">
        <v>57.222222222222221</v>
      </c>
      <c r="U19" s="318">
        <v>19</v>
      </c>
      <c r="V19" s="318">
        <v>342.7</v>
      </c>
      <c r="W19" s="318">
        <v>658</v>
      </c>
      <c r="X19" s="315">
        <v>0.28399999999999997</v>
      </c>
      <c r="Y19" s="318">
        <v>869.3</v>
      </c>
      <c r="Z19" s="315">
        <v>1</v>
      </c>
      <c r="AA19" s="315" t="s">
        <v>1149</v>
      </c>
      <c r="AB19" s="315">
        <v>0</v>
      </c>
      <c r="AC19" s="315" t="s">
        <v>1190</v>
      </c>
    </row>
    <row r="20" spans="1:29">
      <c r="A20" s="315" t="s">
        <v>1145</v>
      </c>
      <c r="B20" s="315" t="s">
        <v>1066</v>
      </c>
      <c r="C20" s="329">
        <v>4.6791344444444398</v>
      </c>
      <c r="D20" s="329">
        <v>113.7</v>
      </c>
      <c r="E20" s="316" t="s">
        <v>1191</v>
      </c>
      <c r="F20" s="316" t="s">
        <v>1192</v>
      </c>
      <c r="G20" s="317">
        <v>107.3</v>
      </c>
      <c r="H20" s="317">
        <v>21.8512615</v>
      </c>
      <c r="I20" s="317">
        <v>24.0135516</v>
      </c>
      <c r="J20" s="317">
        <v>38.194471500000006</v>
      </c>
      <c r="K20" s="318">
        <v>35.595965983224609</v>
      </c>
      <c r="L20" s="318">
        <v>58.995420749961703</v>
      </c>
      <c r="M20" s="319">
        <v>38.729073298654001</v>
      </c>
      <c r="N20" s="319">
        <v>3.1331073154293918</v>
      </c>
      <c r="O20" s="319">
        <f t="shared" si="0"/>
        <v>3.1331073154293918</v>
      </c>
      <c r="P20" s="317">
        <v>3.3618241494557375</v>
      </c>
      <c r="Q20" s="315" t="s">
        <v>1148</v>
      </c>
      <c r="R20" s="318">
        <v>137</v>
      </c>
      <c r="T20" s="320">
        <v>58.333333333333336</v>
      </c>
      <c r="U20" s="318">
        <v>20</v>
      </c>
      <c r="V20" s="318">
        <v>300</v>
      </c>
      <c r="W20" s="318">
        <v>638.70000000000005</v>
      </c>
      <c r="X20" s="315">
        <v>0.31</v>
      </c>
      <c r="Y20" s="318">
        <v>3705</v>
      </c>
      <c r="Z20" s="315">
        <v>7</v>
      </c>
      <c r="AA20" s="315" t="s">
        <v>1149</v>
      </c>
      <c r="AB20" s="315">
        <v>0</v>
      </c>
      <c r="AC20" s="315" t="s">
        <v>1190</v>
      </c>
    </row>
    <row r="21" spans="1:29">
      <c r="A21" s="315" t="s">
        <v>1145</v>
      </c>
      <c r="B21" s="315" t="s">
        <v>1066</v>
      </c>
      <c r="C21" s="329">
        <v>4.6791344444444398</v>
      </c>
      <c r="D21" s="329">
        <v>113.7</v>
      </c>
      <c r="E21" s="316" t="s">
        <v>1193</v>
      </c>
      <c r="F21" s="316" t="s">
        <v>1194</v>
      </c>
      <c r="G21" s="317">
        <v>1.2</v>
      </c>
      <c r="H21" s="317">
        <v>0.65198370000000005</v>
      </c>
      <c r="I21" s="317">
        <v>0.71080690000000002</v>
      </c>
      <c r="J21" s="317">
        <v>0.73804110000000001</v>
      </c>
      <c r="K21" s="318">
        <v>61.503425</v>
      </c>
      <c r="L21" s="318">
        <v>0</v>
      </c>
      <c r="M21" s="319">
        <v>0</v>
      </c>
      <c r="N21" s="319">
        <v>-61.503425</v>
      </c>
      <c r="O21" s="319">
        <f t="shared" si="0"/>
        <v>0</v>
      </c>
      <c r="P21" s="317">
        <v>0</v>
      </c>
      <c r="Q21" s="315" t="s">
        <v>1148</v>
      </c>
      <c r="R21" s="318">
        <v>138</v>
      </c>
      <c r="T21" s="320">
        <v>58.888888888888886</v>
      </c>
      <c r="U21" s="318">
        <v>19</v>
      </c>
      <c r="V21" s="318">
        <v>126.8</v>
      </c>
      <c r="W21" s="318">
        <v>126.8</v>
      </c>
      <c r="X21" s="315">
        <v>0.29199999999999998</v>
      </c>
      <c r="Y21" s="318">
        <v>690.9</v>
      </c>
      <c r="Z21" s="315">
        <v>1</v>
      </c>
      <c r="AA21" s="315" t="s">
        <v>1149</v>
      </c>
      <c r="AB21" s="315">
        <v>0</v>
      </c>
      <c r="AC21" s="315" t="s">
        <v>1157</v>
      </c>
    </row>
    <row r="22" spans="1:29">
      <c r="A22" s="315" t="s">
        <v>1145</v>
      </c>
      <c r="B22" s="315" t="s">
        <v>1066</v>
      </c>
      <c r="C22" s="329">
        <v>4.6791344444444398</v>
      </c>
      <c r="D22" s="329">
        <v>113.7</v>
      </c>
      <c r="E22" s="316" t="s">
        <v>1195</v>
      </c>
      <c r="F22" s="316" t="s">
        <v>1196</v>
      </c>
      <c r="G22" s="317">
        <v>34.2339226</v>
      </c>
      <c r="H22" s="317">
        <v>23.048614799999999</v>
      </c>
      <c r="I22" s="317">
        <v>25.4194304</v>
      </c>
      <c r="J22" s="317">
        <v>33.186415500000003</v>
      </c>
      <c r="K22" s="318">
        <v>96.940148775121685</v>
      </c>
      <c r="L22" s="318">
        <v>65.461075301598996</v>
      </c>
      <c r="M22" s="319">
        <v>35.894609860773905</v>
      </c>
      <c r="N22" s="319">
        <v>-61.04553891434778</v>
      </c>
      <c r="O22" s="319">
        <f t="shared" si="0"/>
        <v>0</v>
      </c>
      <c r="P22" s="317">
        <v>0</v>
      </c>
      <c r="Q22" s="315" t="s">
        <v>1148</v>
      </c>
      <c r="R22" s="318">
        <v>139</v>
      </c>
      <c r="T22" s="320">
        <v>59.444444444444443</v>
      </c>
      <c r="U22" s="318">
        <v>19.489999999999998</v>
      </c>
      <c r="V22" s="318">
        <v>243.2</v>
      </c>
      <c r="W22" s="318">
        <v>203</v>
      </c>
      <c r="X22" s="315">
        <v>0.28999999999999998</v>
      </c>
      <c r="Y22" s="318">
        <v>1001.3</v>
      </c>
      <c r="Z22" s="315">
        <v>6</v>
      </c>
      <c r="AA22" s="315" t="s">
        <v>1149</v>
      </c>
      <c r="AB22" s="315">
        <v>0</v>
      </c>
      <c r="AC22" s="315" t="s">
        <v>1190</v>
      </c>
    </row>
    <row r="23" spans="1:29">
      <c r="A23" s="315" t="s">
        <v>1145</v>
      </c>
      <c r="B23" s="315" t="s">
        <v>1066</v>
      </c>
      <c r="C23" s="329">
        <v>4.6791344444444398</v>
      </c>
      <c r="D23" s="329">
        <v>113.7</v>
      </c>
      <c r="E23" s="316" t="s">
        <v>1197</v>
      </c>
      <c r="F23" s="316" t="s">
        <v>1198</v>
      </c>
      <c r="G23" s="317">
        <v>48.096531499999998</v>
      </c>
      <c r="H23" s="317">
        <v>36.067542299999999</v>
      </c>
      <c r="I23" s="317">
        <v>39.321625400000002</v>
      </c>
      <c r="J23" s="317">
        <v>45.005622299999999</v>
      </c>
      <c r="K23" s="318">
        <v>93.573529933234383</v>
      </c>
      <c r="L23" s="318">
        <v>60.842343771121897</v>
      </c>
      <c r="M23" s="319">
        <v>36.7132881629473</v>
      </c>
      <c r="N23" s="319">
        <v>-56.860241770287082</v>
      </c>
      <c r="O23" s="319">
        <f t="shared" si="0"/>
        <v>0</v>
      </c>
      <c r="P23" s="317">
        <v>0</v>
      </c>
      <c r="Q23" s="315" t="s">
        <v>1148</v>
      </c>
      <c r="R23" s="318">
        <v>139</v>
      </c>
      <c r="T23" s="320">
        <v>59.444444444444443</v>
      </c>
      <c r="U23" s="318">
        <v>19.5</v>
      </c>
      <c r="V23" s="318">
        <v>121.4</v>
      </c>
      <c r="W23" s="318">
        <v>88</v>
      </c>
      <c r="X23" s="315">
        <v>0.31</v>
      </c>
      <c r="Y23" s="318">
        <v>1008</v>
      </c>
      <c r="Z23" s="315">
        <v>8</v>
      </c>
      <c r="AA23" s="315" t="s">
        <v>1149</v>
      </c>
      <c r="AB23" s="315">
        <v>0</v>
      </c>
      <c r="AC23" s="315" t="s">
        <v>1190</v>
      </c>
    </row>
    <row r="24" spans="1:29">
      <c r="A24" s="315" t="s">
        <v>1145</v>
      </c>
      <c r="B24" s="315" t="s">
        <v>1066</v>
      </c>
      <c r="C24" s="329">
        <v>4.6791344444444398</v>
      </c>
      <c r="D24" s="329">
        <v>113.7</v>
      </c>
      <c r="E24" s="316" t="s">
        <v>1199</v>
      </c>
      <c r="F24" s="316" t="s">
        <v>1200</v>
      </c>
      <c r="G24" s="317">
        <v>11.2</v>
      </c>
      <c r="H24" s="317">
        <v>0</v>
      </c>
      <c r="I24" s="317">
        <v>0</v>
      </c>
      <c r="J24" s="317">
        <v>0.88419329999999996</v>
      </c>
      <c r="K24" s="318">
        <v>7.8945830357142865</v>
      </c>
      <c r="L24" s="318">
        <v>0</v>
      </c>
      <c r="M24" s="319">
        <v>0</v>
      </c>
      <c r="N24" s="319">
        <v>-7.8945830357142865</v>
      </c>
      <c r="O24" s="319">
        <f t="shared" si="0"/>
        <v>0</v>
      </c>
      <c r="P24" s="317">
        <v>0</v>
      </c>
      <c r="Q24" s="315" t="s">
        <v>1168</v>
      </c>
      <c r="R24" s="318">
        <v>140</v>
      </c>
      <c r="T24" s="320">
        <v>60</v>
      </c>
      <c r="U24" s="318">
        <v>19</v>
      </c>
      <c r="V24" s="318">
        <v>90.3</v>
      </c>
      <c r="W24" s="318">
        <v>49.1</v>
      </c>
      <c r="X24" s="315">
        <v>0.309</v>
      </c>
      <c r="Y24" s="318">
        <v>1928.7</v>
      </c>
      <c r="Z24" s="315">
        <v>0</v>
      </c>
      <c r="AA24" s="315" t="s">
        <v>1149</v>
      </c>
      <c r="AB24" s="315">
        <v>0</v>
      </c>
      <c r="AC24" s="315" t="s">
        <v>1157</v>
      </c>
    </row>
    <row r="25" spans="1:29">
      <c r="A25" s="315" t="s">
        <v>1209</v>
      </c>
      <c r="B25" s="315" t="s">
        <v>1066</v>
      </c>
      <c r="C25" s="329">
        <v>4.6791344444444398</v>
      </c>
      <c r="D25" s="329">
        <v>113.7</v>
      </c>
      <c r="E25" s="316" t="s">
        <v>1201</v>
      </c>
      <c r="F25" s="316" t="s">
        <v>1202</v>
      </c>
      <c r="G25" s="317">
        <v>16</v>
      </c>
      <c r="H25" s="317">
        <v>5.9701968000000001</v>
      </c>
      <c r="I25" s="317">
        <v>6.5088395000000006</v>
      </c>
      <c r="J25" s="317">
        <v>6.7582223000000008</v>
      </c>
      <c r="K25" s="318">
        <v>42.238889375000007</v>
      </c>
      <c r="L25" s="318">
        <v>0</v>
      </c>
      <c r="M25" s="319">
        <v>0</v>
      </c>
      <c r="N25" s="319">
        <v>-42.238889375000007</v>
      </c>
      <c r="O25" s="319">
        <f t="shared" si="0"/>
        <v>0</v>
      </c>
      <c r="P25" s="317">
        <v>0</v>
      </c>
      <c r="Q25" s="315" t="s">
        <v>1148</v>
      </c>
      <c r="R25" s="318">
        <v>140</v>
      </c>
      <c r="T25" s="320">
        <v>60</v>
      </c>
      <c r="U25" s="318">
        <v>19</v>
      </c>
      <c r="V25" s="318">
        <v>384.3</v>
      </c>
      <c r="W25" s="318">
        <v>459</v>
      </c>
      <c r="X25" s="315">
        <v>0.3</v>
      </c>
      <c r="Y25" s="318">
        <v>532.5</v>
      </c>
      <c r="Z25" s="315">
        <v>1</v>
      </c>
      <c r="AA25" s="315" t="s">
        <v>1149</v>
      </c>
      <c r="AB25" s="315">
        <v>0</v>
      </c>
      <c r="AC25" s="315" t="s">
        <v>1157</v>
      </c>
    </row>
    <row r="26" spans="1:29">
      <c r="A26" s="315" t="s">
        <v>1161</v>
      </c>
      <c r="B26" s="315" t="s">
        <v>1066</v>
      </c>
      <c r="C26" s="329">
        <v>4.6791344444444398</v>
      </c>
      <c r="D26" s="329">
        <v>113.7</v>
      </c>
      <c r="E26" s="316" t="s">
        <v>1203</v>
      </c>
      <c r="F26" s="316" t="s">
        <v>1204</v>
      </c>
      <c r="G26" s="317">
        <v>1.03</v>
      </c>
      <c r="H26" s="317">
        <v>0</v>
      </c>
      <c r="I26" s="317">
        <v>0</v>
      </c>
      <c r="J26" s="317">
        <v>0.2047755</v>
      </c>
      <c r="K26" s="318">
        <v>19.881116504854369</v>
      </c>
      <c r="L26" s="318">
        <v>0</v>
      </c>
      <c r="M26" s="319">
        <v>0</v>
      </c>
      <c r="N26" s="319">
        <v>-19.881116504854369</v>
      </c>
      <c r="O26" s="319">
        <f t="shared" si="0"/>
        <v>0</v>
      </c>
      <c r="P26" s="317">
        <v>0</v>
      </c>
      <c r="Q26" s="315" t="s">
        <v>1168</v>
      </c>
      <c r="R26" s="318">
        <v>141</v>
      </c>
      <c r="T26" s="320">
        <v>60.555555555555557</v>
      </c>
      <c r="U26" s="318">
        <v>25</v>
      </c>
      <c r="V26" s="318">
        <v>24.95</v>
      </c>
      <c r="W26" s="318">
        <v>24.95</v>
      </c>
      <c r="X26" s="315">
        <v>0.3</v>
      </c>
      <c r="Y26" s="318">
        <v>521.02</v>
      </c>
      <c r="Z26" s="315">
        <v>0</v>
      </c>
      <c r="AA26" s="315" t="s">
        <v>1149</v>
      </c>
      <c r="AB26" s="315">
        <v>0</v>
      </c>
      <c r="AC26" s="315" t="s">
        <v>1190</v>
      </c>
    </row>
    <row r="27" spans="1:29">
      <c r="A27" s="315" t="s">
        <v>1145</v>
      </c>
      <c r="B27" s="315" t="s">
        <v>1066</v>
      </c>
      <c r="C27" s="329">
        <v>4.6791344444444398</v>
      </c>
      <c r="D27" s="329">
        <v>113.7</v>
      </c>
      <c r="E27" s="316" t="s">
        <v>1205</v>
      </c>
      <c r="F27" s="316" t="s">
        <v>1206</v>
      </c>
      <c r="G27" s="317">
        <v>3.76</v>
      </c>
      <c r="H27" s="317">
        <v>0</v>
      </c>
      <c r="I27" s="317">
        <v>0</v>
      </c>
      <c r="J27" s="317">
        <v>1.2643185000000001</v>
      </c>
      <c r="K27" s="318">
        <v>33.6254920212766</v>
      </c>
      <c r="L27" s="318">
        <v>77.674671249849794</v>
      </c>
      <c r="M27" s="319">
        <v>30.663324485994099</v>
      </c>
      <c r="N27" s="319">
        <v>-2.9621675352825001</v>
      </c>
      <c r="O27" s="319">
        <f t="shared" si="0"/>
        <v>0</v>
      </c>
      <c r="P27" s="317">
        <v>0</v>
      </c>
      <c r="Q27" s="315" t="s">
        <v>1168</v>
      </c>
      <c r="R27" s="318">
        <v>141</v>
      </c>
      <c r="T27" s="320">
        <v>60.555555555555557</v>
      </c>
      <c r="U27" s="318">
        <v>25</v>
      </c>
      <c r="V27" s="318">
        <v>259.60000000000002</v>
      </c>
      <c r="W27" s="318">
        <v>259.60000000000002</v>
      </c>
      <c r="X27" s="315">
        <v>0.28999999999999998</v>
      </c>
      <c r="Y27" s="318">
        <v>1028</v>
      </c>
      <c r="Z27" s="315">
        <v>1</v>
      </c>
      <c r="AA27" s="315" t="s">
        <v>1149</v>
      </c>
      <c r="AB27" s="315">
        <v>0</v>
      </c>
      <c r="AC27" s="315" t="s">
        <v>1190</v>
      </c>
    </row>
    <row r="28" spans="1:29">
      <c r="A28" s="315" t="s">
        <v>1145</v>
      </c>
      <c r="B28" s="315" t="s">
        <v>1066</v>
      </c>
      <c r="C28" s="329">
        <v>4.6791344444444398</v>
      </c>
      <c r="D28" s="329">
        <v>113.7</v>
      </c>
      <c r="E28" s="316" t="s">
        <v>1207</v>
      </c>
      <c r="F28" s="316" t="s">
        <v>1208</v>
      </c>
      <c r="G28" s="317">
        <v>6.78</v>
      </c>
      <c r="H28" s="317">
        <v>2.2105253</v>
      </c>
      <c r="I28" s="317">
        <v>2.4099632</v>
      </c>
      <c r="J28" s="317">
        <v>2.7936580000000002</v>
      </c>
      <c r="K28" s="318">
        <v>41.204395280235993</v>
      </c>
      <c r="L28" s="318">
        <v>0</v>
      </c>
      <c r="M28" s="319">
        <v>0</v>
      </c>
      <c r="N28" s="319">
        <v>-41.204395280235993</v>
      </c>
      <c r="O28" s="319">
        <f t="shared" si="0"/>
        <v>0</v>
      </c>
      <c r="P28" s="317">
        <v>0</v>
      </c>
      <c r="Q28" s="315" t="s">
        <v>1148</v>
      </c>
      <c r="R28" s="318">
        <v>141</v>
      </c>
      <c r="T28" s="320">
        <v>60.555555555555557</v>
      </c>
      <c r="U28" s="318">
        <v>19</v>
      </c>
      <c r="V28" s="318">
        <v>82.3</v>
      </c>
      <c r="W28" s="318">
        <v>112.8</v>
      </c>
      <c r="X28" s="315">
        <v>0.317</v>
      </c>
      <c r="Y28" s="318">
        <v>2023.2</v>
      </c>
      <c r="Z28" s="315">
        <v>1</v>
      </c>
      <c r="AA28" s="315" t="s">
        <v>1149</v>
      </c>
      <c r="AB28" s="315">
        <v>0</v>
      </c>
      <c r="AC28" s="315" t="s">
        <v>1157</v>
      </c>
    </row>
    <row r="29" spans="1:29">
      <c r="A29" s="315" t="s">
        <v>1145</v>
      </c>
      <c r="B29" s="315" t="s">
        <v>1066</v>
      </c>
      <c r="C29" s="329">
        <v>4.6791344444444398</v>
      </c>
      <c r="D29" s="329">
        <v>113.7</v>
      </c>
      <c r="E29" s="316" t="s">
        <v>1210</v>
      </c>
      <c r="F29" s="316" t="s">
        <v>1211</v>
      </c>
      <c r="G29" s="317">
        <v>17.600000000000001</v>
      </c>
      <c r="H29" s="317">
        <v>8.0651311000000003</v>
      </c>
      <c r="I29" s="317">
        <v>8.7927828000000012</v>
      </c>
      <c r="J29" s="317">
        <v>9.1296737000000014</v>
      </c>
      <c r="K29" s="318">
        <v>51.873146022727276</v>
      </c>
      <c r="L29" s="318">
        <v>0</v>
      </c>
      <c r="M29" s="319">
        <v>0</v>
      </c>
      <c r="N29" s="319">
        <v>-51.873146022727276</v>
      </c>
      <c r="O29" s="319">
        <f t="shared" si="0"/>
        <v>0</v>
      </c>
      <c r="P29" s="317">
        <v>0</v>
      </c>
      <c r="Q29" s="315" t="s">
        <v>1148</v>
      </c>
      <c r="R29" s="318">
        <v>141.60499999999999</v>
      </c>
      <c r="T29" s="320">
        <v>60.891666666666666</v>
      </c>
      <c r="U29" s="318">
        <v>19</v>
      </c>
      <c r="V29" s="318">
        <v>273.3</v>
      </c>
      <c r="W29" s="318">
        <v>554</v>
      </c>
      <c r="X29" s="315">
        <v>0.28599999999999998</v>
      </c>
      <c r="Y29" s="318">
        <v>586.29999999999995</v>
      </c>
      <c r="Z29" s="315">
        <v>3</v>
      </c>
      <c r="AA29" s="315" t="s">
        <v>1149</v>
      </c>
      <c r="AB29" s="315">
        <v>0</v>
      </c>
      <c r="AC29" s="315" t="s">
        <v>1150</v>
      </c>
    </row>
    <row r="30" spans="1:29">
      <c r="A30" s="315" t="s">
        <v>1236</v>
      </c>
      <c r="B30" s="315" t="s">
        <v>1066</v>
      </c>
      <c r="C30" s="329">
        <v>4.6791344444444398</v>
      </c>
      <c r="D30" s="329">
        <v>113.7</v>
      </c>
      <c r="E30" s="316" t="s">
        <v>1212</v>
      </c>
      <c r="F30" s="316" t="s">
        <v>1213</v>
      </c>
      <c r="G30" s="317">
        <v>50.720059499999998</v>
      </c>
      <c r="H30" s="317">
        <v>43.922187300000004</v>
      </c>
      <c r="I30" s="317">
        <v>47.989732799999999</v>
      </c>
      <c r="J30" s="317">
        <v>56.113968199999995</v>
      </c>
      <c r="K30" s="318">
        <v>110.63466556067428</v>
      </c>
      <c r="L30" s="318">
        <v>62.296575278888099</v>
      </c>
      <c r="M30" s="319">
        <v>36.3473039984544</v>
      </c>
      <c r="N30" s="319">
        <v>-74.287361562219871</v>
      </c>
      <c r="O30" s="319">
        <f t="shared" si="0"/>
        <v>0</v>
      </c>
      <c r="P30" s="317">
        <v>0</v>
      </c>
      <c r="Q30" s="315" t="s">
        <v>1148</v>
      </c>
      <c r="R30" s="318">
        <v>142.19999999999999</v>
      </c>
      <c r="T30" s="320">
        <v>61.222222222222221</v>
      </c>
      <c r="U30" s="318">
        <v>19</v>
      </c>
      <c r="V30" s="318">
        <v>16.268129999999999</v>
      </c>
      <c r="W30" s="318">
        <v>6.9560000000000004</v>
      </c>
      <c r="X30" s="315">
        <v>0.294319</v>
      </c>
      <c r="Y30" s="318">
        <v>381.06349999999998</v>
      </c>
      <c r="Z30" s="315">
        <v>20</v>
      </c>
      <c r="AA30" s="315" t="s">
        <v>1149</v>
      </c>
      <c r="AB30" s="315">
        <v>0</v>
      </c>
      <c r="AC30" s="315" t="s">
        <v>1190</v>
      </c>
    </row>
    <row r="31" spans="1:29">
      <c r="A31" s="315" t="s">
        <v>1239</v>
      </c>
      <c r="B31" s="315" t="s">
        <v>1066</v>
      </c>
      <c r="C31" s="329">
        <v>4.6791344444444398</v>
      </c>
      <c r="D31" s="329">
        <v>113.7</v>
      </c>
      <c r="E31" s="316" t="s">
        <v>1214</v>
      </c>
      <c r="F31" s="316" t="s">
        <v>1215</v>
      </c>
      <c r="G31" s="317">
        <v>7.44</v>
      </c>
      <c r="H31" s="317">
        <v>1.5159887000000001</v>
      </c>
      <c r="I31" s="317">
        <v>1.6527641000000002</v>
      </c>
      <c r="J31" s="317">
        <v>2.5173242000000005</v>
      </c>
      <c r="K31" s="318">
        <v>33.835002688172047</v>
      </c>
      <c r="L31" s="318">
        <v>0</v>
      </c>
      <c r="M31" s="319">
        <v>0</v>
      </c>
      <c r="N31" s="319">
        <v>-33.835002688172047</v>
      </c>
      <c r="O31" s="319">
        <f t="shared" si="0"/>
        <v>0</v>
      </c>
      <c r="P31" s="317">
        <v>0</v>
      </c>
      <c r="Q31" s="315" t="s">
        <v>1148</v>
      </c>
      <c r="R31" s="318">
        <v>143</v>
      </c>
      <c r="T31" s="320">
        <v>61.666666666666664</v>
      </c>
      <c r="U31" s="318">
        <v>19</v>
      </c>
      <c r="V31" s="318">
        <v>84.6</v>
      </c>
      <c r="W31" s="318">
        <v>113</v>
      </c>
      <c r="X31" s="315">
        <v>0.308</v>
      </c>
      <c r="Y31" s="318">
        <v>1921</v>
      </c>
      <c r="Z31" s="315">
        <v>1</v>
      </c>
      <c r="AA31" s="315" t="s">
        <v>1149</v>
      </c>
      <c r="AB31" s="315">
        <v>0</v>
      </c>
      <c r="AC31" s="315" t="s">
        <v>1157</v>
      </c>
    </row>
    <row r="32" spans="1:29">
      <c r="A32" s="315" t="s">
        <v>1145</v>
      </c>
      <c r="B32" s="315" t="s">
        <v>1066</v>
      </c>
      <c r="C32" s="329">
        <v>4.6791344444444398</v>
      </c>
      <c r="D32" s="329">
        <v>113.7</v>
      </c>
      <c r="E32" s="316" t="s">
        <v>1216</v>
      </c>
      <c r="F32" s="316" t="s">
        <v>1217</v>
      </c>
      <c r="G32" s="317">
        <v>8.3107120000000005</v>
      </c>
      <c r="H32" s="317">
        <v>0.11569699999999999</v>
      </c>
      <c r="I32" s="317">
        <v>0.1261311</v>
      </c>
      <c r="J32" s="317">
        <v>1.7810557999999999</v>
      </c>
      <c r="K32" s="318">
        <v>21.430844914370752</v>
      </c>
      <c r="L32" s="318">
        <v>65.706218740148799</v>
      </c>
      <c r="M32" s="319">
        <v>35.782455684834801</v>
      </c>
      <c r="N32" s="319">
        <v>14.351610770464049</v>
      </c>
      <c r="O32" s="319">
        <f t="shared" si="0"/>
        <v>14.351610770464049</v>
      </c>
      <c r="P32" s="317">
        <v>1.1927210384942482</v>
      </c>
      <c r="Q32" s="315" t="s">
        <v>1148</v>
      </c>
      <c r="R32" s="318">
        <v>144</v>
      </c>
      <c r="T32" s="320">
        <v>62.222222222222221</v>
      </c>
      <c r="U32" s="318">
        <v>26.7</v>
      </c>
      <c r="V32" s="318">
        <v>304.10000000000002</v>
      </c>
      <c r="W32" s="318">
        <v>304.10000000000002</v>
      </c>
      <c r="X32" s="315">
        <v>0.27</v>
      </c>
      <c r="Y32" s="318">
        <v>223.7</v>
      </c>
      <c r="Z32" s="315">
        <v>2</v>
      </c>
      <c r="AA32" s="315" t="s">
        <v>1149</v>
      </c>
      <c r="AB32" s="315">
        <v>0</v>
      </c>
      <c r="AC32" s="315" t="s">
        <v>1190</v>
      </c>
    </row>
    <row r="33" spans="1:29">
      <c r="A33" s="315" t="s">
        <v>1145</v>
      </c>
      <c r="B33" s="315" t="s">
        <v>1066</v>
      </c>
      <c r="C33" s="329">
        <v>4.6791344444444398</v>
      </c>
      <c r="D33" s="329">
        <v>113.7</v>
      </c>
      <c r="E33" s="316" t="s">
        <v>1218</v>
      </c>
      <c r="F33" s="316" t="s">
        <v>1219</v>
      </c>
      <c r="G33" s="317">
        <v>13.4</v>
      </c>
      <c r="H33" s="317">
        <v>7.1585253999999994</v>
      </c>
      <c r="I33" s="317">
        <v>8.1311949000000006</v>
      </c>
      <c r="J33" s="317">
        <v>8.4301957999999999</v>
      </c>
      <c r="K33" s="318">
        <v>62.911908955223886</v>
      </c>
      <c r="L33" s="318">
        <v>80.367869559520102</v>
      </c>
      <c r="M33" s="319">
        <v>27.829954724642398</v>
      </c>
      <c r="N33" s="319">
        <v>-35.081954230581488</v>
      </c>
      <c r="O33" s="319">
        <f t="shared" si="0"/>
        <v>0</v>
      </c>
      <c r="P33" s="317">
        <v>0</v>
      </c>
      <c r="Q33" s="315" t="s">
        <v>1148</v>
      </c>
      <c r="R33" s="318">
        <v>144.5</v>
      </c>
      <c r="T33" s="320">
        <v>62.5</v>
      </c>
      <c r="U33" s="318">
        <v>19</v>
      </c>
      <c r="V33" s="318">
        <v>132.80000000000001</v>
      </c>
      <c r="W33" s="318">
        <v>266</v>
      </c>
      <c r="X33" s="315">
        <v>0.27</v>
      </c>
      <c r="Y33" s="318">
        <v>929.7</v>
      </c>
      <c r="Z33" s="315">
        <v>2</v>
      </c>
      <c r="AA33" s="315" t="s">
        <v>1149</v>
      </c>
      <c r="AB33" s="315">
        <v>0</v>
      </c>
      <c r="AC33" s="315" t="s">
        <v>1150</v>
      </c>
    </row>
    <row r="34" spans="1:29">
      <c r="A34" s="315" t="s">
        <v>1145</v>
      </c>
      <c r="B34" s="315" t="s">
        <v>1066</v>
      </c>
      <c r="C34" s="329">
        <v>4.6791344444444398</v>
      </c>
      <c r="D34" s="329">
        <v>113.7</v>
      </c>
      <c r="E34" s="316" t="s">
        <v>1220</v>
      </c>
      <c r="F34" s="316" t="s">
        <v>1221</v>
      </c>
      <c r="G34" s="317">
        <v>4.7</v>
      </c>
      <c r="H34" s="317">
        <v>0</v>
      </c>
      <c r="I34" s="317">
        <v>0</v>
      </c>
      <c r="J34" s="317">
        <v>1.5473383000000001</v>
      </c>
      <c r="K34" s="318">
        <v>32.922091489361705</v>
      </c>
      <c r="L34" s="318">
        <v>61.6918824172513</v>
      </c>
      <c r="M34" s="319">
        <v>36.1027205776386</v>
      </c>
      <c r="N34" s="319">
        <v>3.1806290882768948</v>
      </c>
      <c r="O34" s="319">
        <f t="shared" si="0"/>
        <v>3.1806290882768948</v>
      </c>
      <c r="P34" s="317">
        <v>0.14948956714901407</v>
      </c>
      <c r="Q34" s="315" t="s">
        <v>1168</v>
      </c>
      <c r="R34" s="318">
        <v>145.5</v>
      </c>
      <c r="T34" s="320">
        <v>63.055555555555557</v>
      </c>
      <c r="U34" s="318">
        <v>19</v>
      </c>
      <c r="V34" s="318">
        <v>205.8</v>
      </c>
      <c r="W34" s="318">
        <v>139.86000000000001</v>
      </c>
      <c r="X34" s="315">
        <v>0.26</v>
      </c>
      <c r="Y34" s="318">
        <v>586.4</v>
      </c>
      <c r="Z34" s="315">
        <v>0</v>
      </c>
      <c r="AA34" s="315" t="s">
        <v>1149</v>
      </c>
      <c r="AB34" s="315">
        <v>0</v>
      </c>
      <c r="AC34" s="315" t="s">
        <v>1190</v>
      </c>
    </row>
    <row r="35" spans="1:29">
      <c r="A35" s="315" t="s">
        <v>1145</v>
      </c>
      <c r="B35" s="315" t="s">
        <v>1066</v>
      </c>
      <c r="C35" s="329">
        <v>4.6791344444444398</v>
      </c>
      <c r="D35" s="329">
        <v>113.7</v>
      </c>
      <c r="E35" s="316" t="s">
        <v>1223</v>
      </c>
      <c r="F35" s="316" t="s">
        <v>1224</v>
      </c>
      <c r="G35" s="317">
        <v>21.3</v>
      </c>
      <c r="H35" s="317">
        <v>4.6478080999999998</v>
      </c>
      <c r="I35" s="317">
        <v>5.0671422999999995</v>
      </c>
      <c r="J35" s="317">
        <v>7.0065683999999999</v>
      </c>
      <c r="K35" s="318">
        <v>32.894687323943664</v>
      </c>
      <c r="L35" s="318">
        <v>76.671921927218506</v>
      </c>
      <c r="M35" s="319">
        <v>30.304364419720297</v>
      </c>
      <c r="N35" s="319">
        <v>-2.5903229042233669</v>
      </c>
      <c r="O35" s="319">
        <f t="shared" si="0"/>
        <v>0</v>
      </c>
      <c r="P35" s="317">
        <v>0</v>
      </c>
      <c r="Q35" s="315" t="s">
        <v>1148</v>
      </c>
      <c r="R35" s="318">
        <v>146.4</v>
      </c>
      <c r="T35" s="320">
        <v>63.555555555555557</v>
      </c>
      <c r="U35" s="318">
        <v>19</v>
      </c>
      <c r="V35" s="318">
        <v>276</v>
      </c>
      <c r="W35" s="318">
        <v>432.32</v>
      </c>
      <c r="X35" s="315">
        <v>0.28000000000000003</v>
      </c>
      <c r="Y35" s="318">
        <v>883.2</v>
      </c>
      <c r="Z35" s="315">
        <v>5</v>
      </c>
      <c r="AA35" s="315" t="s">
        <v>1149</v>
      </c>
      <c r="AB35" s="315">
        <v>0</v>
      </c>
      <c r="AC35" s="315" t="s">
        <v>1190</v>
      </c>
    </row>
    <row r="36" spans="1:29">
      <c r="A36" s="315" t="s">
        <v>1145</v>
      </c>
      <c r="B36" s="315" t="s">
        <v>1066</v>
      </c>
      <c r="C36" s="329">
        <v>4.6791344444444398</v>
      </c>
      <c r="D36" s="329">
        <v>113.7</v>
      </c>
      <c r="E36" s="316" t="s">
        <v>1225</v>
      </c>
      <c r="F36" s="316" t="s">
        <v>1226</v>
      </c>
      <c r="G36" s="317">
        <v>0.56999999999999995</v>
      </c>
      <c r="H36" s="317">
        <v>0</v>
      </c>
      <c r="I36" s="317">
        <v>0</v>
      </c>
      <c r="J36" s="317">
        <v>0</v>
      </c>
      <c r="K36" s="318">
        <v>0</v>
      </c>
      <c r="L36" s="318">
        <v>0</v>
      </c>
      <c r="M36" s="319">
        <v>0</v>
      </c>
      <c r="N36" s="319">
        <v>0</v>
      </c>
      <c r="O36" s="319">
        <f t="shared" si="0"/>
        <v>0</v>
      </c>
      <c r="P36" s="317">
        <v>0</v>
      </c>
      <c r="Q36" s="315" t="s">
        <v>1168</v>
      </c>
      <c r="R36" s="318">
        <v>148</v>
      </c>
      <c r="T36" s="320">
        <v>64.444444444444443</v>
      </c>
      <c r="U36" s="318">
        <v>19</v>
      </c>
      <c r="V36" s="318">
        <v>56.4</v>
      </c>
      <c r="W36" s="318">
        <v>56.4</v>
      </c>
      <c r="X36" s="315">
        <v>0.31</v>
      </c>
      <c r="Y36" s="318">
        <v>1008</v>
      </c>
      <c r="Z36" s="315">
        <v>0</v>
      </c>
      <c r="AA36" s="315" t="s">
        <v>1149</v>
      </c>
      <c r="AB36" s="315">
        <v>0</v>
      </c>
      <c r="AC36" s="315" t="s">
        <v>1157</v>
      </c>
    </row>
    <row r="37" spans="1:29">
      <c r="A37" s="315" t="s">
        <v>1145</v>
      </c>
      <c r="B37" s="315" t="s">
        <v>1066</v>
      </c>
      <c r="C37" s="329">
        <v>4.6791344444444398</v>
      </c>
      <c r="D37" s="329">
        <v>113.7</v>
      </c>
      <c r="E37" s="316" t="s">
        <v>1227</v>
      </c>
      <c r="F37" s="316" t="s">
        <v>1228</v>
      </c>
      <c r="G37" s="317">
        <v>7.31</v>
      </c>
      <c r="H37" s="317">
        <v>0</v>
      </c>
      <c r="I37" s="317">
        <v>0</v>
      </c>
      <c r="J37" s="317">
        <v>0.4095511</v>
      </c>
      <c r="K37" s="318">
        <v>5.6026142270861836</v>
      </c>
      <c r="L37" s="318">
        <v>72.503365560358105</v>
      </c>
      <c r="M37" s="319">
        <v>32.986022945715895</v>
      </c>
      <c r="N37" s="319">
        <v>27.38340871862971</v>
      </c>
      <c r="O37" s="319">
        <f t="shared" si="0"/>
        <v>27.38340871862971</v>
      </c>
      <c r="P37" s="317">
        <v>2.0017271773318317</v>
      </c>
      <c r="Q37" s="315" t="s">
        <v>1168</v>
      </c>
      <c r="R37" s="318">
        <v>148.1</v>
      </c>
      <c r="T37" s="320">
        <v>64.5</v>
      </c>
      <c r="U37" s="318">
        <v>28.2</v>
      </c>
      <c r="V37" s="318">
        <v>250</v>
      </c>
      <c r="W37" s="318">
        <v>147.5</v>
      </c>
      <c r="X37" s="315">
        <v>0.34</v>
      </c>
      <c r="Y37" s="318">
        <v>1232</v>
      </c>
      <c r="Z37" s="315">
        <v>1</v>
      </c>
      <c r="AA37" s="315" t="s">
        <v>1149</v>
      </c>
      <c r="AB37" s="315">
        <v>0</v>
      </c>
      <c r="AC37" s="315" t="s">
        <v>1190</v>
      </c>
    </row>
    <row r="38" spans="1:29">
      <c r="A38" s="315" t="s">
        <v>1145</v>
      </c>
      <c r="B38" s="315" t="s">
        <v>1066</v>
      </c>
      <c r="C38" s="329">
        <v>4.6791344444444398</v>
      </c>
      <c r="D38" s="329">
        <v>113.7</v>
      </c>
      <c r="E38" s="316" t="s">
        <v>1230</v>
      </c>
      <c r="F38" s="316" t="s">
        <v>1231</v>
      </c>
      <c r="G38" s="317">
        <v>1.07</v>
      </c>
      <c r="H38" s="317">
        <v>2.4640000000000003E-4</v>
      </c>
      <c r="I38" s="317">
        <v>0.16907730000000001</v>
      </c>
      <c r="J38" s="317">
        <v>0.16907730000000001</v>
      </c>
      <c r="K38" s="318">
        <v>15.801616822429907</v>
      </c>
      <c r="L38" s="318">
        <v>77.329974135713996</v>
      </c>
      <c r="M38" s="319">
        <v>30.358189723373304</v>
      </c>
      <c r="N38" s="319">
        <v>14.556572900943397</v>
      </c>
      <c r="O38" s="319">
        <f t="shared" si="0"/>
        <v>14.556572900943397</v>
      </c>
      <c r="P38" s="317">
        <v>0.15575533004009437</v>
      </c>
      <c r="Q38" s="315" t="s">
        <v>1148</v>
      </c>
      <c r="R38" s="318">
        <v>148.1</v>
      </c>
      <c r="T38" s="320">
        <v>64.5</v>
      </c>
      <c r="U38" s="318">
        <v>19</v>
      </c>
      <c r="V38" s="318">
        <v>506</v>
      </c>
      <c r="W38" s="318">
        <v>206</v>
      </c>
      <c r="X38" s="315">
        <v>0.31</v>
      </c>
      <c r="Y38" s="318">
        <v>615.20000000000005</v>
      </c>
      <c r="Z38" s="315">
        <v>0</v>
      </c>
      <c r="AA38" s="315" t="s">
        <v>1149</v>
      </c>
      <c r="AB38" s="315">
        <v>0</v>
      </c>
      <c r="AC38" s="315" t="s">
        <v>1157</v>
      </c>
    </row>
    <row r="39" spans="1:29">
      <c r="A39" s="315" t="s">
        <v>1236</v>
      </c>
      <c r="B39" s="315" t="s">
        <v>1066</v>
      </c>
      <c r="C39" s="329">
        <v>4.6791344444444398</v>
      </c>
      <c r="D39" s="329">
        <v>113.7</v>
      </c>
      <c r="E39" s="316" t="s">
        <v>1232</v>
      </c>
      <c r="F39" s="316" t="s">
        <v>1233</v>
      </c>
      <c r="G39" s="317">
        <v>31.34704</v>
      </c>
      <c r="H39" s="317">
        <v>57.0716106</v>
      </c>
      <c r="I39" s="317">
        <v>62.295515100000003</v>
      </c>
      <c r="J39" s="317">
        <v>66.969741600000006</v>
      </c>
      <c r="K39" s="318">
        <v>213.63976184035241</v>
      </c>
      <c r="L39" s="318">
        <v>67.796385642891295</v>
      </c>
      <c r="M39" s="319">
        <v>35.235937370318801</v>
      </c>
      <c r="N39" s="319">
        <v>-178.40382447003361</v>
      </c>
      <c r="O39" s="319">
        <f t="shared" si="0"/>
        <v>0</v>
      </c>
      <c r="P39" s="317">
        <v>0</v>
      </c>
      <c r="Q39" s="315" t="s">
        <v>1148</v>
      </c>
      <c r="R39" s="318">
        <v>150</v>
      </c>
      <c r="T39" s="320">
        <v>65.555555555555557</v>
      </c>
      <c r="U39" s="318">
        <v>26.7</v>
      </c>
      <c r="V39" s="318">
        <v>260.3</v>
      </c>
      <c r="W39" s="318">
        <v>361</v>
      </c>
      <c r="X39" s="315">
        <v>0.27</v>
      </c>
      <c r="Y39" s="318">
        <v>260.5</v>
      </c>
      <c r="Z39" s="315">
        <v>11</v>
      </c>
      <c r="AA39" s="315" t="s">
        <v>1149</v>
      </c>
      <c r="AB39" s="315">
        <v>0</v>
      </c>
      <c r="AC39" s="315" t="s">
        <v>1190</v>
      </c>
    </row>
    <row r="40" spans="1:29">
      <c r="A40" s="315" t="s">
        <v>1145</v>
      </c>
      <c r="B40" s="315" t="s">
        <v>1066</v>
      </c>
      <c r="C40" s="329">
        <v>4.6791344444444398</v>
      </c>
      <c r="D40" s="329">
        <v>113.7</v>
      </c>
      <c r="E40" s="316" t="s">
        <v>1234</v>
      </c>
      <c r="F40" s="316" t="s">
        <v>1235</v>
      </c>
      <c r="G40" s="317">
        <v>28.989698600000001</v>
      </c>
      <c r="H40" s="317">
        <v>10.2012885</v>
      </c>
      <c r="I40" s="317">
        <v>11.121668400000001</v>
      </c>
      <c r="J40" s="317">
        <v>18.351053499999999</v>
      </c>
      <c r="K40" s="318">
        <v>63.301981000933893</v>
      </c>
      <c r="L40" s="318">
        <v>67.871543185678306</v>
      </c>
      <c r="M40" s="319">
        <v>35.113218888426502</v>
      </c>
      <c r="N40" s="319">
        <v>-28.188762112507391</v>
      </c>
      <c r="O40" s="319">
        <f t="shared" si="0"/>
        <v>0</v>
      </c>
      <c r="P40" s="317">
        <v>0</v>
      </c>
      <c r="Q40" s="315" t="s">
        <v>1148</v>
      </c>
      <c r="R40" s="318">
        <v>150</v>
      </c>
      <c r="T40" s="320">
        <v>65.555555555555557</v>
      </c>
      <c r="U40" s="318">
        <v>26.7</v>
      </c>
      <c r="V40" s="318">
        <v>127.4</v>
      </c>
      <c r="W40" s="318">
        <v>277</v>
      </c>
      <c r="X40" s="315">
        <v>0.27</v>
      </c>
      <c r="Y40" s="318">
        <v>203.7</v>
      </c>
      <c r="Z40" s="315">
        <v>8</v>
      </c>
      <c r="AA40" s="315" t="s">
        <v>1149</v>
      </c>
      <c r="AB40" s="315">
        <v>0</v>
      </c>
      <c r="AC40" s="315" t="s">
        <v>1190</v>
      </c>
    </row>
    <row r="41" spans="1:29">
      <c r="A41" s="315" t="s">
        <v>1145</v>
      </c>
      <c r="B41" s="315" t="s">
        <v>1066</v>
      </c>
      <c r="C41" s="329">
        <v>4.6791344444444398</v>
      </c>
      <c r="D41" s="329">
        <v>113.7</v>
      </c>
      <c r="E41" s="316" t="s">
        <v>1237</v>
      </c>
      <c r="F41" s="316" t="s">
        <v>1238</v>
      </c>
      <c r="G41" s="317">
        <v>11.69</v>
      </c>
      <c r="H41" s="317">
        <v>1.0798972</v>
      </c>
      <c r="I41" s="317">
        <v>1.513477</v>
      </c>
      <c r="J41" s="317">
        <v>1.8175732</v>
      </c>
      <c r="K41" s="318">
        <v>15.54810265183918</v>
      </c>
      <c r="L41" s="318">
        <v>63.651868376101902</v>
      </c>
      <c r="M41" s="319">
        <v>37.110676509623602</v>
      </c>
      <c r="N41" s="319">
        <v>21.562573857784422</v>
      </c>
      <c r="O41" s="319">
        <f t="shared" si="0"/>
        <v>21.562573857784422</v>
      </c>
      <c r="P41" s="317">
        <v>2.520664883974999</v>
      </c>
      <c r="Q41" s="315" t="s">
        <v>1148</v>
      </c>
      <c r="R41" s="318">
        <v>153</v>
      </c>
      <c r="T41" s="320">
        <v>67.222222222222229</v>
      </c>
      <c r="U41" s="318">
        <v>25</v>
      </c>
      <c r="V41" s="318">
        <v>398</v>
      </c>
      <c r="W41" s="318">
        <v>398</v>
      </c>
      <c r="X41" s="315">
        <v>0.24</v>
      </c>
      <c r="Y41" s="318">
        <v>1394</v>
      </c>
      <c r="Z41" s="315">
        <v>1</v>
      </c>
      <c r="AA41" s="315" t="s">
        <v>1149</v>
      </c>
      <c r="AB41" s="315">
        <v>0</v>
      </c>
      <c r="AC41" s="315" t="s">
        <v>1190</v>
      </c>
    </row>
    <row r="42" spans="1:29">
      <c r="A42" s="315" t="s">
        <v>1145</v>
      </c>
      <c r="B42" s="315" t="s">
        <v>1066</v>
      </c>
      <c r="C42" s="329">
        <v>4.6791344444444398</v>
      </c>
      <c r="D42" s="329">
        <v>113.7</v>
      </c>
      <c r="E42" s="316" t="s">
        <v>1240</v>
      </c>
      <c r="F42" s="316" t="s">
        <v>1241</v>
      </c>
      <c r="G42" s="317">
        <v>24.08</v>
      </c>
      <c r="H42" s="317">
        <v>2.2483137000000002</v>
      </c>
      <c r="I42" s="317">
        <v>2.8181362999999999</v>
      </c>
      <c r="J42" s="317">
        <v>7.2363697</v>
      </c>
      <c r="K42" s="318">
        <v>30.051369186046511</v>
      </c>
      <c r="L42" s="318">
        <v>70.894548724891195</v>
      </c>
      <c r="M42" s="319">
        <v>33.915572104834304</v>
      </c>
      <c r="N42" s="319">
        <v>3.8642029187877931</v>
      </c>
      <c r="O42" s="319">
        <f t="shared" si="0"/>
        <v>3.8642029187877931</v>
      </c>
      <c r="P42" s="317">
        <v>0.93050006284410047</v>
      </c>
      <c r="Q42" s="315" t="s">
        <v>1148</v>
      </c>
      <c r="R42" s="318">
        <v>160.1</v>
      </c>
      <c r="T42" s="320">
        <v>71.166666666666671</v>
      </c>
      <c r="U42" s="318">
        <v>35.799999999999997</v>
      </c>
      <c r="V42" s="318">
        <v>410.6</v>
      </c>
      <c r="W42" s="318">
        <v>337.92379999999997</v>
      </c>
      <c r="X42" s="315">
        <v>0.246</v>
      </c>
      <c r="Y42" s="318">
        <v>351</v>
      </c>
      <c r="Z42" s="315">
        <v>5</v>
      </c>
      <c r="AA42" s="315" t="s">
        <v>1149</v>
      </c>
      <c r="AB42" s="315">
        <v>0</v>
      </c>
      <c r="AC42" s="315" t="s">
        <v>1190</v>
      </c>
    </row>
    <row r="43" spans="1:29">
      <c r="A43" s="315" t="s">
        <v>1145</v>
      </c>
      <c r="B43" s="315" t="s">
        <v>1066</v>
      </c>
      <c r="C43" s="329">
        <v>4.6791344444444398</v>
      </c>
      <c r="D43" s="329">
        <v>113.7</v>
      </c>
      <c r="E43" s="316" t="s">
        <v>1242</v>
      </c>
      <c r="F43" s="316" t="s">
        <v>1243</v>
      </c>
      <c r="G43" s="317">
        <v>2.76</v>
      </c>
      <c r="H43" s="317">
        <v>0</v>
      </c>
      <c r="I43" s="317">
        <v>0</v>
      </c>
      <c r="J43" s="317">
        <v>1.1699788</v>
      </c>
      <c r="K43" s="318">
        <v>42.390536231884063</v>
      </c>
      <c r="L43" s="318">
        <v>67.633480608295301</v>
      </c>
      <c r="M43" s="319">
        <v>36.400858112942402</v>
      </c>
      <c r="N43" s="319">
        <v>-5.9896781189416615</v>
      </c>
      <c r="O43" s="319">
        <f t="shared" si="0"/>
        <v>0</v>
      </c>
      <c r="P43" s="317">
        <v>0</v>
      </c>
      <c r="Q43" s="315" t="s">
        <v>1168</v>
      </c>
      <c r="R43" s="318">
        <v>162</v>
      </c>
      <c r="T43" s="320">
        <v>72.222222222222229</v>
      </c>
      <c r="U43" s="318">
        <v>40</v>
      </c>
      <c r="V43" s="318">
        <v>212.9</v>
      </c>
      <c r="W43" s="318">
        <v>204</v>
      </c>
      <c r="X43" s="315">
        <v>0.23400000000000001</v>
      </c>
      <c r="Y43" s="318">
        <v>326.89999999999998</v>
      </c>
      <c r="Z43" s="315">
        <v>1</v>
      </c>
      <c r="AA43" s="315" t="s">
        <v>1149</v>
      </c>
      <c r="AB43" s="315">
        <v>0</v>
      </c>
      <c r="AC43" s="315" t="s">
        <v>1190</v>
      </c>
    </row>
    <row r="44" spans="1:29">
      <c r="A44" s="315" t="s">
        <v>1145</v>
      </c>
      <c r="B44" s="315" t="s">
        <v>1066</v>
      </c>
      <c r="C44" s="329">
        <v>4.6791344444444398</v>
      </c>
      <c r="D44" s="329">
        <v>113.7</v>
      </c>
      <c r="E44" s="316" t="s">
        <v>1244</v>
      </c>
      <c r="F44" s="316" t="s">
        <v>1245</v>
      </c>
      <c r="G44" s="317">
        <v>3.16</v>
      </c>
      <c r="H44" s="317">
        <v>0</v>
      </c>
      <c r="I44" s="317">
        <v>0</v>
      </c>
      <c r="J44" s="317">
        <v>0</v>
      </c>
      <c r="K44" s="318">
        <v>0</v>
      </c>
      <c r="L44" s="318">
        <v>68.023322283189103</v>
      </c>
      <c r="M44" s="319">
        <v>34.234794566564901</v>
      </c>
      <c r="N44" s="319">
        <v>34.234794566564901</v>
      </c>
      <c r="O44" s="319">
        <f t="shared" si="0"/>
        <v>34.234794566564901</v>
      </c>
      <c r="P44" s="317">
        <v>1.081819508303451</v>
      </c>
      <c r="Q44" s="315" t="s">
        <v>1168</v>
      </c>
      <c r="R44" s="318">
        <v>162</v>
      </c>
      <c r="T44" s="320">
        <v>72.222222222222229</v>
      </c>
      <c r="U44" s="318">
        <v>40</v>
      </c>
      <c r="V44" s="318">
        <v>97.69</v>
      </c>
      <c r="W44" s="318">
        <v>97.7</v>
      </c>
      <c r="X44" s="315">
        <v>0.22</v>
      </c>
      <c r="Y44" s="318">
        <v>613.4</v>
      </c>
      <c r="Z44" s="315">
        <v>1</v>
      </c>
      <c r="AA44" s="315" t="s">
        <v>1149</v>
      </c>
      <c r="AB44" s="315">
        <v>0</v>
      </c>
      <c r="AC44" s="315" t="s">
        <v>1190</v>
      </c>
    </row>
    <row r="45" spans="1:29">
      <c r="A45" s="315" t="s">
        <v>1145</v>
      </c>
      <c r="B45" s="315" t="s">
        <v>1066</v>
      </c>
      <c r="C45" s="329">
        <v>4.6791344444444398</v>
      </c>
      <c r="D45" s="329">
        <v>113.7</v>
      </c>
      <c r="E45" s="316" t="s">
        <v>1246</v>
      </c>
      <c r="F45" s="316" t="s">
        <v>1247</v>
      </c>
      <c r="G45" s="317">
        <v>17.63</v>
      </c>
      <c r="H45" s="317">
        <v>6.6432199999999995</v>
      </c>
      <c r="I45" s="317">
        <v>7.8297447</v>
      </c>
      <c r="J45" s="317">
        <v>8.5085329000000005</v>
      </c>
      <c r="K45" s="318">
        <v>48.261672716959737</v>
      </c>
      <c r="L45" s="318">
        <v>49.249161789225397</v>
      </c>
      <c r="M45" s="319">
        <v>41.752842898575196</v>
      </c>
      <c r="N45" s="319">
        <v>-6.508829818384541</v>
      </c>
      <c r="O45" s="319">
        <f t="shared" si="0"/>
        <v>0</v>
      </c>
      <c r="P45" s="317">
        <v>0</v>
      </c>
      <c r="Q45" s="315" t="s">
        <v>1148</v>
      </c>
      <c r="R45" s="318">
        <v>163</v>
      </c>
      <c r="T45" s="320">
        <v>72.777777777777771</v>
      </c>
      <c r="U45" s="318">
        <v>40</v>
      </c>
      <c r="V45" s="318">
        <v>203.9</v>
      </c>
      <c r="W45" s="318">
        <v>412</v>
      </c>
      <c r="X45" s="315">
        <v>0.21</v>
      </c>
      <c r="Y45" s="318">
        <v>138.80000000000001</v>
      </c>
      <c r="Z45" s="315">
        <v>5</v>
      </c>
      <c r="AA45" s="315" t="s">
        <v>1149</v>
      </c>
      <c r="AB45" s="315">
        <v>0</v>
      </c>
      <c r="AC45" s="315" t="s">
        <v>1190</v>
      </c>
    </row>
    <row r="46" spans="1:29">
      <c r="A46" s="315" t="s">
        <v>1145</v>
      </c>
      <c r="B46" s="315" t="s">
        <v>1066</v>
      </c>
      <c r="C46" s="329">
        <v>4.6791344444444398</v>
      </c>
      <c r="D46" s="329">
        <v>113.7</v>
      </c>
      <c r="E46" s="316" t="s">
        <v>1248</v>
      </c>
      <c r="F46" s="316" t="s">
        <v>1249</v>
      </c>
      <c r="G46" s="317">
        <v>22.91</v>
      </c>
      <c r="H46" s="317">
        <v>3.5366434999999998</v>
      </c>
      <c r="I46" s="317">
        <v>4.3115068000000001</v>
      </c>
      <c r="J46" s="317">
        <v>5.1642318999999999</v>
      </c>
      <c r="K46" s="318">
        <v>22.541387603666521</v>
      </c>
      <c r="L46" s="318">
        <v>51.759005533619302</v>
      </c>
      <c r="M46" s="319">
        <v>40.861751068046999</v>
      </c>
      <c r="N46" s="319">
        <v>18.320363464380478</v>
      </c>
      <c r="O46" s="319">
        <f t="shared" si="0"/>
        <v>18.320363464380478</v>
      </c>
      <c r="P46" s="317">
        <v>4.1971952696895674</v>
      </c>
      <c r="Q46" s="315" t="s">
        <v>1148</v>
      </c>
      <c r="R46" s="318">
        <v>163</v>
      </c>
      <c r="T46" s="320">
        <v>72.777777777777771</v>
      </c>
      <c r="U46" s="318">
        <v>40</v>
      </c>
      <c r="V46" s="318">
        <v>201.8</v>
      </c>
      <c r="W46" s="318">
        <v>412</v>
      </c>
      <c r="X46" s="315">
        <v>0.23</v>
      </c>
      <c r="Y46" s="318">
        <v>695.3</v>
      </c>
      <c r="Z46" s="315">
        <v>4</v>
      </c>
      <c r="AA46" s="315" t="s">
        <v>1149</v>
      </c>
      <c r="AB46" s="315">
        <v>0</v>
      </c>
      <c r="AC46" s="315" t="s">
        <v>1190</v>
      </c>
    </row>
    <row r="47" spans="1:29">
      <c r="A47" s="315" t="s">
        <v>1145</v>
      </c>
      <c r="B47" s="315" t="s">
        <v>1066</v>
      </c>
      <c r="C47" s="329">
        <v>4.6791344444444398</v>
      </c>
      <c r="D47" s="329">
        <v>113.7</v>
      </c>
      <c r="E47" s="316" t="s">
        <v>1250</v>
      </c>
      <c r="F47" s="316" t="s">
        <v>1251</v>
      </c>
      <c r="G47" s="317">
        <v>5.29</v>
      </c>
      <c r="H47" s="317">
        <v>0</v>
      </c>
      <c r="I47" s="317">
        <v>0</v>
      </c>
      <c r="J47" s="317">
        <v>0.16269749999999999</v>
      </c>
      <c r="K47" s="318">
        <v>3.0755671077504725</v>
      </c>
      <c r="L47" s="318">
        <v>77.206097679111707</v>
      </c>
      <c r="M47" s="319">
        <v>30.613610155374499</v>
      </c>
      <c r="N47" s="319">
        <v>27.538043047624026</v>
      </c>
      <c r="O47" s="319">
        <f t="shared" si="0"/>
        <v>27.538043047624026</v>
      </c>
      <c r="P47" s="317">
        <v>1.4567624772193111</v>
      </c>
      <c r="Q47" s="315" t="s">
        <v>1168</v>
      </c>
      <c r="R47" s="318">
        <v>165.1</v>
      </c>
      <c r="T47" s="320">
        <v>73.944444444444443</v>
      </c>
      <c r="U47" s="318">
        <v>32.799999999999997</v>
      </c>
      <c r="V47" s="318">
        <v>78.900000000000006</v>
      </c>
      <c r="W47" s="318">
        <v>78.900000000000006</v>
      </c>
      <c r="X47" s="315">
        <v>0.254</v>
      </c>
      <c r="Y47" s="318">
        <v>813</v>
      </c>
      <c r="Z47" s="315">
        <v>0</v>
      </c>
      <c r="AA47" s="315" t="s">
        <v>1149</v>
      </c>
      <c r="AB47" s="315">
        <v>0</v>
      </c>
      <c r="AC47" s="315" t="s">
        <v>1190</v>
      </c>
    </row>
    <row r="48" spans="1:29">
      <c r="A48" s="315" t="s">
        <v>1145</v>
      </c>
      <c r="B48" s="315" t="s">
        <v>1066</v>
      </c>
      <c r="C48" s="329">
        <v>4.6791344444444398</v>
      </c>
      <c r="D48" s="329">
        <v>113.7</v>
      </c>
      <c r="E48" s="316" t="s">
        <v>1252</v>
      </c>
      <c r="F48" s="316" t="s">
        <v>1253</v>
      </c>
      <c r="G48" s="317">
        <v>5.2208300000000003</v>
      </c>
      <c r="H48" s="317">
        <v>0</v>
      </c>
      <c r="I48" s="317">
        <v>0</v>
      </c>
      <c r="J48" s="317">
        <v>0.350713</v>
      </c>
      <c r="K48" s="318">
        <v>6.7175717271008626</v>
      </c>
      <c r="L48" s="318">
        <v>50.853764836962199</v>
      </c>
      <c r="M48" s="319">
        <v>40.407634762526399</v>
      </c>
      <c r="N48" s="319">
        <v>33.690063035425538</v>
      </c>
      <c r="O48" s="319">
        <f t="shared" si="0"/>
        <v>33.690063035425538</v>
      </c>
      <c r="P48" s="317">
        <v>1.7589009179724073</v>
      </c>
      <c r="Q48" s="315" t="s">
        <v>1168</v>
      </c>
      <c r="R48" s="318">
        <v>165.1</v>
      </c>
      <c r="T48" s="320">
        <v>73.944444444444443</v>
      </c>
      <c r="U48" s="318">
        <v>32.799999999999997</v>
      </c>
      <c r="V48" s="318">
        <v>19.899999999999999</v>
      </c>
      <c r="W48" s="318">
        <v>11</v>
      </c>
      <c r="X48" s="315">
        <v>0.27</v>
      </c>
      <c r="Y48" s="318">
        <v>117.8</v>
      </c>
      <c r="Z48" s="315">
        <v>0</v>
      </c>
      <c r="AA48" s="315" t="s">
        <v>1149</v>
      </c>
      <c r="AB48" s="315">
        <v>0</v>
      </c>
      <c r="AC48" s="315" t="s">
        <v>1190</v>
      </c>
    </row>
    <row r="49" spans="1:29">
      <c r="A49" s="315" t="s">
        <v>1145</v>
      </c>
      <c r="B49" s="315" t="s">
        <v>1066</v>
      </c>
      <c r="C49" s="329">
        <v>4.6791344444444398</v>
      </c>
      <c r="D49" s="329">
        <v>113.7</v>
      </c>
      <c r="E49" s="316" t="s">
        <v>1254</v>
      </c>
      <c r="F49" s="316" t="s">
        <v>1255</v>
      </c>
      <c r="G49" s="317">
        <v>5.9480000000000004</v>
      </c>
      <c r="H49" s="317">
        <v>0</v>
      </c>
      <c r="I49" s="317">
        <v>0</v>
      </c>
      <c r="J49" s="317">
        <v>0.72104950000000001</v>
      </c>
      <c r="K49" s="318">
        <v>12.122553799596503</v>
      </c>
      <c r="L49" s="318">
        <v>69.177823065870101</v>
      </c>
      <c r="M49" s="319">
        <v>34.5047435678757</v>
      </c>
      <c r="N49" s="319">
        <v>22.382189768279197</v>
      </c>
      <c r="O49" s="319">
        <f t="shared" si="0"/>
        <v>22.382189768279197</v>
      </c>
      <c r="P49" s="317">
        <v>1.3312926474172468</v>
      </c>
      <c r="Q49" s="315" t="s">
        <v>1168</v>
      </c>
      <c r="R49" s="318">
        <v>166</v>
      </c>
      <c r="T49" s="320">
        <v>74.444444444444443</v>
      </c>
      <c r="U49" s="318">
        <v>41</v>
      </c>
      <c r="V49" s="318">
        <v>92.8</v>
      </c>
      <c r="W49" s="318">
        <v>168</v>
      </c>
      <c r="X49" s="315">
        <v>0.22</v>
      </c>
      <c r="Y49" s="318">
        <v>232.2</v>
      </c>
      <c r="Z49" s="315">
        <v>1</v>
      </c>
      <c r="AA49" s="315" t="s">
        <v>1149</v>
      </c>
      <c r="AB49" s="315">
        <v>0</v>
      </c>
      <c r="AC49" s="315" t="s">
        <v>1190</v>
      </c>
    </row>
    <row r="50" spans="1:29">
      <c r="A50" s="315" t="s">
        <v>1145</v>
      </c>
      <c r="B50" s="315" t="s">
        <v>1066</v>
      </c>
      <c r="C50" s="329">
        <v>4.6791344444444398</v>
      </c>
      <c r="D50" s="329">
        <v>113.7</v>
      </c>
      <c r="E50" s="316" t="s">
        <v>1256</v>
      </c>
      <c r="F50" s="316" t="s">
        <v>1257</v>
      </c>
      <c r="G50" s="317">
        <v>30.27</v>
      </c>
      <c r="H50" s="317">
        <v>6.2362419999999998</v>
      </c>
      <c r="I50" s="317">
        <v>6.7988878000000001</v>
      </c>
      <c r="J50" s="317">
        <v>7.6630687999999996</v>
      </c>
      <c r="K50" s="318">
        <v>25.315721176081929</v>
      </c>
      <c r="L50" s="318">
        <v>60.782817809767302</v>
      </c>
      <c r="M50" s="319">
        <v>38.915967188922501</v>
      </c>
      <c r="N50" s="319">
        <v>13.600246012840572</v>
      </c>
      <c r="O50" s="319">
        <f t="shared" si="0"/>
        <v>13.600246012840572</v>
      </c>
      <c r="P50" s="317">
        <v>4.1167944680868409</v>
      </c>
      <c r="Q50" s="315" t="s">
        <v>1148</v>
      </c>
      <c r="R50" s="318">
        <v>167</v>
      </c>
      <c r="T50" s="320">
        <v>75</v>
      </c>
      <c r="U50" s="318">
        <v>41</v>
      </c>
      <c r="V50" s="318">
        <v>271.89999999999998</v>
      </c>
      <c r="W50" s="318">
        <v>357</v>
      </c>
      <c r="X50" s="315">
        <v>0.23</v>
      </c>
      <c r="Y50" s="318">
        <v>365.2</v>
      </c>
      <c r="Z50" s="315">
        <v>7</v>
      </c>
      <c r="AA50" s="315" t="s">
        <v>1149</v>
      </c>
      <c r="AB50" s="315">
        <v>0</v>
      </c>
      <c r="AC50" s="315" t="s">
        <v>1190</v>
      </c>
    </row>
    <row r="51" spans="1:29">
      <c r="A51" s="315" t="s">
        <v>1504</v>
      </c>
      <c r="B51" s="315" t="s">
        <v>1066</v>
      </c>
      <c r="C51" s="329">
        <v>4.6791344444444398</v>
      </c>
      <c r="D51" s="329">
        <v>113.7</v>
      </c>
      <c r="E51" s="316" t="s">
        <v>1258</v>
      </c>
      <c r="F51" s="316" t="s">
        <v>1259</v>
      </c>
      <c r="G51" s="317">
        <v>2.0299999999999998</v>
      </c>
      <c r="H51" s="317">
        <v>0.26398129999999997</v>
      </c>
      <c r="I51" s="317">
        <v>0.28779819999999995</v>
      </c>
      <c r="J51" s="317">
        <v>0.29882499999999995</v>
      </c>
      <c r="K51" s="318">
        <v>14.720443349753692</v>
      </c>
      <c r="L51" s="318">
        <v>63.025272014232797</v>
      </c>
      <c r="M51" s="319">
        <v>37.9320857290436</v>
      </c>
      <c r="N51" s="319">
        <v>23.211642379289906</v>
      </c>
      <c r="O51" s="319">
        <f t="shared" si="0"/>
        <v>23.211642379289906</v>
      </c>
      <c r="P51" s="317">
        <v>0.47119634029958507</v>
      </c>
      <c r="Q51" s="315" t="s">
        <v>1148</v>
      </c>
      <c r="R51" s="318">
        <v>168</v>
      </c>
      <c r="T51" s="320">
        <v>75.555555555555557</v>
      </c>
      <c r="U51" s="318">
        <v>35.5</v>
      </c>
      <c r="V51" s="318">
        <v>128.19999999999999</v>
      </c>
      <c r="W51" s="318">
        <v>109.48279999999998</v>
      </c>
      <c r="X51" s="315">
        <v>0.23499999999999999</v>
      </c>
      <c r="Y51" s="318">
        <v>279.89999999999998</v>
      </c>
      <c r="Z51" s="315">
        <v>2</v>
      </c>
      <c r="AA51" s="315" t="s">
        <v>1149</v>
      </c>
      <c r="AB51" s="315">
        <v>0</v>
      </c>
      <c r="AC51" s="315" t="s">
        <v>1190</v>
      </c>
    </row>
    <row r="52" spans="1:29">
      <c r="A52" s="315" t="s">
        <v>1145</v>
      </c>
      <c r="B52" s="315" t="s">
        <v>1066</v>
      </c>
      <c r="C52" s="329">
        <v>4.6791344444444398</v>
      </c>
      <c r="D52" s="329">
        <v>113.7</v>
      </c>
      <c r="E52" s="316" t="s">
        <v>1260</v>
      </c>
      <c r="F52" s="316" t="s">
        <v>1259</v>
      </c>
      <c r="G52" s="317">
        <v>4.92</v>
      </c>
      <c r="H52" s="317">
        <v>0</v>
      </c>
      <c r="I52" s="317">
        <v>0</v>
      </c>
      <c r="J52" s="317">
        <v>0.66463099999999997</v>
      </c>
      <c r="K52" s="318">
        <v>13.508760162601627</v>
      </c>
      <c r="L52" s="318">
        <v>68.005934765304502</v>
      </c>
      <c r="M52" s="319">
        <v>36.483920236192901</v>
      </c>
      <c r="N52" s="319">
        <v>22.975160073591276</v>
      </c>
      <c r="O52" s="319">
        <f t="shared" si="0"/>
        <v>22.975160073591276</v>
      </c>
      <c r="P52" s="317">
        <v>1.1303778756206908</v>
      </c>
      <c r="Q52" s="315" t="s">
        <v>1168</v>
      </c>
      <c r="R52" s="318">
        <v>168.3</v>
      </c>
      <c r="T52" s="320">
        <v>75.722222222222229</v>
      </c>
      <c r="U52" s="318">
        <v>37.200000000000003</v>
      </c>
      <c r="V52" s="318">
        <v>192.6</v>
      </c>
      <c r="W52" s="318">
        <v>202</v>
      </c>
      <c r="X52" s="315">
        <v>0.22</v>
      </c>
      <c r="Y52" s="318">
        <v>544.29999999999995</v>
      </c>
      <c r="Z52" s="315">
        <v>0</v>
      </c>
      <c r="AA52" s="315" t="s">
        <v>1149</v>
      </c>
      <c r="AB52" s="315">
        <v>0</v>
      </c>
      <c r="AC52" s="315" t="s">
        <v>1190</v>
      </c>
    </row>
    <row r="53" spans="1:29">
      <c r="A53" s="315" t="s">
        <v>1145</v>
      </c>
      <c r="B53" s="315" t="s">
        <v>1066</v>
      </c>
      <c r="C53" s="329">
        <v>4.6791344444444398</v>
      </c>
      <c r="D53" s="329">
        <v>113.7</v>
      </c>
      <c r="E53" s="316" t="s">
        <v>1263</v>
      </c>
      <c r="F53" s="316" t="s">
        <v>1264</v>
      </c>
      <c r="G53" s="317">
        <v>3.9300071000000001</v>
      </c>
      <c r="H53" s="317">
        <v>3.3649562</v>
      </c>
      <c r="I53" s="317">
        <v>3.6685490000000001</v>
      </c>
      <c r="J53" s="317">
        <v>4.8935696000000002</v>
      </c>
      <c r="K53" s="318">
        <v>124.51808547623236</v>
      </c>
      <c r="L53" s="318">
        <v>54.025703073949401</v>
      </c>
      <c r="M53" s="319">
        <v>40.081498507864296</v>
      </c>
      <c r="N53" s="319">
        <v>-84.436586968368061</v>
      </c>
      <c r="O53" s="319">
        <f t="shared" si="0"/>
        <v>0</v>
      </c>
      <c r="P53" s="317">
        <v>0</v>
      </c>
      <c r="Q53" s="315" t="s">
        <v>1148</v>
      </c>
      <c r="R53" s="318">
        <v>168.9</v>
      </c>
      <c r="T53" s="320">
        <v>76.055555555555557</v>
      </c>
      <c r="U53" s="318">
        <v>36.299999999999997</v>
      </c>
      <c r="V53" s="318">
        <v>45.9</v>
      </c>
      <c r="W53" s="318">
        <v>93</v>
      </c>
      <c r="X53" s="315">
        <v>0.24</v>
      </c>
      <c r="Y53" s="318">
        <v>203.2</v>
      </c>
      <c r="Z53" s="315">
        <v>1</v>
      </c>
      <c r="AA53" s="315" t="s">
        <v>1149</v>
      </c>
      <c r="AB53" s="315">
        <v>0</v>
      </c>
      <c r="AC53" s="315" t="s">
        <v>1190</v>
      </c>
    </row>
    <row r="54" spans="1:29">
      <c r="A54" s="315" t="s">
        <v>1209</v>
      </c>
      <c r="B54" s="315" t="s">
        <v>1066</v>
      </c>
      <c r="C54" s="329">
        <v>4.6791344444444398</v>
      </c>
      <c r="D54" s="329">
        <v>113.7</v>
      </c>
      <c r="E54" s="316" t="s">
        <v>1265</v>
      </c>
      <c r="F54" s="316" t="s">
        <v>1266</v>
      </c>
      <c r="G54" s="317">
        <v>5.98</v>
      </c>
      <c r="H54" s="317">
        <v>5.0992900000000001E-2</v>
      </c>
      <c r="I54" s="317">
        <v>5.55936E-2</v>
      </c>
      <c r="J54" s="317">
        <v>5.77236E-2</v>
      </c>
      <c r="K54" s="318">
        <v>0.96527759197324403</v>
      </c>
      <c r="L54" s="318">
        <v>69.852405398358101</v>
      </c>
      <c r="M54" s="319">
        <v>34.270409563563597</v>
      </c>
      <c r="N54" s="319">
        <v>33.305131971590356</v>
      </c>
      <c r="O54" s="319">
        <f t="shared" si="0"/>
        <v>33.305131971590356</v>
      </c>
      <c r="P54" s="317">
        <v>1.9916468919011034</v>
      </c>
      <c r="Q54" s="315" t="s">
        <v>1148</v>
      </c>
      <c r="R54" s="318">
        <v>169</v>
      </c>
      <c r="T54" s="320">
        <v>76.111111111111114</v>
      </c>
      <c r="U54" s="318">
        <v>36.6</v>
      </c>
      <c r="V54" s="318">
        <v>112</v>
      </c>
      <c r="W54" s="318">
        <v>112</v>
      </c>
      <c r="X54" s="315">
        <v>0.21</v>
      </c>
      <c r="Y54" s="318">
        <v>19</v>
      </c>
      <c r="Z54" s="315">
        <v>3</v>
      </c>
      <c r="AA54" s="315" t="s">
        <v>1149</v>
      </c>
      <c r="AB54" s="315">
        <v>0</v>
      </c>
      <c r="AC54" s="315" t="s">
        <v>1190</v>
      </c>
    </row>
    <row r="55" spans="1:29">
      <c r="A55" s="315" t="s">
        <v>1145</v>
      </c>
      <c r="B55" s="315" t="s">
        <v>1066</v>
      </c>
      <c r="C55" s="329">
        <v>4.6791344444444398</v>
      </c>
      <c r="D55" s="329">
        <v>113.7</v>
      </c>
      <c r="E55" s="316" t="s">
        <v>1267</v>
      </c>
      <c r="F55" s="316" t="s">
        <v>1268</v>
      </c>
      <c r="G55" s="317">
        <v>36.97</v>
      </c>
      <c r="H55" s="317">
        <v>12.6276791</v>
      </c>
      <c r="I55" s="317">
        <v>13.766972599999999</v>
      </c>
      <c r="J55" s="317">
        <v>14.294446999999998</v>
      </c>
      <c r="K55" s="318">
        <v>38.664990532864479</v>
      </c>
      <c r="L55" s="318">
        <v>49.4492027911447</v>
      </c>
      <c r="M55" s="319">
        <v>39.694095688753499</v>
      </c>
      <c r="N55" s="319">
        <v>1.0291051558890203</v>
      </c>
      <c r="O55" s="319">
        <f t="shared" si="0"/>
        <v>1.0291051558890203</v>
      </c>
      <c r="P55" s="317">
        <v>0.38046017613217076</v>
      </c>
      <c r="Q55" s="315" t="s">
        <v>1148</v>
      </c>
      <c r="R55" s="318">
        <v>169.6</v>
      </c>
      <c r="T55" s="320">
        <v>76.444444444444443</v>
      </c>
      <c r="U55" s="318">
        <v>36.950000000000003</v>
      </c>
      <c r="V55" s="318">
        <v>20</v>
      </c>
      <c r="W55" s="318">
        <v>18.582999999999998</v>
      </c>
      <c r="X55" s="315">
        <v>0.186644</v>
      </c>
      <c r="Y55" s="318">
        <v>68.285619999999994</v>
      </c>
      <c r="Z55" s="315">
        <v>18</v>
      </c>
      <c r="AA55" s="315" t="s">
        <v>1149</v>
      </c>
      <c r="AB55" s="315">
        <v>0</v>
      </c>
      <c r="AC55" s="315" t="s">
        <v>1190</v>
      </c>
    </row>
    <row r="56" spans="1:29">
      <c r="A56" s="315" t="s">
        <v>1145</v>
      </c>
      <c r="B56" s="315" t="s">
        <v>1066</v>
      </c>
      <c r="C56" s="329">
        <v>4.6791344444444398</v>
      </c>
      <c r="D56" s="329">
        <v>113.7</v>
      </c>
      <c r="E56" s="316" t="s">
        <v>1269</v>
      </c>
      <c r="F56" s="316" t="s">
        <v>1270</v>
      </c>
      <c r="G56" s="317">
        <v>1.07</v>
      </c>
      <c r="H56" s="317">
        <v>2.9990000000000003E-4</v>
      </c>
      <c r="I56" s="317">
        <v>0.20583319999999999</v>
      </c>
      <c r="J56" s="317">
        <v>0.20583319999999999</v>
      </c>
      <c r="K56" s="318">
        <v>19.236747663551402</v>
      </c>
      <c r="L56" s="318">
        <v>66.438014237956693</v>
      </c>
      <c r="M56" s="319">
        <v>36.434859919355297</v>
      </c>
      <c r="N56" s="319">
        <v>17.198112255803895</v>
      </c>
      <c r="O56" s="319">
        <f t="shared" si="0"/>
        <v>17.198112255803895</v>
      </c>
      <c r="P56" s="317">
        <v>0.1840198011371017</v>
      </c>
      <c r="Q56" s="315" t="s">
        <v>1148</v>
      </c>
      <c r="R56" s="318">
        <v>170.9</v>
      </c>
      <c r="T56" s="320">
        <v>77.166666666666671</v>
      </c>
      <c r="U56" s="318">
        <v>38.200000000000003</v>
      </c>
      <c r="V56" s="318">
        <v>209</v>
      </c>
      <c r="W56" s="318">
        <v>209</v>
      </c>
      <c r="X56" s="315">
        <v>0.2</v>
      </c>
      <c r="Y56" s="318">
        <v>200</v>
      </c>
      <c r="Z56" s="315">
        <v>0</v>
      </c>
      <c r="AA56" s="315" t="s">
        <v>1149</v>
      </c>
      <c r="AB56" s="315">
        <v>0</v>
      </c>
      <c r="AC56" s="315" t="s">
        <v>1190</v>
      </c>
    </row>
    <row r="57" spans="1:29">
      <c r="A57" s="315" t="s">
        <v>1145</v>
      </c>
      <c r="B57" s="315" t="s">
        <v>1066</v>
      </c>
      <c r="C57" s="329">
        <v>4.6791344444444398</v>
      </c>
      <c r="D57" s="329">
        <v>113.7</v>
      </c>
      <c r="E57" s="316" t="s">
        <v>1271</v>
      </c>
      <c r="F57" s="316" t="s">
        <v>1272</v>
      </c>
      <c r="G57" s="317">
        <v>5.53</v>
      </c>
      <c r="H57" s="317">
        <v>2.2992946000000001</v>
      </c>
      <c r="I57" s="317">
        <v>2.5195286000000001</v>
      </c>
      <c r="J57" s="317">
        <v>2.6155723000000002</v>
      </c>
      <c r="K57" s="318">
        <v>47.297871609403259</v>
      </c>
      <c r="L57" s="318">
        <v>57.144092173545403</v>
      </c>
      <c r="M57" s="319">
        <v>38.460634363660901</v>
      </c>
      <c r="N57" s="319">
        <v>-8.837237245742358</v>
      </c>
      <c r="O57" s="319">
        <f t="shared" si="0"/>
        <v>0</v>
      </c>
      <c r="P57" s="317">
        <v>0</v>
      </c>
      <c r="Q57" s="315" t="s">
        <v>1148</v>
      </c>
      <c r="R57" s="318">
        <v>171</v>
      </c>
      <c r="T57" s="320">
        <v>77.222222222222229</v>
      </c>
      <c r="U57" s="318">
        <v>41</v>
      </c>
      <c r="V57" s="318">
        <v>15.8</v>
      </c>
      <c r="W57" s="318">
        <v>108</v>
      </c>
      <c r="X57" s="315">
        <v>0.21</v>
      </c>
      <c r="Y57" s="318">
        <v>139.1</v>
      </c>
      <c r="Z57" s="315">
        <v>2</v>
      </c>
      <c r="AA57" s="315" t="s">
        <v>1149</v>
      </c>
      <c r="AB57" s="315">
        <v>0</v>
      </c>
      <c r="AC57" s="315" t="s">
        <v>1190</v>
      </c>
    </row>
    <row r="58" spans="1:29">
      <c r="A58" s="315" t="s">
        <v>1145</v>
      </c>
      <c r="B58" s="315" t="s">
        <v>1066</v>
      </c>
      <c r="C58" s="329">
        <v>4.6791344444444398</v>
      </c>
      <c r="D58" s="329">
        <v>113.7</v>
      </c>
      <c r="E58" s="316" t="s">
        <v>1273</v>
      </c>
      <c r="F58" s="316" t="s">
        <v>1274</v>
      </c>
      <c r="G58" s="317">
        <v>8.0399999999999991</v>
      </c>
      <c r="H58" s="317">
        <v>1.0732306</v>
      </c>
      <c r="I58" s="317">
        <v>1.1700595</v>
      </c>
      <c r="J58" s="317">
        <v>1.2148897000000001</v>
      </c>
      <c r="K58" s="318">
        <v>15.110568407960201</v>
      </c>
      <c r="L58" s="318">
        <v>59.247852216566301</v>
      </c>
      <c r="M58" s="319">
        <v>37.533694934410903</v>
      </c>
      <c r="N58" s="319">
        <v>22.423126526450702</v>
      </c>
      <c r="O58" s="319">
        <f t="shared" si="0"/>
        <v>22.423126526450702</v>
      </c>
      <c r="P58" s="317">
        <v>1.8028193727266362</v>
      </c>
      <c r="Q58" s="315" t="s">
        <v>1148</v>
      </c>
      <c r="R58" s="318">
        <v>171</v>
      </c>
      <c r="T58" s="320">
        <v>77.222222222222229</v>
      </c>
      <c r="U58" s="318">
        <v>41</v>
      </c>
      <c r="V58" s="318">
        <v>208.5</v>
      </c>
      <c r="W58" s="318">
        <v>108</v>
      </c>
      <c r="X58" s="315">
        <v>0.188</v>
      </c>
      <c r="Y58" s="318">
        <v>51.8</v>
      </c>
      <c r="Z58" s="315">
        <v>1</v>
      </c>
      <c r="AA58" s="315" t="s">
        <v>1149</v>
      </c>
      <c r="AB58" s="315">
        <v>0</v>
      </c>
      <c r="AC58" s="315" t="s">
        <v>1190</v>
      </c>
    </row>
    <row r="59" spans="1:29">
      <c r="A59" s="315" t="s">
        <v>1145</v>
      </c>
      <c r="B59" s="315" t="s">
        <v>1066</v>
      </c>
      <c r="C59" s="329">
        <v>4.6791344444444398</v>
      </c>
      <c r="D59" s="329">
        <v>113.7</v>
      </c>
      <c r="E59" s="316" t="s">
        <v>1275</v>
      </c>
      <c r="F59" s="316" t="s">
        <v>1276</v>
      </c>
      <c r="G59" s="317">
        <v>17.600000000000001</v>
      </c>
      <c r="H59" s="317">
        <v>1.2370079</v>
      </c>
      <c r="I59" s="317">
        <v>1.3486131000000001</v>
      </c>
      <c r="J59" s="317">
        <v>1.4002845000000002</v>
      </c>
      <c r="K59" s="318">
        <v>7.9561619318181815</v>
      </c>
      <c r="L59" s="318">
        <v>59.239876242554701</v>
      </c>
      <c r="M59" s="319">
        <v>39.765917224253101</v>
      </c>
      <c r="N59" s="319">
        <v>31.809755292434922</v>
      </c>
      <c r="O59" s="319">
        <f t="shared" si="0"/>
        <v>31.809755292434922</v>
      </c>
      <c r="P59" s="317">
        <v>5.5985169314685468</v>
      </c>
      <c r="Q59" s="315" t="s">
        <v>1148</v>
      </c>
      <c r="R59" s="318">
        <v>171</v>
      </c>
      <c r="T59" s="320">
        <v>77.222222222222229</v>
      </c>
      <c r="U59" s="318">
        <v>38.200000000000003</v>
      </c>
      <c r="V59" s="318">
        <v>217.9</v>
      </c>
      <c r="W59" s="318">
        <v>334</v>
      </c>
      <c r="X59" s="315">
        <v>0.22</v>
      </c>
      <c r="Y59" s="318">
        <v>129.05000000000001</v>
      </c>
      <c r="Z59" s="315">
        <v>3</v>
      </c>
      <c r="AA59" s="315" t="s">
        <v>1149</v>
      </c>
      <c r="AB59" s="315">
        <v>0</v>
      </c>
      <c r="AC59" s="315" t="s">
        <v>1190</v>
      </c>
    </row>
    <row r="60" spans="1:29">
      <c r="A60" s="315" t="s">
        <v>1145</v>
      </c>
      <c r="B60" s="315" t="s">
        <v>1066</v>
      </c>
      <c r="C60" s="329">
        <v>4.6791344444444398</v>
      </c>
      <c r="D60" s="329">
        <v>113.7</v>
      </c>
      <c r="E60" s="316" t="s">
        <v>1278</v>
      </c>
      <c r="F60" s="316" t="s">
        <v>1279</v>
      </c>
      <c r="G60" s="317">
        <v>5.45</v>
      </c>
      <c r="H60" s="317">
        <v>2.1378590000000002</v>
      </c>
      <c r="I60" s="317">
        <v>2.3307408000000001</v>
      </c>
      <c r="J60" s="317">
        <v>2.9013264000000003</v>
      </c>
      <c r="K60" s="318">
        <v>53.235346788990832</v>
      </c>
      <c r="L60" s="318">
        <v>64.316322051132104</v>
      </c>
      <c r="M60" s="319">
        <v>35.733663706523899</v>
      </c>
      <c r="N60" s="319">
        <v>-17.501683082466933</v>
      </c>
      <c r="O60" s="319">
        <f t="shared" si="0"/>
        <v>0</v>
      </c>
      <c r="P60" s="317">
        <v>0</v>
      </c>
      <c r="Q60" s="315" t="s">
        <v>1148</v>
      </c>
      <c r="R60" s="318">
        <v>173.1</v>
      </c>
      <c r="T60" s="320">
        <v>78.388888888888886</v>
      </c>
      <c r="U60" s="318">
        <v>40</v>
      </c>
      <c r="V60" s="318">
        <v>157.9</v>
      </c>
      <c r="W60" s="318">
        <v>309</v>
      </c>
      <c r="X60" s="315">
        <v>0.22</v>
      </c>
      <c r="Y60" s="318">
        <v>51.7</v>
      </c>
      <c r="Z60" s="315">
        <v>0</v>
      </c>
      <c r="AA60" s="315" t="s">
        <v>1149</v>
      </c>
      <c r="AB60" s="315">
        <v>0</v>
      </c>
      <c r="AC60" s="315" t="s">
        <v>1190</v>
      </c>
    </row>
    <row r="61" spans="1:29">
      <c r="A61" s="315" t="s">
        <v>1145</v>
      </c>
      <c r="B61" s="315" t="s">
        <v>1066</v>
      </c>
      <c r="C61" s="329">
        <v>4.6791344444444398</v>
      </c>
      <c r="D61" s="329">
        <v>113.7</v>
      </c>
      <c r="E61" s="316" t="s">
        <v>1280</v>
      </c>
      <c r="F61" s="316" t="s">
        <v>1281</v>
      </c>
      <c r="G61" s="317">
        <v>2.2999999999999998</v>
      </c>
      <c r="H61" s="317">
        <v>0</v>
      </c>
      <c r="I61" s="317">
        <v>0</v>
      </c>
      <c r="J61" s="317">
        <v>0</v>
      </c>
      <c r="K61" s="318">
        <v>0</v>
      </c>
      <c r="L61" s="318">
        <v>63.0699599604729</v>
      </c>
      <c r="M61" s="319">
        <v>35.970703379863899</v>
      </c>
      <c r="N61" s="319">
        <v>35.970703379863899</v>
      </c>
      <c r="O61" s="319">
        <f t="shared" si="0"/>
        <v>35.970703379863899</v>
      </c>
      <c r="P61" s="317">
        <v>0.82732617773686967</v>
      </c>
      <c r="Q61" s="315" t="s">
        <v>1168</v>
      </c>
      <c r="R61" s="318">
        <v>173.3</v>
      </c>
      <c r="T61" s="320">
        <v>78.5</v>
      </c>
      <c r="U61" s="318">
        <v>40</v>
      </c>
      <c r="V61" s="318">
        <v>84.27</v>
      </c>
      <c r="W61" s="318">
        <v>84.27</v>
      </c>
      <c r="X61" s="315">
        <v>0.189</v>
      </c>
      <c r="Y61" s="318">
        <v>29.9</v>
      </c>
      <c r="Z61" s="315">
        <v>0</v>
      </c>
      <c r="AA61" s="315" t="s">
        <v>1149</v>
      </c>
      <c r="AB61" s="315">
        <v>0</v>
      </c>
      <c r="AC61" s="315" t="s">
        <v>1157</v>
      </c>
    </row>
    <row r="62" spans="1:29">
      <c r="A62" s="315" t="s">
        <v>1145</v>
      </c>
      <c r="B62" s="315" t="s">
        <v>1066</v>
      </c>
      <c r="C62" s="329">
        <v>4.6791344444444398</v>
      </c>
      <c r="D62" s="329">
        <v>113.7</v>
      </c>
      <c r="E62" s="316" t="s">
        <v>1282</v>
      </c>
      <c r="F62" s="316" t="s">
        <v>1283</v>
      </c>
      <c r="G62" s="317">
        <v>7.21</v>
      </c>
      <c r="H62" s="317">
        <v>0.24759030000000001</v>
      </c>
      <c r="I62" s="317">
        <v>0.72497790000000006</v>
      </c>
      <c r="J62" s="317">
        <v>1.4636879999999999</v>
      </c>
      <c r="K62" s="318">
        <v>20.300804438280164</v>
      </c>
      <c r="L62" s="318">
        <v>69.572816860654399</v>
      </c>
      <c r="M62" s="319">
        <v>34.510048012481398</v>
      </c>
      <c r="N62" s="319">
        <v>14.209243574201235</v>
      </c>
      <c r="O62" s="319">
        <f t="shared" si="0"/>
        <v>14.209243574201235</v>
      </c>
      <c r="P62" s="317">
        <v>1.0244864616999092</v>
      </c>
      <c r="Q62" s="315" t="s">
        <v>1148</v>
      </c>
      <c r="R62" s="318">
        <v>173.7</v>
      </c>
      <c r="T62" s="320">
        <v>78.722222222222229</v>
      </c>
      <c r="U62" s="318">
        <v>40</v>
      </c>
      <c r="V62" s="318">
        <v>84.1</v>
      </c>
      <c r="W62" s="318">
        <v>318</v>
      </c>
      <c r="X62" s="315">
        <v>0.19</v>
      </c>
      <c r="Y62" s="318">
        <v>23.1</v>
      </c>
      <c r="Z62" s="315">
        <v>2</v>
      </c>
      <c r="AA62" s="315" t="s">
        <v>1149</v>
      </c>
      <c r="AB62" s="315">
        <v>0</v>
      </c>
      <c r="AC62" s="315" t="s">
        <v>1190</v>
      </c>
    </row>
    <row r="63" spans="1:29">
      <c r="A63" s="315" t="s">
        <v>1209</v>
      </c>
      <c r="B63" s="315" t="s">
        <v>1066</v>
      </c>
      <c r="C63" s="329">
        <v>4.6791344444444398</v>
      </c>
      <c r="D63" s="329">
        <v>113.7</v>
      </c>
      <c r="E63" s="316" t="s">
        <v>1284</v>
      </c>
      <c r="F63" s="316" t="s">
        <v>1285</v>
      </c>
      <c r="G63" s="317">
        <v>23.55</v>
      </c>
      <c r="H63" s="317">
        <v>3.9698549000000001</v>
      </c>
      <c r="I63" s="317">
        <v>5.1206897000000007</v>
      </c>
      <c r="J63" s="317">
        <v>5.2864673000000009</v>
      </c>
      <c r="K63" s="318">
        <v>22.447844161358816</v>
      </c>
      <c r="L63" s="318">
        <v>65.780394725376098</v>
      </c>
      <c r="M63" s="319">
        <v>37.2916767240635</v>
      </c>
      <c r="N63" s="319">
        <v>14.843832562704684</v>
      </c>
      <c r="O63" s="319">
        <f t="shared" si="0"/>
        <v>14.843832562704684</v>
      </c>
      <c r="P63" s="317">
        <v>3.4957225685169533</v>
      </c>
      <c r="Q63" s="315" t="s">
        <v>1148</v>
      </c>
      <c r="R63" s="318">
        <v>174</v>
      </c>
      <c r="T63" s="320">
        <v>78.888888888888886</v>
      </c>
      <c r="U63" s="318">
        <v>40</v>
      </c>
      <c r="V63" s="318">
        <v>203.5</v>
      </c>
      <c r="W63" s="318">
        <v>346</v>
      </c>
      <c r="X63" s="315">
        <v>0.21</v>
      </c>
      <c r="Y63" s="318">
        <v>182.1</v>
      </c>
      <c r="Z63" s="315">
        <v>9</v>
      </c>
      <c r="AA63" s="315" t="s">
        <v>1149</v>
      </c>
      <c r="AB63" s="315">
        <v>0</v>
      </c>
      <c r="AC63" s="315" t="s">
        <v>1190</v>
      </c>
    </row>
    <row r="64" spans="1:29">
      <c r="A64" s="315" t="s">
        <v>1145</v>
      </c>
      <c r="B64" s="315" t="s">
        <v>1066</v>
      </c>
      <c r="C64" s="329">
        <v>4.6791344444444398</v>
      </c>
      <c r="D64" s="329">
        <v>113.7</v>
      </c>
      <c r="E64" s="316" t="s">
        <v>1286</v>
      </c>
      <c r="F64" s="316" t="s">
        <v>1287</v>
      </c>
      <c r="G64" s="317">
        <v>3.81</v>
      </c>
      <c r="H64" s="317">
        <v>0.99607590000000001</v>
      </c>
      <c r="I64" s="317">
        <v>1.5101673</v>
      </c>
      <c r="J64" s="317">
        <v>1.5517487999999999</v>
      </c>
      <c r="K64" s="318">
        <v>40.728314960629916</v>
      </c>
      <c r="L64" s="318">
        <v>71.294614748497395</v>
      </c>
      <c r="M64" s="319">
        <v>33.557594415488204</v>
      </c>
      <c r="N64" s="319">
        <v>-7.1707205451417124</v>
      </c>
      <c r="O64" s="319">
        <f t="shared" si="0"/>
        <v>0</v>
      </c>
      <c r="P64" s="317">
        <v>0</v>
      </c>
      <c r="Q64" s="315" t="s">
        <v>1148</v>
      </c>
      <c r="R64" s="318">
        <v>174.3</v>
      </c>
      <c r="T64" s="320">
        <v>79.055555555555557</v>
      </c>
      <c r="U64" s="318">
        <v>40</v>
      </c>
      <c r="V64" s="318">
        <v>188.3</v>
      </c>
      <c r="W64" s="318">
        <v>200</v>
      </c>
      <c r="X64" s="315">
        <v>0.19</v>
      </c>
      <c r="Y64" s="318">
        <v>36.9</v>
      </c>
      <c r="Z64" s="315">
        <v>2</v>
      </c>
      <c r="AA64" s="315" t="s">
        <v>1149</v>
      </c>
      <c r="AB64" s="315">
        <v>0</v>
      </c>
      <c r="AC64" s="315" t="s">
        <v>1190</v>
      </c>
    </row>
    <row r="65" spans="1:29">
      <c r="A65" s="315" t="s">
        <v>1209</v>
      </c>
      <c r="B65" s="315" t="s">
        <v>1066</v>
      </c>
      <c r="C65" s="329">
        <v>4.6791344444444398</v>
      </c>
      <c r="D65" s="329">
        <v>113.7</v>
      </c>
      <c r="E65" s="316" t="s">
        <v>1288</v>
      </c>
      <c r="F65" s="316" t="s">
        <v>1289</v>
      </c>
      <c r="G65" s="317">
        <v>20.65</v>
      </c>
      <c r="H65" s="317">
        <v>0.52637820000000002</v>
      </c>
      <c r="I65" s="317">
        <v>0.57386910000000002</v>
      </c>
      <c r="J65" s="317">
        <v>4.5646313000000003</v>
      </c>
      <c r="K65" s="318">
        <v>22.104752058111384</v>
      </c>
      <c r="L65" s="318">
        <v>63.547597597929403</v>
      </c>
      <c r="M65" s="319">
        <v>38.214945731787296</v>
      </c>
      <c r="N65" s="319">
        <v>16.110193673675912</v>
      </c>
      <c r="O65" s="319">
        <f t="shared" si="0"/>
        <v>16.110193673675912</v>
      </c>
      <c r="P65" s="317">
        <v>3.3267549936140757</v>
      </c>
      <c r="Q65" s="315" t="s">
        <v>1148</v>
      </c>
      <c r="R65" s="318">
        <v>175</v>
      </c>
      <c r="T65" s="320">
        <v>79.444444444444443</v>
      </c>
      <c r="U65" s="318">
        <v>40</v>
      </c>
      <c r="V65" s="318">
        <v>352.9</v>
      </c>
      <c r="W65" s="318">
        <v>704</v>
      </c>
      <c r="X65" s="315">
        <v>0.17</v>
      </c>
      <c r="Y65" s="318">
        <v>88.1</v>
      </c>
      <c r="Z65" s="315">
        <v>4</v>
      </c>
      <c r="AA65" s="315" t="s">
        <v>1149</v>
      </c>
      <c r="AB65" s="315">
        <v>0</v>
      </c>
      <c r="AC65" s="315" t="s">
        <v>1190</v>
      </c>
    </row>
    <row r="66" spans="1:29">
      <c r="A66" s="315" t="s">
        <v>1239</v>
      </c>
      <c r="B66" s="315" t="s">
        <v>1066</v>
      </c>
      <c r="C66" s="329">
        <v>4.6791344444444398</v>
      </c>
      <c r="D66" s="329">
        <v>113.7</v>
      </c>
      <c r="E66" s="316" t="s">
        <v>1290</v>
      </c>
      <c r="F66" s="316" t="s">
        <v>1291</v>
      </c>
      <c r="G66" s="317">
        <v>9.6999999999999993</v>
      </c>
      <c r="H66" s="317">
        <v>0</v>
      </c>
      <c r="I66" s="317">
        <v>0</v>
      </c>
      <c r="J66" s="317">
        <v>3.3073123</v>
      </c>
      <c r="K66" s="318">
        <v>34.096003092783505</v>
      </c>
      <c r="L66" s="318">
        <v>59.328548526251701</v>
      </c>
      <c r="M66" s="319">
        <v>38.606968631181097</v>
      </c>
      <c r="N66" s="319">
        <v>4.510965538397592</v>
      </c>
      <c r="O66" s="319">
        <f t="shared" ref="O66:O129" si="1">IF(N66&lt;0,0,N66)</f>
        <v>4.510965538397592</v>
      </c>
      <c r="P66" s="317">
        <v>0.43756365722456636</v>
      </c>
      <c r="Q66" s="315" t="s">
        <v>1168</v>
      </c>
      <c r="R66" s="318">
        <v>175.13200000000001</v>
      </c>
      <c r="T66" s="320">
        <v>79.517777777777781</v>
      </c>
      <c r="U66" s="318">
        <v>40</v>
      </c>
      <c r="V66" s="318">
        <v>31</v>
      </c>
      <c r="W66" s="318">
        <v>31</v>
      </c>
      <c r="X66" s="315">
        <v>0.18</v>
      </c>
      <c r="Y66" s="318">
        <v>136.4</v>
      </c>
      <c r="Z66" s="315">
        <v>1</v>
      </c>
      <c r="AA66" s="315" t="s">
        <v>1149</v>
      </c>
      <c r="AB66" s="315">
        <v>0</v>
      </c>
      <c r="AC66" s="315" t="s">
        <v>1157</v>
      </c>
    </row>
    <row r="67" spans="1:29">
      <c r="A67" s="315" t="s">
        <v>1145</v>
      </c>
      <c r="B67" s="315" t="s">
        <v>1066</v>
      </c>
      <c r="C67" s="329">
        <v>4.6791344444444398</v>
      </c>
      <c r="D67" s="329">
        <v>113.7</v>
      </c>
      <c r="E67" s="316" t="s">
        <v>1292</v>
      </c>
      <c r="F67" s="316" t="s">
        <v>1293</v>
      </c>
      <c r="G67" s="317">
        <v>6.39</v>
      </c>
      <c r="H67" s="317">
        <v>2.2265247000000001</v>
      </c>
      <c r="I67" s="317">
        <v>2.427406</v>
      </c>
      <c r="J67" s="317">
        <v>2.5204108000000001</v>
      </c>
      <c r="K67" s="318">
        <v>39.443048513302038</v>
      </c>
      <c r="L67" s="318">
        <v>71.390644068277197</v>
      </c>
      <c r="M67" s="319">
        <v>32.460567153315402</v>
      </c>
      <c r="N67" s="319">
        <v>-6.982481359986636</v>
      </c>
      <c r="O67" s="319">
        <f t="shared" si="1"/>
        <v>0</v>
      </c>
      <c r="P67" s="317">
        <v>0</v>
      </c>
      <c r="Q67" s="315" t="s">
        <v>1148</v>
      </c>
      <c r="R67" s="318">
        <v>177</v>
      </c>
      <c r="T67" s="320">
        <v>80.555555555555557</v>
      </c>
      <c r="U67" s="318">
        <v>40</v>
      </c>
      <c r="V67" s="318">
        <v>122.8</v>
      </c>
      <c r="W67" s="318">
        <v>175</v>
      </c>
      <c r="X67" s="315">
        <v>0.2</v>
      </c>
      <c r="Y67" s="318">
        <v>36.9</v>
      </c>
      <c r="Z67" s="315">
        <v>5</v>
      </c>
      <c r="AA67" s="315" t="s">
        <v>1149</v>
      </c>
      <c r="AB67" s="315">
        <v>0</v>
      </c>
      <c r="AC67" s="315" t="s">
        <v>1190</v>
      </c>
    </row>
    <row r="68" spans="1:29">
      <c r="A68" s="315" t="s">
        <v>1145</v>
      </c>
      <c r="B68" s="315" t="s">
        <v>1066</v>
      </c>
      <c r="C68" s="329">
        <v>4.6791344444444398</v>
      </c>
      <c r="D68" s="329">
        <v>113.7</v>
      </c>
      <c r="E68" s="316" t="s">
        <v>1294</v>
      </c>
      <c r="F68" s="316" t="s">
        <v>1295</v>
      </c>
      <c r="G68" s="317">
        <v>12.33</v>
      </c>
      <c r="H68" s="317">
        <v>4.7508841999999998</v>
      </c>
      <c r="I68" s="317">
        <v>5.1795181000000001</v>
      </c>
      <c r="J68" s="317">
        <v>6.8998778999999999</v>
      </c>
      <c r="K68" s="318">
        <v>55.960080291970804</v>
      </c>
      <c r="L68" s="318">
        <v>67.844447262212498</v>
      </c>
      <c r="M68" s="319">
        <v>37.005581195248098</v>
      </c>
      <c r="N68" s="319">
        <v>-18.954499096722706</v>
      </c>
      <c r="O68" s="319">
        <f t="shared" si="1"/>
        <v>0</v>
      </c>
      <c r="P68" s="317">
        <v>0</v>
      </c>
      <c r="Q68" s="315" t="s">
        <v>1148</v>
      </c>
      <c r="R68" s="318">
        <v>178</v>
      </c>
      <c r="T68" s="320">
        <v>81.111111111111114</v>
      </c>
      <c r="U68" s="318">
        <v>40</v>
      </c>
      <c r="V68" s="318">
        <v>371.5</v>
      </c>
      <c r="W68" s="318">
        <v>548</v>
      </c>
      <c r="X68" s="315">
        <v>0.22</v>
      </c>
      <c r="Y68" s="318">
        <v>176.1</v>
      </c>
      <c r="Z68" s="315">
        <v>38</v>
      </c>
      <c r="AA68" s="315" t="s">
        <v>1149</v>
      </c>
      <c r="AB68" s="315">
        <v>0</v>
      </c>
      <c r="AC68" s="315" t="s">
        <v>1190</v>
      </c>
    </row>
    <row r="69" spans="1:29">
      <c r="A69" s="315" t="s">
        <v>1145</v>
      </c>
      <c r="B69" s="315" t="s">
        <v>1066</v>
      </c>
      <c r="C69" s="329">
        <v>4.6791344444444398</v>
      </c>
      <c r="D69" s="329">
        <v>113.7</v>
      </c>
      <c r="E69" s="316" t="s">
        <v>1296</v>
      </c>
      <c r="F69" s="316" t="s">
        <v>1297</v>
      </c>
      <c r="G69" s="317">
        <v>7.63</v>
      </c>
      <c r="H69" s="317">
        <v>0</v>
      </c>
      <c r="I69" s="317">
        <v>0</v>
      </c>
      <c r="J69" s="317">
        <v>1.2382728000000001</v>
      </c>
      <c r="K69" s="318">
        <v>16.229001310615988</v>
      </c>
      <c r="L69" s="318">
        <v>80.777773116338693</v>
      </c>
      <c r="M69" s="319">
        <v>28.316764352610701</v>
      </c>
      <c r="N69" s="319">
        <v>12.087763041994712</v>
      </c>
      <c r="O69" s="319">
        <f t="shared" si="1"/>
        <v>12.087763041994712</v>
      </c>
      <c r="P69" s="317">
        <v>0.92229632010419649</v>
      </c>
      <c r="Q69" s="315" t="s">
        <v>1168</v>
      </c>
      <c r="R69" s="318">
        <v>178</v>
      </c>
      <c r="T69" s="320">
        <v>81.111111111111114</v>
      </c>
      <c r="U69" s="318">
        <v>40</v>
      </c>
      <c r="V69" s="318">
        <v>115.7</v>
      </c>
      <c r="W69" s="318">
        <v>175</v>
      </c>
      <c r="X69" s="315">
        <v>0.22</v>
      </c>
      <c r="Y69" s="318">
        <v>332.2</v>
      </c>
      <c r="Z69" s="315">
        <v>1</v>
      </c>
      <c r="AA69" s="315" t="s">
        <v>1149</v>
      </c>
      <c r="AB69" s="315">
        <v>0</v>
      </c>
      <c r="AC69" s="315" t="s">
        <v>1190</v>
      </c>
    </row>
    <row r="70" spans="1:29">
      <c r="A70" s="315" t="s">
        <v>1239</v>
      </c>
      <c r="B70" s="315" t="s">
        <v>1066</v>
      </c>
      <c r="C70" s="329">
        <v>4.6791344444444398</v>
      </c>
      <c r="D70" s="329">
        <v>113.7</v>
      </c>
      <c r="E70" s="316" t="s">
        <v>1299</v>
      </c>
      <c r="F70" s="316" t="s">
        <v>1300</v>
      </c>
      <c r="G70" s="317">
        <v>14.35</v>
      </c>
      <c r="H70" s="317">
        <v>0</v>
      </c>
      <c r="I70" s="317">
        <v>0</v>
      </c>
      <c r="J70" s="317">
        <v>1.6403088000000001</v>
      </c>
      <c r="K70" s="318">
        <v>11.430723344947737</v>
      </c>
      <c r="L70" s="318">
        <v>60.978714422491599</v>
      </c>
      <c r="M70" s="319">
        <v>39.1759988348714</v>
      </c>
      <c r="N70" s="319">
        <v>27.745275489923664</v>
      </c>
      <c r="O70" s="319">
        <f t="shared" si="1"/>
        <v>27.745275489923664</v>
      </c>
      <c r="P70" s="317">
        <v>3.9814470328040459</v>
      </c>
      <c r="Q70" s="315" t="s">
        <v>1168</v>
      </c>
      <c r="R70" s="318">
        <v>179</v>
      </c>
      <c r="T70" s="320">
        <v>81.666666666666671</v>
      </c>
      <c r="U70" s="318">
        <v>40</v>
      </c>
      <c r="V70" s="318">
        <v>416.2</v>
      </c>
      <c r="W70" s="318">
        <v>503</v>
      </c>
      <c r="X70" s="315">
        <v>0.22</v>
      </c>
      <c r="Y70" s="318">
        <v>224.4</v>
      </c>
      <c r="Z70" s="315">
        <v>3</v>
      </c>
      <c r="AA70" s="315" t="s">
        <v>1149</v>
      </c>
      <c r="AB70" s="315">
        <v>0</v>
      </c>
      <c r="AC70" s="315" t="s">
        <v>1190</v>
      </c>
    </row>
    <row r="71" spans="1:29">
      <c r="A71" s="315" t="s">
        <v>1569</v>
      </c>
      <c r="B71" s="315" t="s">
        <v>1066</v>
      </c>
      <c r="C71" s="329">
        <v>4.6791344444444398</v>
      </c>
      <c r="D71" s="329">
        <v>113.7</v>
      </c>
      <c r="E71" s="316" t="s">
        <v>1301</v>
      </c>
      <c r="F71" s="316" t="s">
        <v>1302</v>
      </c>
      <c r="G71" s="317">
        <v>1.26</v>
      </c>
      <c r="H71" s="317">
        <v>0</v>
      </c>
      <c r="I71" s="317">
        <v>0</v>
      </c>
      <c r="J71" s="317">
        <v>0</v>
      </c>
      <c r="K71" s="318">
        <v>0</v>
      </c>
      <c r="L71" s="318">
        <v>66.4725451450592</v>
      </c>
      <c r="M71" s="319">
        <v>34.270756641423297</v>
      </c>
      <c r="N71" s="319">
        <v>34.270756641423297</v>
      </c>
      <c r="O71" s="319">
        <f t="shared" si="1"/>
        <v>34.270756641423297</v>
      </c>
      <c r="P71" s="317">
        <v>0.43181153368193353</v>
      </c>
      <c r="Q71" s="315" t="s">
        <v>1168</v>
      </c>
      <c r="R71" s="318">
        <v>179</v>
      </c>
      <c r="T71" s="320">
        <v>81.666666666666671</v>
      </c>
      <c r="U71" s="318">
        <v>38</v>
      </c>
      <c r="V71" s="318">
        <v>62.9</v>
      </c>
      <c r="W71" s="318">
        <v>62.9</v>
      </c>
      <c r="X71" s="315">
        <v>0.21</v>
      </c>
      <c r="Y71" s="318">
        <v>37.4</v>
      </c>
      <c r="Z71" s="315">
        <v>1</v>
      </c>
      <c r="AA71" s="315" t="s">
        <v>1149</v>
      </c>
      <c r="AB71" s="315">
        <v>0</v>
      </c>
      <c r="AC71" s="315" t="s">
        <v>1190</v>
      </c>
    </row>
    <row r="72" spans="1:29">
      <c r="A72" s="315" t="s">
        <v>1145</v>
      </c>
      <c r="B72" s="315" t="s">
        <v>1066</v>
      </c>
      <c r="C72" s="329">
        <v>4.6791344444444398</v>
      </c>
      <c r="D72" s="329">
        <v>113.7</v>
      </c>
      <c r="E72" s="316" t="s">
        <v>1303</v>
      </c>
      <c r="F72" s="316" t="s">
        <v>1304</v>
      </c>
      <c r="G72" s="317">
        <v>6.91</v>
      </c>
      <c r="H72" s="317">
        <v>1.2079647</v>
      </c>
      <c r="I72" s="317">
        <v>1.3169496000000001</v>
      </c>
      <c r="J72" s="317">
        <v>1.3674078000000001</v>
      </c>
      <c r="K72" s="318">
        <v>19.788824891461651</v>
      </c>
      <c r="L72" s="318">
        <v>59.508063691540201</v>
      </c>
      <c r="M72" s="319">
        <v>39.126028952830801</v>
      </c>
      <c r="N72" s="319">
        <v>19.33720406136915</v>
      </c>
      <c r="O72" s="319">
        <f t="shared" si="1"/>
        <v>19.33720406136915</v>
      </c>
      <c r="P72" s="317">
        <v>1.3362008006406083</v>
      </c>
      <c r="Q72" s="315" t="s">
        <v>1148</v>
      </c>
      <c r="R72" s="318">
        <v>182</v>
      </c>
      <c r="T72" s="320">
        <v>83.333333333333329</v>
      </c>
      <c r="U72" s="318">
        <v>40</v>
      </c>
      <c r="V72" s="318">
        <v>192.3</v>
      </c>
      <c r="W72" s="318">
        <v>245</v>
      </c>
      <c r="X72" s="315">
        <v>0.2</v>
      </c>
      <c r="Y72" s="318">
        <v>298</v>
      </c>
      <c r="Z72" s="315">
        <v>2</v>
      </c>
      <c r="AA72" s="315" t="s">
        <v>1149</v>
      </c>
      <c r="AB72" s="315">
        <v>0</v>
      </c>
      <c r="AC72" s="315" t="s">
        <v>1190</v>
      </c>
    </row>
    <row r="73" spans="1:29">
      <c r="A73" s="315" t="s">
        <v>1145</v>
      </c>
      <c r="B73" s="315" t="s">
        <v>1066</v>
      </c>
      <c r="C73" s="329">
        <v>4.6791344444444398</v>
      </c>
      <c r="D73" s="329">
        <v>113.7</v>
      </c>
      <c r="E73" s="316" t="s">
        <v>1306</v>
      </c>
      <c r="F73" s="316" t="s">
        <v>1307</v>
      </c>
      <c r="G73" s="317">
        <v>5.3848010000000004</v>
      </c>
      <c r="H73" s="317">
        <v>2.6827122999999999</v>
      </c>
      <c r="I73" s="317">
        <v>2.9247518000000001</v>
      </c>
      <c r="J73" s="317">
        <v>3.6401195</v>
      </c>
      <c r="K73" s="318">
        <v>67.599889020968462</v>
      </c>
      <c r="L73" s="318">
        <v>54.111056103687197</v>
      </c>
      <c r="M73" s="319">
        <v>40.062392918240803</v>
      </c>
      <c r="N73" s="319">
        <v>-27.537496102727658</v>
      </c>
      <c r="O73" s="319">
        <f t="shared" si="1"/>
        <v>0</v>
      </c>
      <c r="P73" s="317">
        <v>0</v>
      </c>
      <c r="Q73" s="315" t="s">
        <v>1148</v>
      </c>
      <c r="R73" s="318">
        <v>182</v>
      </c>
      <c r="T73" s="320">
        <v>83.333333333333329</v>
      </c>
      <c r="U73" s="318">
        <v>38</v>
      </c>
      <c r="V73" s="318">
        <v>37.4</v>
      </c>
      <c r="W73" s="318">
        <v>86</v>
      </c>
      <c r="X73" s="315">
        <v>0.23</v>
      </c>
      <c r="Y73" s="318">
        <v>97.2</v>
      </c>
      <c r="Z73" s="315">
        <v>2</v>
      </c>
      <c r="AA73" s="315" t="s">
        <v>1149</v>
      </c>
      <c r="AB73" s="315">
        <v>0</v>
      </c>
      <c r="AC73" s="315" t="s">
        <v>1190</v>
      </c>
    </row>
    <row r="74" spans="1:29">
      <c r="A74" s="315" t="s">
        <v>1145</v>
      </c>
      <c r="B74" s="315" t="s">
        <v>1066</v>
      </c>
      <c r="C74" s="329">
        <v>4.6791344444444398</v>
      </c>
      <c r="D74" s="329">
        <v>113.7</v>
      </c>
      <c r="E74" s="316" t="s">
        <v>1308</v>
      </c>
      <c r="F74" s="316" t="s">
        <v>1309</v>
      </c>
      <c r="G74" s="317">
        <v>1.2</v>
      </c>
      <c r="H74" s="317">
        <v>0</v>
      </c>
      <c r="I74" s="317">
        <v>0</v>
      </c>
      <c r="J74" s="317">
        <v>0.88194989999999995</v>
      </c>
      <c r="K74" s="318">
        <v>73.495824999999996</v>
      </c>
      <c r="L74" s="318">
        <v>65.408807636189096</v>
      </c>
      <c r="M74" s="319">
        <v>36.561350356722599</v>
      </c>
      <c r="N74" s="319">
        <v>-36.934474643277397</v>
      </c>
      <c r="O74" s="319">
        <f t="shared" si="1"/>
        <v>0</v>
      </c>
      <c r="P74" s="317">
        <v>0</v>
      </c>
      <c r="Q74" s="315" t="s">
        <v>1168</v>
      </c>
      <c r="R74" s="318">
        <v>182.971</v>
      </c>
      <c r="T74" s="320">
        <v>83.872777777777785</v>
      </c>
      <c r="U74" s="318">
        <v>40</v>
      </c>
      <c r="V74" s="318">
        <v>93.8</v>
      </c>
      <c r="W74" s="318">
        <v>93.8</v>
      </c>
      <c r="X74" s="315">
        <v>0.23</v>
      </c>
      <c r="Y74" s="318">
        <v>130.1</v>
      </c>
      <c r="Z74" s="315">
        <v>0</v>
      </c>
      <c r="AA74" s="315" t="s">
        <v>1149</v>
      </c>
      <c r="AB74" s="315">
        <v>0</v>
      </c>
      <c r="AC74" s="315" t="s">
        <v>1157</v>
      </c>
    </row>
    <row r="75" spans="1:29">
      <c r="A75" s="315" t="s">
        <v>1145</v>
      </c>
      <c r="B75" s="315" t="s">
        <v>1066</v>
      </c>
      <c r="C75" s="329">
        <v>4.6791344444444398</v>
      </c>
      <c r="D75" s="329">
        <v>113.7</v>
      </c>
      <c r="E75" s="316" t="s">
        <v>1311</v>
      </c>
      <c r="F75" s="316" t="s">
        <v>1312</v>
      </c>
      <c r="G75" s="317">
        <v>21.31</v>
      </c>
      <c r="H75" s="317">
        <v>9.7357133000000005</v>
      </c>
      <c r="I75" s="317">
        <v>10.6140881</v>
      </c>
      <c r="J75" s="317">
        <v>11.0207614</v>
      </c>
      <c r="K75" s="318">
        <v>51.71638385734397</v>
      </c>
      <c r="L75" s="318">
        <v>67.607666494640796</v>
      </c>
      <c r="M75" s="319">
        <v>35.807711895117201</v>
      </c>
      <c r="N75" s="319">
        <v>-15.908671962226769</v>
      </c>
      <c r="O75" s="319">
        <f t="shared" si="1"/>
        <v>0</v>
      </c>
      <c r="P75" s="317">
        <v>0</v>
      </c>
      <c r="Q75" s="315" t="s">
        <v>1148</v>
      </c>
      <c r="R75" s="318">
        <v>183</v>
      </c>
      <c r="T75" s="320">
        <v>83.888888888888886</v>
      </c>
      <c r="U75" s="318">
        <v>38</v>
      </c>
      <c r="V75" s="318">
        <v>558.79999999999995</v>
      </c>
      <c r="W75" s="318">
        <v>558.79999999999995</v>
      </c>
      <c r="X75" s="315">
        <v>0.19</v>
      </c>
      <c r="Y75" s="318">
        <v>76.599999999999994</v>
      </c>
      <c r="Z75" s="315">
        <v>1</v>
      </c>
      <c r="AA75" s="315" t="s">
        <v>1149</v>
      </c>
      <c r="AB75" s="315">
        <v>0</v>
      </c>
      <c r="AC75" s="315" t="s">
        <v>1190</v>
      </c>
    </row>
    <row r="76" spans="1:29">
      <c r="A76" s="315" t="s">
        <v>1145</v>
      </c>
      <c r="B76" s="315" t="s">
        <v>1066</v>
      </c>
      <c r="C76" s="329">
        <v>4.6791344444444398</v>
      </c>
      <c r="D76" s="329">
        <v>113.7</v>
      </c>
      <c r="E76" s="316" t="s">
        <v>1313</v>
      </c>
      <c r="F76" s="316" t="s">
        <v>1314</v>
      </c>
      <c r="G76" s="317">
        <v>4.72</v>
      </c>
      <c r="H76" s="317">
        <v>0.76000599999999996</v>
      </c>
      <c r="I76" s="317">
        <v>0.98270489999999999</v>
      </c>
      <c r="J76" s="317">
        <v>1.0144419</v>
      </c>
      <c r="K76" s="318">
        <v>21.492413135593221</v>
      </c>
      <c r="L76" s="318">
        <v>67.876745794276104</v>
      </c>
      <c r="M76" s="319">
        <v>35.580310849698499</v>
      </c>
      <c r="N76" s="319">
        <v>14.087897714105278</v>
      </c>
      <c r="O76" s="319">
        <f t="shared" si="1"/>
        <v>14.087897714105278</v>
      </c>
      <c r="P76" s="317">
        <v>0.66494877210576908</v>
      </c>
      <c r="Q76" s="315" t="s">
        <v>1148</v>
      </c>
      <c r="R76" s="318">
        <v>183</v>
      </c>
      <c r="T76" s="320">
        <v>83.888888888888886</v>
      </c>
      <c r="U76" s="318">
        <v>38</v>
      </c>
      <c r="V76" s="318">
        <v>558.79999999999995</v>
      </c>
      <c r="W76" s="318">
        <v>558.79999999999995</v>
      </c>
      <c r="X76" s="315">
        <v>0.19</v>
      </c>
      <c r="Y76" s="318">
        <v>76.599999999999994</v>
      </c>
      <c r="Z76" s="315">
        <v>3</v>
      </c>
      <c r="AA76" s="315" t="s">
        <v>1149</v>
      </c>
      <c r="AB76" s="315">
        <v>0</v>
      </c>
      <c r="AC76" s="315" t="s">
        <v>1190</v>
      </c>
    </row>
    <row r="77" spans="1:29">
      <c r="A77" s="315" t="s">
        <v>1209</v>
      </c>
      <c r="B77" s="315" t="s">
        <v>1066</v>
      </c>
      <c r="C77" s="329">
        <v>4.6791344444444398</v>
      </c>
      <c r="D77" s="329">
        <v>113.7</v>
      </c>
      <c r="E77" s="316" t="s">
        <v>1315</v>
      </c>
      <c r="F77" s="316" t="s">
        <v>1316</v>
      </c>
      <c r="G77" s="317">
        <v>11.118131999999999</v>
      </c>
      <c r="H77" s="317">
        <v>0</v>
      </c>
      <c r="I77" s="317">
        <v>0</v>
      </c>
      <c r="J77" s="317">
        <v>0</v>
      </c>
      <c r="K77" s="318">
        <v>0</v>
      </c>
      <c r="L77" s="318">
        <v>73.132331126580596</v>
      </c>
      <c r="M77" s="319">
        <v>31.832938043231401</v>
      </c>
      <c r="N77" s="319">
        <v>31.832938043231401</v>
      </c>
      <c r="O77" s="319">
        <f t="shared" si="1"/>
        <v>31.832938043231401</v>
      </c>
      <c r="P77" s="317">
        <v>3.539228071124684</v>
      </c>
      <c r="Q77" s="315" t="s">
        <v>1168</v>
      </c>
      <c r="R77" s="318">
        <v>183</v>
      </c>
      <c r="T77" s="320">
        <v>83.888888888888886</v>
      </c>
      <c r="U77" s="318">
        <v>38</v>
      </c>
      <c r="V77" s="318">
        <v>334.9</v>
      </c>
      <c r="W77" s="318">
        <v>1321</v>
      </c>
      <c r="X77" s="315">
        <v>0.17399999999999999</v>
      </c>
      <c r="Y77" s="318">
        <v>29.58</v>
      </c>
      <c r="Z77" s="315">
        <v>1</v>
      </c>
      <c r="AA77" s="315" t="s">
        <v>1149</v>
      </c>
      <c r="AB77" s="315">
        <v>0</v>
      </c>
      <c r="AC77" s="315" t="s">
        <v>1157</v>
      </c>
    </row>
    <row r="78" spans="1:29">
      <c r="A78" s="315" t="s">
        <v>1145</v>
      </c>
      <c r="B78" s="315" t="s">
        <v>1066</v>
      </c>
      <c r="C78" s="329">
        <v>4.6791344444444398</v>
      </c>
      <c r="D78" s="329">
        <v>113.7</v>
      </c>
      <c r="E78" s="316" t="s">
        <v>1317</v>
      </c>
      <c r="F78" s="316" t="s">
        <v>1318</v>
      </c>
      <c r="G78" s="317">
        <v>4.1100000000000003</v>
      </c>
      <c r="H78" s="317">
        <v>3.5980000000000002E-4</v>
      </c>
      <c r="I78" s="317">
        <v>3.9229999999999999E-4</v>
      </c>
      <c r="J78" s="317">
        <v>4.0729999999999998E-4</v>
      </c>
      <c r="K78" s="318">
        <v>9.9099756690997545E-3</v>
      </c>
      <c r="L78" s="318">
        <v>59.250099168456799</v>
      </c>
      <c r="M78" s="319">
        <v>39.4335082117395</v>
      </c>
      <c r="N78" s="319">
        <v>39.423598236070397</v>
      </c>
      <c r="O78" s="319">
        <f t="shared" si="1"/>
        <v>39.423598236070397</v>
      </c>
      <c r="P78" s="317">
        <v>1.6203098875024933</v>
      </c>
      <c r="Q78" s="315" t="s">
        <v>1148</v>
      </c>
      <c r="R78" s="318">
        <v>183.3</v>
      </c>
      <c r="T78" s="320">
        <v>84.055555555555557</v>
      </c>
      <c r="U78" s="318">
        <v>40</v>
      </c>
      <c r="V78" s="318">
        <v>304.89999999999998</v>
      </c>
      <c r="W78" s="318">
        <v>498</v>
      </c>
      <c r="X78" s="315">
        <v>0.18</v>
      </c>
      <c r="Y78" s="318">
        <v>136.4</v>
      </c>
      <c r="Z78" s="315">
        <v>8</v>
      </c>
      <c r="AA78" s="315" t="s">
        <v>1149</v>
      </c>
      <c r="AB78" s="315">
        <v>0</v>
      </c>
      <c r="AC78" s="315" t="s">
        <v>1190</v>
      </c>
    </row>
    <row r="79" spans="1:29">
      <c r="A79" s="315" t="s">
        <v>1145</v>
      </c>
      <c r="B79" s="315" t="s">
        <v>1066</v>
      </c>
      <c r="C79" s="329">
        <v>4.6791344444444398</v>
      </c>
      <c r="D79" s="329">
        <v>113.7</v>
      </c>
      <c r="E79" s="316" t="s">
        <v>1319</v>
      </c>
      <c r="F79" s="316" t="s">
        <v>1320</v>
      </c>
      <c r="G79" s="317">
        <v>15.91</v>
      </c>
      <c r="H79" s="317">
        <v>2.6935679000000001</v>
      </c>
      <c r="I79" s="317">
        <v>2.9365868000000002</v>
      </c>
      <c r="J79" s="317">
        <v>3.9598179</v>
      </c>
      <c r="K79" s="318">
        <v>24.888861722187304</v>
      </c>
      <c r="L79" s="318">
        <v>59.8809602762894</v>
      </c>
      <c r="M79" s="319">
        <v>39.5032450304723</v>
      </c>
      <c r="N79" s="319">
        <v>14.614383308284996</v>
      </c>
      <c r="O79" s="319">
        <f t="shared" si="1"/>
        <v>14.614383308284996</v>
      </c>
      <c r="P79" s="317">
        <v>2.3251483843481426</v>
      </c>
      <c r="Q79" s="315" t="s">
        <v>1148</v>
      </c>
      <c r="R79" s="318">
        <v>183.8</v>
      </c>
      <c r="T79" s="320">
        <v>84.333333333333329</v>
      </c>
      <c r="U79" s="318">
        <v>40</v>
      </c>
      <c r="V79" s="318">
        <v>196.1</v>
      </c>
      <c r="W79" s="318">
        <v>704</v>
      </c>
      <c r="X79" s="315">
        <v>0.21</v>
      </c>
      <c r="Y79" s="318">
        <v>246.3</v>
      </c>
      <c r="Z79" s="315">
        <v>3</v>
      </c>
      <c r="AA79" s="315" t="s">
        <v>1149</v>
      </c>
      <c r="AB79" s="315">
        <v>0</v>
      </c>
      <c r="AC79" s="315" t="s">
        <v>1190</v>
      </c>
    </row>
    <row r="80" spans="1:29">
      <c r="A80" s="315" t="s">
        <v>1145</v>
      </c>
      <c r="B80" s="315" t="s">
        <v>1066</v>
      </c>
      <c r="C80" s="329">
        <v>4.6791344444444398</v>
      </c>
      <c r="D80" s="329">
        <v>113.7</v>
      </c>
      <c r="E80" s="316" t="s">
        <v>1321</v>
      </c>
      <c r="F80" s="316" t="s">
        <v>1322</v>
      </c>
      <c r="G80" s="317">
        <v>1.0900000000000001</v>
      </c>
      <c r="H80" s="317">
        <v>0</v>
      </c>
      <c r="I80" s="317">
        <v>0</v>
      </c>
      <c r="J80" s="317">
        <v>0.44097500000000001</v>
      </c>
      <c r="K80" s="318">
        <v>40.456422018348619</v>
      </c>
      <c r="L80" s="318">
        <v>67.850851938575801</v>
      </c>
      <c r="M80" s="319">
        <v>35.619392922166895</v>
      </c>
      <c r="N80" s="319">
        <v>-4.8370290961817233</v>
      </c>
      <c r="O80" s="319">
        <f t="shared" si="1"/>
        <v>0</v>
      </c>
      <c r="P80" s="317">
        <v>0</v>
      </c>
      <c r="Q80" s="315" t="s">
        <v>1168</v>
      </c>
      <c r="R80" s="318">
        <v>186</v>
      </c>
      <c r="T80" s="320">
        <v>85.555555555555557</v>
      </c>
      <c r="U80" s="318">
        <v>40</v>
      </c>
      <c r="V80" s="318">
        <v>129.04</v>
      </c>
      <c r="W80" s="318">
        <v>147</v>
      </c>
      <c r="X80" s="315">
        <v>0.22</v>
      </c>
      <c r="Y80" s="318">
        <v>482.9</v>
      </c>
      <c r="Z80" s="315">
        <v>0</v>
      </c>
      <c r="AA80" s="315" t="s">
        <v>1149</v>
      </c>
      <c r="AB80" s="315">
        <v>0</v>
      </c>
      <c r="AC80" s="315" t="s">
        <v>1157</v>
      </c>
    </row>
    <row r="81" spans="1:29">
      <c r="A81" s="315" t="s">
        <v>1145</v>
      </c>
      <c r="B81" s="315" t="s">
        <v>1066</v>
      </c>
      <c r="C81" s="329">
        <v>4.6791344444444398</v>
      </c>
      <c r="D81" s="329">
        <v>113.7</v>
      </c>
      <c r="E81" s="316" t="s">
        <v>1323</v>
      </c>
      <c r="F81" s="316" t="s">
        <v>1324</v>
      </c>
      <c r="G81" s="317">
        <v>2.25</v>
      </c>
      <c r="H81" s="317">
        <v>0</v>
      </c>
      <c r="I81" s="317">
        <v>0</v>
      </c>
      <c r="J81" s="317">
        <v>0.44097500000000001</v>
      </c>
      <c r="K81" s="318">
        <v>19.598888888888887</v>
      </c>
      <c r="L81" s="318">
        <v>77.898527060090203</v>
      </c>
      <c r="M81" s="319">
        <v>26.5896580160837</v>
      </c>
      <c r="N81" s="319">
        <v>6.9907691271948131</v>
      </c>
      <c r="O81" s="319">
        <f t="shared" si="1"/>
        <v>6.9907691271948131</v>
      </c>
      <c r="P81" s="317">
        <v>0.15729230536188327</v>
      </c>
      <c r="Q81" s="315" t="s">
        <v>1168</v>
      </c>
      <c r="R81" s="318">
        <v>186.7</v>
      </c>
      <c r="T81" s="320">
        <v>85.944444444444443</v>
      </c>
      <c r="U81" s="318">
        <v>40</v>
      </c>
      <c r="V81" s="318">
        <v>232.5</v>
      </c>
      <c r="W81" s="318">
        <v>352</v>
      </c>
      <c r="X81" s="315">
        <v>0.18</v>
      </c>
      <c r="Y81" s="318">
        <v>24.9</v>
      </c>
      <c r="Z81" s="315">
        <v>0</v>
      </c>
      <c r="AA81" s="315" t="s">
        <v>1149</v>
      </c>
      <c r="AB81" s="315">
        <v>0</v>
      </c>
      <c r="AC81" s="315" t="s">
        <v>1157</v>
      </c>
    </row>
    <row r="82" spans="1:29">
      <c r="A82" s="315" t="s">
        <v>1145</v>
      </c>
      <c r="B82" s="315" t="s">
        <v>1066</v>
      </c>
      <c r="C82" s="329">
        <v>4.6791344444444398</v>
      </c>
      <c r="D82" s="329">
        <v>113.7</v>
      </c>
      <c r="E82" s="316" t="s">
        <v>1325</v>
      </c>
      <c r="F82" s="316" t="s">
        <v>1326</v>
      </c>
      <c r="G82" s="317">
        <v>0.18</v>
      </c>
      <c r="H82" s="317">
        <v>0</v>
      </c>
      <c r="I82" s="317">
        <v>0</v>
      </c>
      <c r="J82" s="317">
        <v>0</v>
      </c>
      <c r="K82" s="318">
        <v>0</v>
      </c>
      <c r="L82" s="318">
        <v>78.866467421855404</v>
      </c>
      <c r="M82" s="319">
        <v>25.298761325209103</v>
      </c>
      <c r="N82" s="319">
        <v>25.298761325209103</v>
      </c>
      <c r="O82" s="319">
        <f t="shared" si="1"/>
        <v>25.298761325209103</v>
      </c>
      <c r="P82" s="317">
        <v>4.5537770385376382E-2</v>
      </c>
      <c r="Q82" s="315" t="s">
        <v>1168</v>
      </c>
      <c r="R82" s="318">
        <v>187</v>
      </c>
      <c r="T82" s="320">
        <v>86.111111111111114</v>
      </c>
      <c r="U82" s="318">
        <v>38</v>
      </c>
      <c r="V82" s="318">
        <v>25.4</v>
      </c>
      <c r="W82" s="318">
        <v>120</v>
      </c>
      <c r="X82" s="315">
        <v>0.19400000000000001</v>
      </c>
      <c r="Y82" s="318">
        <v>29.46</v>
      </c>
      <c r="Z82" s="315">
        <v>0</v>
      </c>
      <c r="AA82" s="315" t="s">
        <v>1149</v>
      </c>
      <c r="AB82" s="315">
        <v>0</v>
      </c>
      <c r="AC82" s="315" t="s">
        <v>1157</v>
      </c>
    </row>
    <row r="83" spans="1:29">
      <c r="A83" s="315" t="s">
        <v>1145</v>
      </c>
      <c r="B83" s="315" t="s">
        <v>1066</v>
      </c>
      <c r="C83" s="329">
        <v>4.6791344444444398</v>
      </c>
      <c r="D83" s="329">
        <v>113.7</v>
      </c>
      <c r="E83" s="316" t="s">
        <v>1328</v>
      </c>
      <c r="F83" s="316" t="s">
        <v>1329</v>
      </c>
      <c r="G83" s="317">
        <v>3.6</v>
      </c>
      <c r="H83" s="317">
        <v>0.84804619999999997</v>
      </c>
      <c r="I83" s="317">
        <v>0.92455860000000001</v>
      </c>
      <c r="J83" s="317">
        <v>1.6430205999999998</v>
      </c>
      <c r="K83" s="318">
        <v>45.63946111111111</v>
      </c>
      <c r="L83" s="318">
        <v>56.531978449211998</v>
      </c>
      <c r="M83" s="319">
        <v>39.292244025013702</v>
      </c>
      <c r="N83" s="319">
        <v>-6.3472170860974089</v>
      </c>
      <c r="O83" s="319">
        <f t="shared" si="1"/>
        <v>0</v>
      </c>
      <c r="P83" s="317">
        <v>0</v>
      </c>
      <c r="Q83" s="315" t="s">
        <v>1148</v>
      </c>
      <c r="R83" s="318">
        <v>189</v>
      </c>
      <c r="T83" s="320">
        <v>87.222222222222229</v>
      </c>
      <c r="U83" s="318">
        <v>40</v>
      </c>
      <c r="V83" s="318">
        <v>182.6</v>
      </c>
      <c r="W83" s="318">
        <v>473</v>
      </c>
      <c r="X83" s="315">
        <v>0.17599999999999999</v>
      </c>
      <c r="Y83" s="318">
        <v>70.209999999999994</v>
      </c>
      <c r="Z83" s="315">
        <v>3</v>
      </c>
      <c r="AA83" s="315" t="s">
        <v>1149</v>
      </c>
      <c r="AB83" s="315">
        <v>0</v>
      </c>
      <c r="AC83" s="315" t="s">
        <v>1157</v>
      </c>
    </row>
    <row r="84" spans="1:29">
      <c r="A84" s="315" t="s">
        <v>1145</v>
      </c>
      <c r="B84" s="315" t="s">
        <v>1066</v>
      </c>
      <c r="C84" s="329">
        <v>4.6791344444444398</v>
      </c>
      <c r="D84" s="329">
        <v>113.7</v>
      </c>
      <c r="E84" s="316" t="s">
        <v>1330</v>
      </c>
      <c r="F84" s="316" t="s">
        <v>1331</v>
      </c>
      <c r="G84" s="317">
        <v>3.91</v>
      </c>
      <c r="H84" s="317">
        <v>0.9325871</v>
      </c>
      <c r="I84" s="317">
        <v>1.0167269000000001</v>
      </c>
      <c r="J84" s="317">
        <v>1.9663996000000001</v>
      </c>
      <c r="K84" s="318">
        <v>50.291549872122765</v>
      </c>
      <c r="L84" s="318">
        <v>66.927916332075398</v>
      </c>
      <c r="M84" s="319">
        <v>35.422064093719101</v>
      </c>
      <c r="N84" s="319">
        <v>-14.869485778403664</v>
      </c>
      <c r="O84" s="319">
        <f t="shared" si="1"/>
        <v>0</v>
      </c>
      <c r="P84" s="317">
        <v>0</v>
      </c>
      <c r="Q84" s="315" t="s">
        <v>1148</v>
      </c>
      <c r="R84" s="318">
        <v>189</v>
      </c>
      <c r="T84" s="320">
        <v>87.222222222222229</v>
      </c>
      <c r="U84" s="318">
        <v>40</v>
      </c>
      <c r="V84" s="318">
        <v>167.9</v>
      </c>
      <c r="W84" s="318">
        <v>465</v>
      </c>
      <c r="X84" s="315">
        <v>0.11</v>
      </c>
      <c r="Y84" s="318">
        <v>6.7</v>
      </c>
      <c r="Z84" s="315">
        <v>1</v>
      </c>
      <c r="AA84" s="315" t="s">
        <v>1149</v>
      </c>
      <c r="AB84" s="315">
        <v>0</v>
      </c>
      <c r="AC84" s="315" t="s">
        <v>1157</v>
      </c>
    </row>
    <row r="85" spans="1:29">
      <c r="A85" s="315" t="s">
        <v>1145</v>
      </c>
      <c r="B85" s="315" t="s">
        <v>1066</v>
      </c>
      <c r="C85" s="329">
        <v>4.6791344444444398</v>
      </c>
      <c r="D85" s="329">
        <v>113.7</v>
      </c>
      <c r="E85" s="316" t="s">
        <v>1332</v>
      </c>
      <c r="F85" s="316" t="s">
        <v>1333</v>
      </c>
      <c r="G85" s="317">
        <v>4.16</v>
      </c>
      <c r="H85" s="317">
        <v>0.33958860000000002</v>
      </c>
      <c r="I85" s="317">
        <v>0.37351329999999999</v>
      </c>
      <c r="J85" s="317">
        <v>0.38769819999999999</v>
      </c>
      <c r="K85" s="318">
        <v>9.3196682692307693</v>
      </c>
      <c r="L85" s="318">
        <v>64.943218911081303</v>
      </c>
      <c r="M85" s="319">
        <v>36.488521466883</v>
      </c>
      <c r="N85" s="319">
        <v>27.168853197652233</v>
      </c>
      <c r="O85" s="319">
        <f t="shared" si="1"/>
        <v>27.168853197652233</v>
      </c>
      <c r="P85" s="317">
        <v>1.130224293022333</v>
      </c>
      <c r="Q85" s="315" t="s">
        <v>1148</v>
      </c>
      <c r="R85" s="318">
        <v>189</v>
      </c>
      <c r="T85" s="320">
        <v>87.222222222222229</v>
      </c>
      <c r="U85" s="318">
        <v>40</v>
      </c>
      <c r="V85" s="318">
        <v>145.26</v>
      </c>
      <c r="W85" s="318">
        <v>283</v>
      </c>
      <c r="X85" s="315">
        <v>0.186</v>
      </c>
      <c r="Y85" s="318">
        <v>29.3</v>
      </c>
      <c r="Z85" s="315">
        <v>1</v>
      </c>
      <c r="AA85" s="315" t="s">
        <v>1149</v>
      </c>
      <c r="AB85" s="315">
        <v>0</v>
      </c>
      <c r="AC85" s="315" t="s">
        <v>1157</v>
      </c>
    </row>
    <row r="86" spans="1:29">
      <c r="A86" s="315" t="s">
        <v>1145</v>
      </c>
      <c r="B86" s="315" t="s">
        <v>1066</v>
      </c>
      <c r="C86" s="329">
        <v>4.6791344444444398</v>
      </c>
      <c r="D86" s="329">
        <v>113.7</v>
      </c>
      <c r="E86" s="316" t="s">
        <v>1335</v>
      </c>
      <c r="F86" s="316" t="s">
        <v>1336</v>
      </c>
      <c r="G86" s="317">
        <v>1.07</v>
      </c>
      <c r="H86" s="317">
        <v>0</v>
      </c>
      <c r="I86" s="317">
        <v>0</v>
      </c>
      <c r="J86" s="317">
        <v>0.44097500000000001</v>
      </c>
      <c r="K86" s="318">
        <v>41.212616822429901</v>
      </c>
      <c r="L86" s="318">
        <v>63.7205068055233</v>
      </c>
      <c r="M86" s="319">
        <v>37.143646087927202</v>
      </c>
      <c r="N86" s="319">
        <v>-4.0689707345026989</v>
      </c>
      <c r="O86" s="319">
        <f t="shared" si="1"/>
        <v>0</v>
      </c>
      <c r="P86" s="317">
        <v>0</v>
      </c>
      <c r="Q86" s="315" t="s">
        <v>1168</v>
      </c>
      <c r="R86" s="318">
        <v>189</v>
      </c>
      <c r="T86" s="320">
        <v>87.222222222222229</v>
      </c>
      <c r="U86" s="318">
        <v>40</v>
      </c>
      <c r="V86" s="318">
        <v>228</v>
      </c>
      <c r="W86" s="318">
        <v>466</v>
      </c>
      <c r="X86" s="315">
        <v>0.19</v>
      </c>
      <c r="Y86" s="318">
        <v>170.1</v>
      </c>
      <c r="Z86" s="315">
        <v>0</v>
      </c>
      <c r="AA86" s="315" t="s">
        <v>1149</v>
      </c>
      <c r="AB86" s="315">
        <v>0</v>
      </c>
      <c r="AC86" s="315" t="s">
        <v>1157</v>
      </c>
    </row>
    <row r="87" spans="1:29">
      <c r="A87" s="315" t="s">
        <v>1646</v>
      </c>
      <c r="B87" s="315" t="s">
        <v>1066</v>
      </c>
      <c r="C87" s="329">
        <v>4.6791344444444398</v>
      </c>
      <c r="D87" s="329">
        <v>113.7</v>
      </c>
      <c r="E87" s="316" t="s">
        <v>1337</v>
      </c>
      <c r="F87" s="316" t="s">
        <v>1338</v>
      </c>
      <c r="G87" s="317">
        <v>2.4700000000000002</v>
      </c>
      <c r="H87" s="317">
        <v>4.8200000000000001E-4</v>
      </c>
      <c r="I87" s="317">
        <v>0.33080329999999997</v>
      </c>
      <c r="J87" s="317">
        <v>0.33080329999999997</v>
      </c>
      <c r="K87" s="318">
        <v>13.392846153846152</v>
      </c>
      <c r="L87" s="318">
        <v>64.436686909731407</v>
      </c>
      <c r="M87" s="319">
        <v>32.295150930508896</v>
      </c>
      <c r="N87" s="319">
        <v>18.902304776662746</v>
      </c>
      <c r="O87" s="319">
        <f t="shared" si="1"/>
        <v>18.902304776662746</v>
      </c>
      <c r="P87" s="317">
        <v>0.46688692798356984</v>
      </c>
      <c r="Q87" s="315" t="s">
        <v>1148</v>
      </c>
      <c r="R87" s="318">
        <v>190</v>
      </c>
      <c r="T87" s="320">
        <v>87.777777777777771</v>
      </c>
      <c r="U87" s="318">
        <v>40</v>
      </c>
      <c r="V87" s="318">
        <v>83.2</v>
      </c>
      <c r="W87" s="318">
        <v>83.2</v>
      </c>
      <c r="X87" s="315">
        <v>0.17</v>
      </c>
      <c r="Y87" s="318">
        <v>61.5</v>
      </c>
      <c r="Z87" s="315">
        <v>1</v>
      </c>
      <c r="AA87" s="315" t="s">
        <v>1149</v>
      </c>
      <c r="AB87" s="315">
        <v>0</v>
      </c>
      <c r="AC87" s="315" t="s">
        <v>1157</v>
      </c>
    </row>
    <row r="88" spans="1:29">
      <c r="A88" s="315" t="s">
        <v>1145</v>
      </c>
      <c r="B88" s="315" t="s">
        <v>1066</v>
      </c>
      <c r="C88" s="329">
        <v>4.6791344444444398</v>
      </c>
      <c r="D88" s="329">
        <v>113.7</v>
      </c>
      <c r="E88" s="316" t="s">
        <v>1339</v>
      </c>
      <c r="F88" s="316" t="s">
        <v>1340</v>
      </c>
      <c r="G88" s="317">
        <v>10.74</v>
      </c>
      <c r="H88" s="317">
        <v>1.9185517000000001</v>
      </c>
      <c r="I88" s="317">
        <v>2.0916471000000003</v>
      </c>
      <c r="J88" s="317">
        <v>3.4100603</v>
      </c>
      <c r="K88" s="318">
        <v>31.751027001862198</v>
      </c>
      <c r="L88" s="318">
        <v>58.0007297876354</v>
      </c>
      <c r="M88" s="319">
        <v>37.791247744688697</v>
      </c>
      <c r="N88" s="319">
        <v>6.0402207428264987</v>
      </c>
      <c r="O88" s="319">
        <f t="shared" si="1"/>
        <v>6.0402207428264987</v>
      </c>
      <c r="P88" s="317">
        <v>0.648719707779566</v>
      </c>
      <c r="Q88" s="315" t="s">
        <v>1148</v>
      </c>
      <c r="R88" s="318">
        <v>190.19900000000001</v>
      </c>
      <c r="T88" s="320">
        <v>87.88833333333335</v>
      </c>
      <c r="U88" s="318">
        <v>40</v>
      </c>
      <c r="V88" s="318">
        <v>280.3</v>
      </c>
      <c r="W88" s="318">
        <v>322</v>
      </c>
      <c r="X88" s="315">
        <v>0.19700000000000001</v>
      </c>
      <c r="Y88" s="318">
        <v>60.07</v>
      </c>
      <c r="Z88" s="315">
        <v>6</v>
      </c>
      <c r="AA88" s="315" t="s">
        <v>1149</v>
      </c>
      <c r="AB88" s="315">
        <v>0</v>
      </c>
      <c r="AC88" s="315" t="s">
        <v>1190</v>
      </c>
    </row>
    <row r="89" spans="1:29">
      <c r="A89" s="315" t="s">
        <v>1145</v>
      </c>
      <c r="B89" s="315" t="s">
        <v>1066</v>
      </c>
      <c r="C89" s="329">
        <v>4.6791344444444398</v>
      </c>
      <c r="D89" s="329">
        <v>113.7</v>
      </c>
      <c r="E89" s="316" t="s">
        <v>1341</v>
      </c>
      <c r="F89" s="316" t="s">
        <v>1342</v>
      </c>
      <c r="G89" s="317">
        <v>0.91</v>
      </c>
      <c r="H89" s="317">
        <v>0</v>
      </c>
      <c r="I89" s="317">
        <v>0</v>
      </c>
      <c r="J89" s="317">
        <v>0</v>
      </c>
      <c r="K89" s="318">
        <v>0</v>
      </c>
      <c r="L89" s="318">
        <v>57.421386173850898</v>
      </c>
      <c r="M89" s="319">
        <v>39.554839032660098</v>
      </c>
      <c r="N89" s="319">
        <v>39.554839032660098</v>
      </c>
      <c r="O89" s="319">
        <f t="shared" si="1"/>
        <v>39.554839032660098</v>
      </c>
      <c r="P89" s="317">
        <v>0.35994903519720695</v>
      </c>
      <c r="Q89" s="315" t="s">
        <v>1168</v>
      </c>
      <c r="R89" s="318">
        <v>190.4</v>
      </c>
      <c r="T89" s="320">
        <v>88</v>
      </c>
      <c r="U89" s="318">
        <v>40</v>
      </c>
      <c r="V89" s="318">
        <v>132.9</v>
      </c>
      <c r="W89" s="318">
        <v>212</v>
      </c>
      <c r="X89" s="315">
        <v>0.18</v>
      </c>
      <c r="Y89" s="318">
        <v>105.3</v>
      </c>
      <c r="Z89" s="315">
        <v>0</v>
      </c>
      <c r="AA89" s="315" t="s">
        <v>1149</v>
      </c>
      <c r="AB89" s="315">
        <v>0</v>
      </c>
      <c r="AC89" s="315" t="s">
        <v>1157</v>
      </c>
    </row>
    <row r="90" spans="1:29">
      <c r="A90" s="315" t="s">
        <v>1145</v>
      </c>
      <c r="B90" s="315" t="s">
        <v>1066</v>
      </c>
      <c r="C90" s="329">
        <v>4.6791344444444398</v>
      </c>
      <c r="D90" s="329">
        <v>113.7</v>
      </c>
      <c r="E90" s="316" t="s">
        <v>1343</v>
      </c>
      <c r="F90" s="316" t="s">
        <v>1344</v>
      </c>
      <c r="G90" s="317">
        <v>20.86</v>
      </c>
      <c r="H90" s="317">
        <v>2.0180962</v>
      </c>
      <c r="I90" s="317">
        <v>2.211916</v>
      </c>
      <c r="J90" s="317">
        <v>8.6712351999999999</v>
      </c>
      <c r="K90" s="318">
        <v>41.568720997123684</v>
      </c>
      <c r="L90" s="318">
        <v>57.421386173850898</v>
      </c>
      <c r="M90" s="319">
        <v>38.8595680496285</v>
      </c>
      <c r="N90" s="319">
        <v>-2.7091529474951841</v>
      </c>
      <c r="O90" s="319">
        <f t="shared" si="1"/>
        <v>0</v>
      </c>
      <c r="P90" s="317">
        <v>0</v>
      </c>
      <c r="Q90" s="315" t="s">
        <v>1148</v>
      </c>
      <c r="R90" s="318">
        <v>190.4</v>
      </c>
      <c r="T90" s="320">
        <v>88</v>
      </c>
      <c r="U90" s="318">
        <v>40</v>
      </c>
      <c r="V90" s="318">
        <v>132.9</v>
      </c>
      <c r="W90" s="318">
        <v>212</v>
      </c>
      <c r="X90" s="315">
        <v>0.18</v>
      </c>
      <c r="Y90" s="318">
        <v>105.3</v>
      </c>
      <c r="Z90" s="315">
        <v>2</v>
      </c>
      <c r="AA90" s="315" t="s">
        <v>1149</v>
      </c>
      <c r="AB90" s="315">
        <v>0</v>
      </c>
      <c r="AC90" s="315" t="s">
        <v>1157</v>
      </c>
    </row>
    <row r="91" spans="1:29">
      <c r="A91" s="315" t="s">
        <v>1145</v>
      </c>
      <c r="B91" s="315" t="s">
        <v>1066</v>
      </c>
      <c r="C91" s="329">
        <v>4.6791344444444398</v>
      </c>
      <c r="D91" s="329">
        <v>113.7</v>
      </c>
      <c r="E91" s="316" t="s">
        <v>1345</v>
      </c>
      <c r="F91" s="316" t="s">
        <v>1345</v>
      </c>
      <c r="G91" s="317">
        <v>0.265044</v>
      </c>
      <c r="H91" s="317">
        <v>0</v>
      </c>
      <c r="I91" s="317">
        <v>0</v>
      </c>
      <c r="J91" s="317">
        <v>0</v>
      </c>
      <c r="K91" s="318">
        <v>0</v>
      </c>
      <c r="L91" s="318">
        <v>79.068914658752504</v>
      </c>
      <c r="M91" s="319">
        <v>27.800384208650097</v>
      </c>
      <c r="N91" s="319">
        <v>27.800384208650097</v>
      </c>
      <c r="O91" s="319">
        <f t="shared" si="1"/>
        <v>27.800384208650097</v>
      </c>
      <c r="P91" s="317">
        <v>7.3683250321974564E-2</v>
      </c>
      <c r="Q91" s="315" t="s">
        <v>1168</v>
      </c>
      <c r="R91" s="318">
        <v>191</v>
      </c>
      <c r="T91" s="320">
        <v>88.333333333333329</v>
      </c>
      <c r="U91" s="318">
        <v>38</v>
      </c>
      <c r="V91" s="318">
        <v>14.8</v>
      </c>
      <c r="W91" s="318">
        <v>177</v>
      </c>
      <c r="X91" s="315">
        <v>0.15</v>
      </c>
      <c r="Y91" s="318">
        <v>6.12</v>
      </c>
      <c r="Z91" s="315">
        <v>0</v>
      </c>
      <c r="AA91" s="315" t="s">
        <v>1149</v>
      </c>
      <c r="AB91" s="315">
        <v>0</v>
      </c>
      <c r="AC91" s="315" t="s">
        <v>1190</v>
      </c>
    </row>
    <row r="92" spans="1:29">
      <c r="A92" s="315" t="s">
        <v>1145</v>
      </c>
      <c r="B92" s="315" t="s">
        <v>1066</v>
      </c>
      <c r="C92" s="329">
        <v>4.6791344444444398</v>
      </c>
      <c r="D92" s="329">
        <v>113.7</v>
      </c>
      <c r="E92" s="316" t="s">
        <v>1346</v>
      </c>
      <c r="F92" s="316" t="s">
        <v>1346</v>
      </c>
      <c r="G92" s="317">
        <v>0.19</v>
      </c>
      <c r="H92" s="317">
        <v>0</v>
      </c>
      <c r="I92" s="317">
        <v>0</v>
      </c>
      <c r="J92" s="317">
        <v>0</v>
      </c>
      <c r="K92" s="318">
        <v>0</v>
      </c>
      <c r="L92" s="318">
        <v>78.966526211537698</v>
      </c>
      <c r="M92" s="319">
        <v>25.554914685832504</v>
      </c>
      <c r="N92" s="319">
        <v>25.554914685832504</v>
      </c>
      <c r="O92" s="319">
        <f t="shared" si="1"/>
        <v>25.554914685832504</v>
      </c>
      <c r="P92" s="317">
        <v>4.8554337903081758E-2</v>
      </c>
      <c r="Q92" s="315" t="s">
        <v>1168</v>
      </c>
      <c r="R92" s="318">
        <v>191</v>
      </c>
      <c r="T92" s="320">
        <v>88.333333333333329</v>
      </c>
      <c r="U92" s="318">
        <v>38</v>
      </c>
      <c r="V92" s="318">
        <v>38.700000000000003</v>
      </c>
      <c r="W92" s="318">
        <v>177</v>
      </c>
      <c r="X92" s="315">
        <v>0.15</v>
      </c>
      <c r="Y92" s="318">
        <v>6.12</v>
      </c>
      <c r="Z92" s="315">
        <v>0</v>
      </c>
      <c r="AA92" s="315" t="s">
        <v>1149</v>
      </c>
      <c r="AB92" s="315">
        <v>0</v>
      </c>
      <c r="AC92" s="315" t="s">
        <v>1190</v>
      </c>
    </row>
    <row r="93" spans="1:29">
      <c r="A93" s="315" t="s">
        <v>1145</v>
      </c>
      <c r="B93" s="315" t="s">
        <v>1066</v>
      </c>
      <c r="C93" s="329">
        <v>4.6791344444444398</v>
      </c>
      <c r="D93" s="329">
        <v>113.7</v>
      </c>
      <c r="E93" s="316" t="s">
        <v>1347</v>
      </c>
      <c r="F93" s="316" t="s">
        <v>1347</v>
      </c>
      <c r="G93" s="317">
        <v>0.93229799999999996</v>
      </c>
      <c r="H93" s="317">
        <v>0</v>
      </c>
      <c r="I93" s="317">
        <v>0</v>
      </c>
      <c r="J93" s="317">
        <v>0</v>
      </c>
      <c r="K93" s="318">
        <v>0</v>
      </c>
      <c r="L93" s="318">
        <v>59.737448057841398</v>
      </c>
      <c r="M93" s="319">
        <v>38.1762921716645</v>
      </c>
      <c r="N93" s="319">
        <v>38.1762921716645</v>
      </c>
      <c r="O93" s="319">
        <f t="shared" si="1"/>
        <v>38.1762921716645</v>
      </c>
      <c r="P93" s="317">
        <v>0.3559168083905847</v>
      </c>
      <c r="Q93" s="315" t="s">
        <v>1168</v>
      </c>
      <c r="R93" s="318">
        <v>191</v>
      </c>
      <c r="T93" s="320">
        <v>88.333333333333329</v>
      </c>
      <c r="U93" s="318">
        <v>38</v>
      </c>
      <c r="V93" s="318">
        <v>95.3</v>
      </c>
      <c r="W93" s="318">
        <v>801</v>
      </c>
      <c r="X93" s="315">
        <v>0.17</v>
      </c>
      <c r="Y93" s="318">
        <v>100.58</v>
      </c>
      <c r="Z93" s="315">
        <v>0</v>
      </c>
      <c r="AA93" s="315" t="s">
        <v>1149</v>
      </c>
      <c r="AB93" s="315">
        <v>0</v>
      </c>
      <c r="AC93" s="315" t="s">
        <v>1157</v>
      </c>
    </row>
    <row r="94" spans="1:29">
      <c r="A94" s="315" t="s">
        <v>1145</v>
      </c>
      <c r="B94" s="315" t="s">
        <v>1066</v>
      </c>
      <c r="C94" s="329">
        <v>4.6791344444444398</v>
      </c>
      <c r="D94" s="329">
        <v>113.7</v>
      </c>
      <c r="E94" s="316" t="s">
        <v>1348</v>
      </c>
      <c r="F94" s="316" t="s">
        <v>1348</v>
      </c>
      <c r="G94" s="317">
        <v>0.128714</v>
      </c>
      <c r="H94" s="317">
        <v>0</v>
      </c>
      <c r="I94" s="317">
        <v>0</v>
      </c>
      <c r="J94" s="317">
        <v>0</v>
      </c>
      <c r="K94" s="318">
        <v>0</v>
      </c>
      <c r="L94" s="318">
        <v>58.902083209520903</v>
      </c>
      <c r="M94" s="319">
        <v>39.221610104021501</v>
      </c>
      <c r="N94" s="319">
        <v>39.221610104021501</v>
      </c>
      <c r="O94" s="319">
        <f t="shared" si="1"/>
        <v>39.221610104021501</v>
      </c>
      <c r="P94" s="317">
        <v>5.048370322929023E-2</v>
      </c>
      <c r="Q94" s="315" t="s">
        <v>1168</v>
      </c>
      <c r="R94" s="318">
        <v>191</v>
      </c>
      <c r="T94" s="320">
        <v>88.333333333333329</v>
      </c>
      <c r="U94" s="318">
        <v>38</v>
      </c>
      <c r="V94" s="318">
        <v>215</v>
      </c>
      <c r="W94" s="318">
        <v>215</v>
      </c>
      <c r="X94" s="315">
        <v>0.2</v>
      </c>
      <c r="Y94" s="318">
        <v>246.3</v>
      </c>
      <c r="Z94" s="315">
        <v>1</v>
      </c>
      <c r="AA94" s="315" t="s">
        <v>1149</v>
      </c>
      <c r="AB94" s="315">
        <v>0</v>
      </c>
      <c r="AC94" s="315" t="s">
        <v>1157</v>
      </c>
    </row>
    <row r="95" spans="1:29">
      <c r="A95" s="315" t="s">
        <v>1145</v>
      </c>
      <c r="B95" s="315" t="s">
        <v>1066</v>
      </c>
      <c r="C95" s="329">
        <v>4.6791344444444398</v>
      </c>
      <c r="D95" s="329">
        <v>113.7</v>
      </c>
      <c r="E95" s="316" t="s">
        <v>1349</v>
      </c>
      <c r="F95" s="316" t="s">
        <v>1349</v>
      </c>
      <c r="G95" s="317">
        <v>4.6500000000000004</v>
      </c>
      <c r="H95" s="317">
        <v>0</v>
      </c>
      <c r="I95" s="317">
        <v>0</v>
      </c>
      <c r="J95" s="317">
        <v>0</v>
      </c>
      <c r="K95" s="318">
        <v>0</v>
      </c>
      <c r="L95" s="318">
        <v>53.804957155012801</v>
      </c>
      <c r="M95" s="319">
        <v>40.221400501819602</v>
      </c>
      <c r="N95" s="319">
        <v>40.221400501819602</v>
      </c>
      <c r="O95" s="319">
        <f t="shared" si="1"/>
        <v>40.221400501819602</v>
      </c>
      <c r="P95" s="317">
        <v>1.8702951233346117</v>
      </c>
      <c r="Q95" s="315" t="s">
        <v>1168</v>
      </c>
      <c r="R95" s="318">
        <v>191</v>
      </c>
      <c r="T95" s="320">
        <v>88.333333333333329</v>
      </c>
      <c r="U95" s="318">
        <v>38</v>
      </c>
      <c r="V95" s="318">
        <v>1339</v>
      </c>
      <c r="W95" s="318">
        <v>1339</v>
      </c>
      <c r="X95" s="315">
        <v>0.2</v>
      </c>
      <c r="Y95" s="318">
        <v>246.3</v>
      </c>
      <c r="Z95" s="315">
        <v>0</v>
      </c>
      <c r="AA95" s="315" t="s">
        <v>1149</v>
      </c>
      <c r="AB95" s="315">
        <v>0</v>
      </c>
      <c r="AC95" s="315" t="s">
        <v>1157</v>
      </c>
    </row>
    <row r="96" spans="1:29">
      <c r="A96" s="315" t="s">
        <v>1145</v>
      </c>
      <c r="B96" s="315" t="s">
        <v>1066</v>
      </c>
      <c r="C96" s="329">
        <v>4.6791344444444398</v>
      </c>
      <c r="D96" s="329">
        <v>113.7</v>
      </c>
      <c r="E96" s="316" t="s">
        <v>1350</v>
      </c>
      <c r="F96" s="316" t="s">
        <v>1350</v>
      </c>
      <c r="G96" s="317">
        <v>2.4700000000000002</v>
      </c>
      <c r="H96" s="317">
        <v>0</v>
      </c>
      <c r="I96" s="317">
        <v>0</v>
      </c>
      <c r="J96" s="317">
        <v>0.66146249999999995</v>
      </c>
      <c r="K96" s="318">
        <v>26.779858299595137</v>
      </c>
      <c r="L96" s="318">
        <v>61.081380388004099</v>
      </c>
      <c r="M96" s="319">
        <v>33.737633614604604</v>
      </c>
      <c r="N96" s="319">
        <v>6.9577753150094672</v>
      </c>
      <c r="O96" s="319">
        <f t="shared" si="1"/>
        <v>6.9577753150094672</v>
      </c>
      <c r="P96" s="317">
        <v>0.17185705028073386</v>
      </c>
      <c r="Q96" s="315" t="s">
        <v>1168</v>
      </c>
      <c r="R96" s="318">
        <v>192.9</v>
      </c>
      <c r="T96" s="320">
        <v>89.388888888888886</v>
      </c>
      <c r="U96" s="318">
        <v>40</v>
      </c>
      <c r="V96" s="318">
        <v>152.5</v>
      </c>
      <c r="W96" s="318">
        <v>279</v>
      </c>
      <c r="X96" s="315">
        <v>0.18</v>
      </c>
      <c r="Y96" s="318">
        <v>29.7</v>
      </c>
      <c r="Z96" s="315">
        <v>0</v>
      </c>
      <c r="AA96" s="315" t="s">
        <v>1149</v>
      </c>
      <c r="AB96" s="315">
        <v>0</v>
      </c>
      <c r="AC96" s="315" t="s">
        <v>1157</v>
      </c>
    </row>
    <row r="97" spans="1:29">
      <c r="A97" s="315" t="s">
        <v>1145</v>
      </c>
      <c r="B97" s="315" t="s">
        <v>1066</v>
      </c>
      <c r="C97" s="329">
        <v>4.6791344444444398</v>
      </c>
      <c r="D97" s="329">
        <v>113.7</v>
      </c>
      <c r="E97" s="316" t="s">
        <v>1351</v>
      </c>
      <c r="F97" s="316" t="s">
        <v>1351</v>
      </c>
      <c r="G97" s="317">
        <v>4.3726520000000004</v>
      </c>
      <c r="H97" s="317">
        <v>0.51772739999999995</v>
      </c>
      <c r="I97" s="317">
        <v>0.56443779999999999</v>
      </c>
      <c r="J97" s="317">
        <v>0.58606389999999997</v>
      </c>
      <c r="K97" s="318">
        <v>13.402939451847526</v>
      </c>
      <c r="L97" s="318">
        <v>60.859951671178798</v>
      </c>
      <c r="M97" s="319">
        <v>38.213994020662902</v>
      </c>
      <c r="N97" s="319">
        <v>24.811054568815376</v>
      </c>
      <c r="O97" s="319">
        <f t="shared" si="1"/>
        <v>24.811054568815376</v>
      </c>
      <c r="P97" s="317">
        <v>1.0849010738243969</v>
      </c>
      <c r="Q97" s="315" t="s">
        <v>1148</v>
      </c>
      <c r="R97" s="318">
        <v>193</v>
      </c>
      <c r="T97" s="320">
        <v>89.444444444444443</v>
      </c>
      <c r="U97" s="318">
        <v>38</v>
      </c>
      <c r="V97" s="318">
        <v>144.30000000000001</v>
      </c>
      <c r="W97" s="318">
        <v>1109</v>
      </c>
      <c r="X97" s="315">
        <v>0.21</v>
      </c>
      <c r="Y97" s="318">
        <v>246.9</v>
      </c>
      <c r="Z97" s="315">
        <v>2</v>
      </c>
      <c r="AA97" s="315" t="s">
        <v>1149</v>
      </c>
      <c r="AB97" s="315">
        <v>0</v>
      </c>
      <c r="AC97" s="315" t="s">
        <v>1157</v>
      </c>
    </row>
    <row r="98" spans="1:29">
      <c r="A98" s="315" t="s">
        <v>1145</v>
      </c>
      <c r="B98" s="315" t="s">
        <v>1066</v>
      </c>
      <c r="C98" s="329">
        <v>4.6791344444444398</v>
      </c>
      <c r="D98" s="329">
        <v>113.7</v>
      </c>
      <c r="E98" s="316" t="s">
        <v>1352</v>
      </c>
      <c r="F98" s="316" t="s">
        <v>1352</v>
      </c>
      <c r="G98" s="317">
        <v>3.08</v>
      </c>
      <c r="H98" s="317">
        <v>1.33E-5</v>
      </c>
      <c r="I98" s="317">
        <v>1.45E-5</v>
      </c>
      <c r="J98" s="317">
        <v>0.881965</v>
      </c>
      <c r="K98" s="318">
        <v>28.635227272727271</v>
      </c>
      <c r="L98" s="318">
        <v>58.333593763990201</v>
      </c>
      <c r="M98" s="319">
        <v>37.726855620057798</v>
      </c>
      <c r="N98" s="319">
        <v>9.091628347330527</v>
      </c>
      <c r="O98" s="319">
        <f t="shared" si="1"/>
        <v>9.091628347330527</v>
      </c>
      <c r="P98" s="317">
        <v>0.28002215309778022</v>
      </c>
      <c r="Q98" s="315" t="s">
        <v>1148</v>
      </c>
      <c r="R98" s="318">
        <v>193.9</v>
      </c>
      <c r="T98" s="320">
        <v>89.944444444444443</v>
      </c>
      <c r="U98" s="318">
        <v>40</v>
      </c>
      <c r="V98" s="318">
        <v>1111</v>
      </c>
      <c r="W98" s="318">
        <v>1111</v>
      </c>
      <c r="X98" s="315">
        <v>0.2</v>
      </c>
      <c r="Y98" s="318">
        <v>50</v>
      </c>
      <c r="Z98" s="315">
        <v>5</v>
      </c>
      <c r="AA98" s="315" t="s">
        <v>1149</v>
      </c>
      <c r="AB98" s="315">
        <v>0</v>
      </c>
      <c r="AC98" s="315" t="s">
        <v>1157</v>
      </c>
    </row>
    <row r="99" spans="1:29">
      <c r="A99" s="315" t="s">
        <v>1145</v>
      </c>
      <c r="B99" s="315" t="s">
        <v>1066</v>
      </c>
      <c r="C99" s="329">
        <v>4.6791344444444398</v>
      </c>
      <c r="D99" s="329">
        <v>113.7</v>
      </c>
      <c r="E99" s="316" t="s">
        <v>1353</v>
      </c>
      <c r="F99" s="316" t="s">
        <v>1353</v>
      </c>
      <c r="G99" s="317">
        <v>2.35</v>
      </c>
      <c r="H99" s="317">
        <v>0</v>
      </c>
      <c r="I99" s="317">
        <v>0</v>
      </c>
      <c r="J99" s="317">
        <v>0.88194989999999995</v>
      </c>
      <c r="K99" s="318">
        <v>37.529782978723404</v>
      </c>
      <c r="L99" s="318">
        <v>52.628031534931701</v>
      </c>
      <c r="M99" s="319">
        <v>40.721514841060504</v>
      </c>
      <c r="N99" s="319">
        <v>3.1917318623371003</v>
      </c>
      <c r="O99" s="319">
        <f t="shared" si="1"/>
        <v>3.1917318623371003</v>
      </c>
      <c r="P99" s="317">
        <v>7.5005698764921858E-2</v>
      </c>
      <c r="Q99" s="315" t="s">
        <v>1168</v>
      </c>
      <c r="R99" s="318">
        <v>194</v>
      </c>
      <c r="T99" s="320">
        <v>90</v>
      </c>
      <c r="U99" s="318">
        <v>40</v>
      </c>
      <c r="V99" s="318">
        <v>162.9</v>
      </c>
      <c r="W99" s="318">
        <v>388</v>
      </c>
      <c r="X99" s="315">
        <v>0.2</v>
      </c>
      <c r="Y99" s="318">
        <v>705.4</v>
      </c>
      <c r="Z99" s="315">
        <v>0</v>
      </c>
      <c r="AA99" s="315" t="s">
        <v>1149</v>
      </c>
      <c r="AB99" s="315">
        <v>0</v>
      </c>
      <c r="AC99" s="315" t="s">
        <v>1157</v>
      </c>
    </row>
    <row r="100" spans="1:29">
      <c r="A100" s="315" t="s">
        <v>1145</v>
      </c>
      <c r="B100" s="315" t="s">
        <v>1066</v>
      </c>
      <c r="C100" s="329">
        <v>4.6791344444444398</v>
      </c>
      <c r="D100" s="329">
        <v>113.7</v>
      </c>
      <c r="E100" s="316" t="s">
        <v>1354</v>
      </c>
      <c r="F100" s="316" t="s">
        <v>1354</v>
      </c>
      <c r="G100" s="317">
        <v>0.57999999999999996</v>
      </c>
      <c r="H100" s="317">
        <v>0</v>
      </c>
      <c r="I100" s="317">
        <v>0</v>
      </c>
      <c r="J100" s="317">
        <v>0</v>
      </c>
      <c r="K100" s="318">
        <v>0</v>
      </c>
      <c r="L100" s="318">
        <v>0</v>
      </c>
      <c r="M100" s="319">
        <v>0</v>
      </c>
      <c r="N100" s="319">
        <v>0</v>
      </c>
      <c r="O100" s="319">
        <f t="shared" si="1"/>
        <v>0</v>
      </c>
      <c r="P100" s="317">
        <v>0</v>
      </c>
      <c r="Q100" s="315" t="s">
        <v>1168</v>
      </c>
      <c r="R100" s="318">
        <v>194</v>
      </c>
      <c r="T100" s="320">
        <v>90</v>
      </c>
      <c r="U100" s="318">
        <v>38</v>
      </c>
      <c r="V100" s="318">
        <v>26.5</v>
      </c>
      <c r="W100" s="318">
        <v>410</v>
      </c>
      <c r="X100" s="315">
        <v>0.22</v>
      </c>
      <c r="Y100" s="318">
        <v>58.667000000000002</v>
      </c>
      <c r="Z100" s="315">
        <v>1</v>
      </c>
      <c r="AA100" s="315" t="s">
        <v>1149</v>
      </c>
      <c r="AB100" s="315">
        <v>0</v>
      </c>
      <c r="AC100" s="315" t="s">
        <v>1157</v>
      </c>
    </row>
    <row r="101" spans="1:29">
      <c r="A101" s="315" t="s">
        <v>1145</v>
      </c>
      <c r="B101" s="315" t="s">
        <v>1066</v>
      </c>
      <c r="C101" s="329">
        <v>4.6791344444444398</v>
      </c>
      <c r="D101" s="329">
        <v>113.7</v>
      </c>
      <c r="E101" s="316" t="s">
        <v>1356</v>
      </c>
      <c r="F101" s="316" t="s">
        <v>1356</v>
      </c>
      <c r="G101" s="317">
        <v>17.3</v>
      </c>
      <c r="H101" s="317">
        <v>0.95518000000000003</v>
      </c>
      <c r="I101" s="317">
        <v>1.0413582000000001</v>
      </c>
      <c r="J101" s="317">
        <v>5.1794853000000005</v>
      </c>
      <c r="K101" s="318">
        <v>29.939221387283236</v>
      </c>
      <c r="L101" s="318">
        <v>63.159713264794902</v>
      </c>
      <c r="M101" s="319">
        <v>37.390808430630202</v>
      </c>
      <c r="N101" s="319">
        <v>7.4515870433469651</v>
      </c>
      <c r="O101" s="319">
        <f t="shared" si="1"/>
        <v>7.4515870433469651</v>
      </c>
      <c r="P101" s="317">
        <v>1.289124558499025</v>
      </c>
      <c r="Q101" s="315" t="s">
        <v>1148</v>
      </c>
      <c r="R101" s="318">
        <v>194.7</v>
      </c>
      <c r="T101" s="320">
        <v>90.388888888888886</v>
      </c>
      <c r="U101" s="318">
        <v>40</v>
      </c>
      <c r="V101" s="318">
        <v>165.6</v>
      </c>
      <c r="W101" s="318">
        <v>111</v>
      </c>
      <c r="X101" s="315">
        <v>0.183</v>
      </c>
      <c r="Y101" s="318">
        <v>121.6</v>
      </c>
      <c r="Z101" s="315">
        <v>8</v>
      </c>
      <c r="AA101" s="315" t="s">
        <v>1149</v>
      </c>
      <c r="AB101" s="315">
        <v>0</v>
      </c>
      <c r="AC101" s="315" t="s">
        <v>1157</v>
      </c>
    </row>
    <row r="102" spans="1:29">
      <c r="A102" s="315" t="s">
        <v>1145</v>
      </c>
      <c r="B102" s="315" t="s">
        <v>1066</v>
      </c>
      <c r="C102" s="329">
        <v>4.6791344444444398</v>
      </c>
      <c r="D102" s="329">
        <v>113.7</v>
      </c>
      <c r="E102" s="316" t="s">
        <v>1357</v>
      </c>
      <c r="F102" s="316" t="s">
        <v>1357</v>
      </c>
      <c r="G102" s="317">
        <v>14.8</v>
      </c>
      <c r="H102" s="317">
        <v>2.0891425999999997</v>
      </c>
      <c r="I102" s="317">
        <v>2.4831352999999998</v>
      </c>
      <c r="J102" s="317">
        <v>2.9040442</v>
      </c>
      <c r="K102" s="318">
        <v>19.62192027027027</v>
      </c>
      <c r="L102" s="318">
        <v>70.775179948499698</v>
      </c>
      <c r="M102" s="319">
        <v>32.978365664442897</v>
      </c>
      <c r="N102" s="319">
        <v>13.356445394172628</v>
      </c>
      <c r="O102" s="319">
        <f t="shared" si="1"/>
        <v>13.356445394172628</v>
      </c>
      <c r="P102" s="317">
        <v>1.9767539183375491</v>
      </c>
      <c r="Q102" s="315" t="s">
        <v>1148</v>
      </c>
      <c r="R102" s="318">
        <v>195.5</v>
      </c>
      <c r="T102" s="320">
        <v>90.833333333333329</v>
      </c>
      <c r="U102" s="318">
        <v>40</v>
      </c>
      <c r="V102" s="318">
        <v>288.39999999999998</v>
      </c>
      <c r="W102" s="318">
        <v>465</v>
      </c>
      <c r="X102" s="315">
        <v>0.11</v>
      </c>
      <c r="Y102" s="318">
        <v>63.97</v>
      </c>
      <c r="Z102" s="315">
        <v>7</v>
      </c>
      <c r="AA102" s="315" t="s">
        <v>1149</v>
      </c>
      <c r="AB102" s="315">
        <v>0</v>
      </c>
      <c r="AC102" s="315" t="s">
        <v>1157</v>
      </c>
    </row>
    <row r="103" spans="1:29">
      <c r="A103" s="315" t="s">
        <v>1715</v>
      </c>
      <c r="B103" s="315" t="s">
        <v>1066</v>
      </c>
      <c r="C103" s="329">
        <v>4.6791344444444398</v>
      </c>
      <c r="D103" s="329">
        <v>113.7</v>
      </c>
      <c r="E103" s="316" t="s">
        <v>1358</v>
      </c>
      <c r="F103" s="316" t="s">
        <v>1358</v>
      </c>
      <c r="G103" s="317">
        <v>15.37</v>
      </c>
      <c r="H103" s="317">
        <v>0.45863660000000001</v>
      </c>
      <c r="I103" s="317">
        <v>0.50001570000000006</v>
      </c>
      <c r="J103" s="317">
        <v>0.57445750000000007</v>
      </c>
      <c r="K103" s="318">
        <v>3.73752439817827</v>
      </c>
      <c r="L103" s="318">
        <v>72.337493404008399</v>
      </c>
      <c r="M103" s="319">
        <v>32.018785658652895</v>
      </c>
      <c r="N103" s="319">
        <v>28.281261260474626</v>
      </c>
      <c r="O103" s="319">
        <f t="shared" si="1"/>
        <v>28.281261260474626</v>
      </c>
      <c r="P103" s="317">
        <v>4.3468298557349501</v>
      </c>
      <c r="Q103" s="315" t="s">
        <v>1148</v>
      </c>
      <c r="R103" s="318">
        <v>195.5</v>
      </c>
      <c r="T103" s="320">
        <v>90.833333333333329</v>
      </c>
      <c r="U103" s="318">
        <v>40</v>
      </c>
      <c r="V103" s="318">
        <v>220.4</v>
      </c>
      <c r="W103" s="318">
        <v>844.72649999999999</v>
      </c>
      <c r="X103" s="315">
        <v>0.12</v>
      </c>
      <c r="Y103" s="318">
        <v>14.3</v>
      </c>
      <c r="Z103" s="315">
        <v>9</v>
      </c>
      <c r="AA103" s="315" t="s">
        <v>1149</v>
      </c>
      <c r="AB103" s="315">
        <v>0</v>
      </c>
      <c r="AC103" s="315" t="s">
        <v>1157</v>
      </c>
    </row>
    <row r="104" spans="1:29">
      <c r="A104" s="315" t="s">
        <v>1717</v>
      </c>
      <c r="B104" s="315" t="s">
        <v>1066</v>
      </c>
      <c r="C104" s="329">
        <v>4.6791344444444398</v>
      </c>
      <c r="D104" s="329">
        <v>113.7</v>
      </c>
      <c r="E104" s="316" t="s">
        <v>1359</v>
      </c>
      <c r="F104" s="316" t="s">
        <v>1359</v>
      </c>
      <c r="G104" s="317">
        <v>2.08</v>
      </c>
      <c r="H104" s="317">
        <v>0.63125770000000003</v>
      </c>
      <c r="I104" s="317">
        <v>0.68821100000000002</v>
      </c>
      <c r="J104" s="317">
        <v>1.4634388</v>
      </c>
      <c r="K104" s="318">
        <v>70.357634615384612</v>
      </c>
      <c r="L104" s="318">
        <v>58.450315317633702</v>
      </c>
      <c r="M104" s="319">
        <v>37.805266121029199</v>
      </c>
      <c r="N104" s="319">
        <v>-32.552368494355413</v>
      </c>
      <c r="O104" s="319">
        <f t="shared" si="1"/>
        <v>0</v>
      </c>
      <c r="P104" s="317">
        <v>0</v>
      </c>
      <c r="Q104" s="315" t="s">
        <v>1148</v>
      </c>
      <c r="R104" s="318">
        <v>195.5</v>
      </c>
      <c r="T104" s="320">
        <v>90.833333333333329</v>
      </c>
      <c r="U104" s="318">
        <v>40</v>
      </c>
      <c r="V104" s="318">
        <v>198</v>
      </c>
      <c r="W104" s="318">
        <v>198</v>
      </c>
      <c r="X104" s="315">
        <v>0.13700000000000001</v>
      </c>
      <c r="Y104" s="318">
        <v>83.7</v>
      </c>
      <c r="Z104" s="315">
        <v>3</v>
      </c>
      <c r="AA104" s="315" t="s">
        <v>1149</v>
      </c>
      <c r="AB104" s="315">
        <v>0</v>
      </c>
      <c r="AC104" s="315" t="s">
        <v>1157</v>
      </c>
    </row>
    <row r="105" spans="1:29">
      <c r="A105" s="315" t="s">
        <v>1145</v>
      </c>
      <c r="B105" s="315" t="s">
        <v>1066</v>
      </c>
      <c r="C105" s="329">
        <v>4.6791344444444398</v>
      </c>
      <c r="D105" s="329">
        <v>113.7</v>
      </c>
      <c r="E105" s="316" t="s">
        <v>1360</v>
      </c>
      <c r="F105" s="316" t="s">
        <v>1360</v>
      </c>
      <c r="G105" s="317">
        <v>34.380000000000003</v>
      </c>
      <c r="H105" s="317">
        <v>3.4003714999999999</v>
      </c>
      <c r="I105" s="317">
        <v>3.7071595999999998</v>
      </c>
      <c r="J105" s="317">
        <v>8.402784200000001</v>
      </c>
      <c r="K105" s="318">
        <v>24.44090808609657</v>
      </c>
      <c r="L105" s="318">
        <v>64.0132941013525</v>
      </c>
      <c r="M105" s="319">
        <v>35.847974838572696</v>
      </c>
      <c r="N105" s="319">
        <v>11.407066752476126</v>
      </c>
      <c r="O105" s="319">
        <f t="shared" si="1"/>
        <v>11.407066752476126</v>
      </c>
      <c r="P105" s="317">
        <v>3.9217495495012926</v>
      </c>
      <c r="Q105" s="315" t="s">
        <v>1148</v>
      </c>
      <c r="R105" s="318">
        <v>195.7</v>
      </c>
      <c r="T105" s="320">
        <v>90.944444444444443</v>
      </c>
      <c r="U105" s="318">
        <v>40</v>
      </c>
      <c r="V105" s="318">
        <v>145</v>
      </c>
      <c r="W105" s="318">
        <v>170</v>
      </c>
      <c r="X105" s="315">
        <v>0.186</v>
      </c>
      <c r="Y105" s="318">
        <v>29</v>
      </c>
      <c r="Z105" s="315">
        <v>22</v>
      </c>
      <c r="AA105" s="315" t="s">
        <v>1149</v>
      </c>
      <c r="AB105" s="315">
        <v>0</v>
      </c>
      <c r="AC105" s="315" t="s">
        <v>1157</v>
      </c>
    </row>
    <row r="106" spans="1:29">
      <c r="A106" s="315" t="s">
        <v>1145</v>
      </c>
      <c r="B106" s="315" t="s">
        <v>1066</v>
      </c>
      <c r="C106" s="329">
        <v>4.6791344444444398</v>
      </c>
      <c r="D106" s="329">
        <v>113.7</v>
      </c>
      <c r="E106" s="316" t="s">
        <v>1362</v>
      </c>
      <c r="F106" s="316" t="s">
        <v>1362</v>
      </c>
      <c r="G106" s="317">
        <v>1.44</v>
      </c>
      <c r="H106" s="317">
        <v>0</v>
      </c>
      <c r="I106" s="317">
        <v>0</v>
      </c>
      <c r="J106" s="317">
        <v>0.44097500000000001</v>
      </c>
      <c r="K106" s="318">
        <v>30.623263888888889</v>
      </c>
      <c r="L106" s="318">
        <v>54.616688762483498</v>
      </c>
      <c r="M106" s="319">
        <v>40.088461612424901</v>
      </c>
      <c r="N106" s="319">
        <v>9.4651977235360114</v>
      </c>
      <c r="O106" s="319">
        <f t="shared" si="1"/>
        <v>9.4651977235360114</v>
      </c>
      <c r="P106" s="317">
        <v>0.13629884721891858</v>
      </c>
      <c r="Q106" s="315" t="s">
        <v>1168</v>
      </c>
      <c r="R106" s="318">
        <v>195.7</v>
      </c>
      <c r="T106" s="320">
        <v>90.944444444444443</v>
      </c>
      <c r="U106" s="318">
        <v>40</v>
      </c>
      <c r="V106" s="318">
        <v>132.4</v>
      </c>
      <c r="W106" s="318">
        <v>473</v>
      </c>
      <c r="X106" s="315">
        <v>0.19</v>
      </c>
      <c r="Y106" s="318">
        <v>192.2</v>
      </c>
      <c r="Z106" s="315">
        <v>0</v>
      </c>
      <c r="AA106" s="315" t="s">
        <v>1149</v>
      </c>
      <c r="AB106" s="315">
        <v>0</v>
      </c>
      <c r="AC106" s="315" t="s">
        <v>1157</v>
      </c>
    </row>
    <row r="107" spans="1:29">
      <c r="A107" s="315" t="s">
        <v>1145</v>
      </c>
      <c r="B107" s="315" t="s">
        <v>1066</v>
      </c>
      <c r="C107" s="329">
        <v>4.6791344444444398</v>
      </c>
      <c r="D107" s="329">
        <v>113.7</v>
      </c>
      <c r="E107" s="316" t="s">
        <v>1363</v>
      </c>
      <c r="F107" s="316" t="s">
        <v>1363</v>
      </c>
      <c r="G107" s="317">
        <v>3.14</v>
      </c>
      <c r="H107" s="317">
        <v>0</v>
      </c>
      <c r="I107" s="317">
        <v>0</v>
      </c>
      <c r="J107" s="317">
        <v>0.88194989999999995</v>
      </c>
      <c r="K107" s="318">
        <v>28.087576433121015</v>
      </c>
      <c r="L107" s="318">
        <v>58.350724872460802</v>
      </c>
      <c r="M107" s="319">
        <v>37.721932573629303</v>
      </c>
      <c r="N107" s="319">
        <v>9.634356140508288</v>
      </c>
      <c r="O107" s="319">
        <f t="shared" si="1"/>
        <v>9.634356140508288</v>
      </c>
      <c r="P107" s="317">
        <v>0.30251878281196026</v>
      </c>
      <c r="Q107" s="315" t="s">
        <v>1168</v>
      </c>
      <c r="R107" s="318">
        <v>195.7</v>
      </c>
      <c r="T107" s="320">
        <v>90.944444444444443</v>
      </c>
      <c r="U107" s="318">
        <v>40</v>
      </c>
      <c r="V107" s="318">
        <v>462.7</v>
      </c>
      <c r="W107" s="318">
        <v>462.7</v>
      </c>
      <c r="X107" s="315">
        <v>0.2</v>
      </c>
      <c r="Y107" s="318">
        <v>50</v>
      </c>
      <c r="Z107" s="315">
        <v>2</v>
      </c>
      <c r="AA107" s="315" t="s">
        <v>1149</v>
      </c>
      <c r="AB107" s="315">
        <v>0</v>
      </c>
      <c r="AC107" s="315" t="s">
        <v>1157</v>
      </c>
    </row>
    <row r="108" spans="1:29">
      <c r="A108" s="315" t="s">
        <v>1723</v>
      </c>
      <c r="B108" s="315" t="s">
        <v>1066</v>
      </c>
      <c r="C108" s="329">
        <v>4.6791344444444398</v>
      </c>
      <c r="D108" s="329">
        <v>113.7</v>
      </c>
      <c r="E108" s="316" t="s">
        <v>1364</v>
      </c>
      <c r="F108" s="316" t="s">
        <v>1364</v>
      </c>
      <c r="G108" s="317">
        <v>8.538316</v>
      </c>
      <c r="H108" s="317">
        <v>0</v>
      </c>
      <c r="I108" s="317">
        <v>0</v>
      </c>
      <c r="J108" s="317">
        <v>0</v>
      </c>
      <c r="K108" s="318">
        <v>0</v>
      </c>
      <c r="L108" s="318">
        <v>58.469245248139501</v>
      </c>
      <c r="M108" s="319">
        <v>39.107517896140095</v>
      </c>
      <c r="N108" s="319">
        <v>39.107517896140095</v>
      </c>
      <c r="O108" s="319">
        <f t="shared" si="1"/>
        <v>39.107517896140095</v>
      </c>
      <c r="P108" s="317">
        <v>3.3391234577289928</v>
      </c>
      <c r="Q108" s="315" t="s">
        <v>1168</v>
      </c>
      <c r="R108" s="318">
        <v>196</v>
      </c>
      <c r="T108" s="320">
        <v>91.111111111111114</v>
      </c>
      <c r="U108" s="318">
        <v>38</v>
      </c>
      <c r="V108" s="318">
        <v>191.7</v>
      </c>
      <c r="W108" s="318">
        <v>1114</v>
      </c>
      <c r="X108" s="315">
        <v>0.18</v>
      </c>
      <c r="Y108" s="318">
        <v>180.5</v>
      </c>
      <c r="Z108" s="315">
        <v>5</v>
      </c>
      <c r="AA108" s="315" t="s">
        <v>1149</v>
      </c>
      <c r="AB108" s="315">
        <v>0</v>
      </c>
      <c r="AC108" s="315" t="s">
        <v>1157</v>
      </c>
    </row>
    <row r="109" spans="1:29">
      <c r="A109" s="315" t="s">
        <v>1145</v>
      </c>
      <c r="B109" s="315" t="s">
        <v>1066</v>
      </c>
      <c r="C109" s="329">
        <v>4.6791344444444398</v>
      </c>
      <c r="D109" s="329">
        <v>113.7</v>
      </c>
      <c r="E109" s="316" t="s">
        <v>1365</v>
      </c>
      <c r="F109" s="316" t="s">
        <v>1365</v>
      </c>
      <c r="G109" s="317">
        <v>2.91</v>
      </c>
      <c r="H109" s="317">
        <v>2.4640000000000003E-4</v>
      </c>
      <c r="I109" s="317">
        <v>0.16907730000000001</v>
      </c>
      <c r="J109" s="317">
        <v>0.22436130000000001</v>
      </c>
      <c r="K109" s="318">
        <v>7.710010309278351</v>
      </c>
      <c r="L109" s="318">
        <v>78.482826653353897</v>
      </c>
      <c r="M109" s="319">
        <v>25.876899318572701</v>
      </c>
      <c r="N109" s="319">
        <v>18.166889009294351</v>
      </c>
      <c r="O109" s="319">
        <f t="shared" si="1"/>
        <v>18.166889009294351</v>
      </c>
      <c r="P109" s="317">
        <v>0.52865647017046569</v>
      </c>
      <c r="Q109" s="315" t="s">
        <v>1148</v>
      </c>
      <c r="R109" s="318">
        <v>197</v>
      </c>
      <c r="T109" s="320">
        <v>91.666666666666671</v>
      </c>
      <c r="U109" s="318">
        <v>40</v>
      </c>
      <c r="V109" s="318">
        <v>27.9</v>
      </c>
      <c r="W109" s="318">
        <v>263</v>
      </c>
      <c r="X109" s="315">
        <v>0.21</v>
      </c>
      <c r="Y109" s="318">
        <v>20.5</v>
      </c>
      <c r="Z109" s="315">
        <v>0</v>
      </c>
      <c r="AA109" s="315" t="s">
        <v>1149</v>
      </c>
      <c r="AB109" s="315">
        <v>0</v>
      </c>
      <c r="AC109" s="315" t="s">
        <v>1157</v>
      </c>
    </row>
    <row r="110" spans="1:29">
      <c r="A110" s="315" t="s">
        <v>1145</v>
      </c>
      <c r="B110" s="315" t="s">
        <v>1066</v>
      </c>
      <c r="C110" s="329">
        <v>4.6791344444444398</v>
      </c>
      <c r="D110" s="329">
        <v>113.7</v>
      </c>
      <c r="E110" s="316" t="s">
        <v>1366</v>
      </c>
      <c r="F110" s="316" t="s">
        <v>1366</v>
      </c>
      <c r="G110" s="317">
        <v>12.08</v>
      </c>
      <c r="H110" s="317">
        <v>3.8675842</v>
      </c>
      <c r="I110" s="317">
        <v>4.2165251000000001</v>
      </c>
      <c r="J110" s="317">
        <v>6.8825517999999999</v>
      </c>
      <c r="K110" s="318">
        <v>56.974766556291392</v>
      </c>
      <c r="L110" s="318">
        <v>68.544561550064699</v>
      </c>
      <c r="M110" s="319">
        <v>35.128809720516401</v>
      </c>
      <c r="N110" s="319">
        <v>-21.845956835774992</v>
      </c>
      <c r="O110" s="319">
        <f t="shared" si="1"/>
        <v>0</v>
      </c>
      <c r="P110" s="317">
        <v>0</v>
      </c>
      <c r="Q110" s="315" t="s">
        <v>1148</v>
      </c>
      <c r="R110" s="318">
        <v>197.9</v>
      </c>
      <c r="T110" s="320">
        <v>92.166666666666671</v>
      </c>
      <c r="U110" s="318">
        <v>40</v>
      </c>
      <c r="V110" s="318">
        <v>306.2</v>
      </c>
      <c r="W110" s="318">
        <v>209</v>
      </c>
      <c r="X110" s="315">
        <v>0.17</v>
      </c>
      <c r="Y110" s="318">
        <v>98.3</v>
      </c>
      <c r="Z110" s="315">
        <v>6</v>
      </c>
      <c r="AA110" s="315" t="s">
        <v>1149</v>
      </c>
      <c r="AB110" s="315">
        <v>0</v>
      </c>
      <c r="AC110" s="315" t="s">
        <v>1157</v>
      </c>
    </row>
    <row r="111" spans="1:29">
      <c r="A111" s="315" t="s">
        <v>1145</v>
      </c>
      <c r="B111" s="315" t="s">
        <v>1066</v>
      </c>
      <c r="C111" s="329">
        <v>4.6791344444444398</v>
      </c>
      <c r="D111" s="329">
        <v>113.7</v>
      </c>
      <c r="E111" s="316" t="s">
        <v>1367</v>
      </c>
      <c r="F111" s="316" t="s">
        <v>1367</v>
      </c>
      <c r="G111" s="317">
        <v>6.15</v>
      </c>
      <c r="H111" s="317">
        <v>8.16746E-2</v>
      </c>
      <c r="I111" s="317">
        <v>8.9043399999999995E-2</v>
      </c>
      <c r="J111" s="317">
        <v>9.2455099999999998E-2</v>
      </c>
      <c r="K111" s="318">
        <v>1.5033349593495935</v>
      </c>
      <c r="L111" s="318">
        <v>66.346795604877201</v>
      </c>
      <c r="M111" s="319">
        <v>35.910445119857897</v>
      </c>
      <c r="N111" s="319">
        <v>34.407110160508303</v>
      </c>
      <c r="O111" s="319">
        <f t="shared" si="1"/>
        <v>34.407110160508303</v>
      </c>
      <c r="P111" s="317">
        <v>2.1160372748712608</v>
      </c>
      <c r="Q111" s="315" t="s">
        <v>1148</v>
      </c>
      <c r="R111" s="318">
        <v>198</v>
      </c>
      <c r="T111" s="320">
        <v>92.222222222222229</v>
      </c>
      <c r="U111" s="318">
        <v>40</v>
      </c>
      <c r="V111" s="318">
        <v>308.8</v>
      </c>
      <c r="W111" s="318">
        <v>700</v>
      </c>
      <c r="X111" s="315">
        <v>0.13300000000000001</v>
      </c>
      <c r="Y111" s="318">
        <v>30.34</v>
      </c>
      <c r="Z111" s="315">
        <v>1</v>
      </c>
      <c r="AA111" s="315" t="s">
        <v>1149</v>
      </c>
      <c r="AB111" s="315">
        <v>0</v>
      </c>
      <c r="AC111" s="315" t="s">
        <v>1157</v>
      </c>
    </row>
    <row r="112" spans="1:29">
      <c r="A112" s="315" t="s">
        <v>1145</v>
      </c>
      <c r="B112" s="315" t="s">
        <v>1066</v>
      </c>
      <c r="C112" s="329">
        <v>4.6791344444444398</v>
      </c>
      <c r="D112" s="329">
        <v>113.7</v>
      </c>
      <c r="E112" s="316" t="s">
        <v>1368</v>
      </c>
      <c r="F112" s="316" t="s">
        <v>1368</v>
      </c>
      <c r="G112" s="317">
        <v>0.43795899999999999</v>
      </c>
      <c r="H112" s="317">
        <v>0</v>
      </c>
      <c r="I112" s="317">
        <v>0</v>
      </c>
      <c r="J112" s="317">
        <v>0</v>
      </c>
      <c r="K112" s="318">
        <v>0</v>
      </c>
      <c r="L112" s="318">
        <v>80.422807111535604</v>
      </c>
      <c r="M112" s="319">
        <v>27.032886877700602</v>
      </c>
      <c r="N112" s="319">
        <v>27.032886877700602</v>
      </c>
      <c r="O112" s="319">
        <f t="shared" si="1"/>
        <v>27.032886877700602</v>
      </c>
      <c r="P112" s="317">
        <v>0.11839296104070877</v>
      </c>
      <c r="Q112" s="315" t="s">
        <v>1168</v>
      </c>
      <c r="R112" s="318">
        <v>198</v>
      </c>
      <c r="T112" s="320">
        <v>92.222222222222229</v>
      </c>
      <c r="U112" s="318">
        <v>38</v>
      </c>
      <c r="V112" s="318">
        <v>27.768999999999998</v>
      </c>
      <c r="W112" s="318">
        <v>312</v>
      </c>
      <c r="X112" s="315">
        <v>0.17499999999999999</v>
      </c>
      <c r="Y112" s="318">
        <v>70.900000000000006</v>
      </c>
      <c r="Z112" s="315">
        <v>0</v>
      </c>
      <c r="AA112" s="315" t="s">
        <v>1149</v>
      </c>
      <c r="AB112" s="315">
        <v>0</v>
      </c>
      <c r="AC112" s="315" t="s">
        <v>1157</v>
      </c>
    </row>
    <row r="113" spans="1:29">
      <c r="A113" s="315" t="s">
        <v>1145</v>
      </c>
      <c r="B113" s="315" t="s">
        <v>1066</v>
      </c>
      <c r="C113" s="329">
        <v>4.6791344444444398</v>
      </c>
      <c r="D113" s="329">
        <v>113.7</v>
      </c>
      <c r="E113" s="316" t="s">
        <v>1370</v>
      </c>
      <c r="F113" s="316" t="s">
        <v>1370</v>
      </c>
      <c r="G113" s="317">
        <v>0.32</v>
      </c>
      <c r="H113" s="317">
        <v>0</v>
      </c>
      <c r="I113" s="317">
        <v>0</v>
      </c>
      <c r="J113" s="317">
        <v>0</v>
      </c>
      <c r="K113" s="318">
        <v>0</v>
      </c>
      <c r="L113" s="318">
        <v>80.422807111535604</v>
      </c>
      <c r="M113" s="319">
        <v>24.747441988520599</v>
      </c>
      <c r="N113" s="319">
        <v>24.747441988520599</v>
      </c>
      <c r="O113" s="319">
        <f t="shared" si="1"/>
        <v>24.747441988520599</v>
      </c>
      <c r="P113" s="317">
        <v>7.9191814363265917E-2</v>
      </c>
      <c r="Q113" s="315" t="s">
        <v>1168</v>
      </c>
      <c r="R113" s="318">
        <v>198</v>
      </c>
      <c r="T113" s="320">
        <v>92.222222222222229</v>
      </c>
      <c r="U113" s="318">
        <v>38</v>
      </c>
      <c r="V113" s="318">
        <v>27.8</v>
      </c>
      <c r="W113" s="318">
        <v>312</v>
      </c>
      <c r="X113" s="315">
        <v>0.17499999999999999</v>
      </c>
      <c r="Y113" s="318">
        <v>70.87</v>
      </c>
      <c r="Z113" s="315">
        <v>0</v>
      </c>
      <c r="AA113" s="315" t="s">
        <v>1149</v>
      </c>
      <c r="AB113" s="315">
        <v>0</v>
      </c>
      <c r="AC113" s="315" t="s">
        <v>1157</v>
      </c>
    </row>
    <row r="114" spans="1:29">
      <c r="A114" s="315" t="s">
        <v>1145</v>
      </c>
      <c r="B114" s="315" t="s">
        <v>1066</v>
      </c>
      <c r="C114" s="329">
        <v>4.6791344444444398</v>
      </c>
      <c r="D114" s="329">
        <v>113.7</v>
      </c>
      <c r="E114" s="316" t="s">
        <v>1371</v>
      </c>
      <c r="F114" s="316" t="s">
        <v>1371</v>
      </c>
      <c r="G114" s="317">
        <v>0.19</v>
      </c>
      <c r="H114" s="317">
        <v>0</v>
      </c>
      <c r="I114" s="317">
        <v>0</v>
      </c>
      <c r="J114" s="317">
        <v>0</v>
      </c>
      <c r="K114" s="318">
        <v>0</v>
      </c>
      <c r="L114" s="318">
        <v>0</v>
      </c>
      <c r="M114" s="319">
        <v>0</v>
      </c>
      <c r="N114" s="319">
        <v>0</v>
      </c>
      <c r="O114" s="319">
        <f t="shared" si="1"/>
        <v>0</v>
      </c>
      <c r="P114" s="317">
        <v>0</v>
      </c>
      <c r="Q114" s="315" t="s">
        <v>1168</v>
      </c>
      <c r="R114" s="318">
        <v>198</v>
      </c>
      <c r="T114" s="320">
        <v>92.222222222222229</v>
      </c>
      <c r="U114" s="318">
        <v>38</v>
      </c>
      <c r="V114" s="318">
        <v>80.400000000000006</v>
      </c>
      <c r="W114" s="318">
        <v>312</v>
      </c>
      <c r="X114" s="315">
        <v>0.16</v>
      </c>
      <c r="Y114" s="318">
        <v>52.8</v>
      </c>
      <c r="Z114" s="315">
        <v>0</v>
      </c>
      <c r="AA114" s="315" t="s">
        <v>1149</v>
      </c>
      <c r="AB114" s="315">
        <v>0</v>
      </c>
      <c r="AC114" s="315" t="s">
        <v>1157</v>
      </c>
    </row>
    <row r="115" spans="1:29">
      <c r="A115" s="315" t="s">
        <v>1145</v>
      </c>
      <c r="B115" s="315" t="s">
        <v>1066</v>
      </c>
      <c r="C115" s="329">
        <v>4.6791344444444398</v>
      </c>
      <c r="D115" s="329">
        <v>113.7</v>
      </c>
      <c r="E115" s="316" t="s">
        <v>1372</v>
      </c>
      <c r="F115" s="316" t="s">
        <v>1372</v>
      </c>
      <c r="G115" s="317">
        <v>0.681647</v>
      </c>
      <c r="H115" s="317">
        <v>0.55233869999999996</v>
      </c>
      <c r="I115" s="317">
        <v>0.60217179999999992</v>
      </c>
      <c r="J115" s="317">
        <v>0.62524369999999996</v>
      </c>
      <c r="K115" s="318">
        <v>91.725438533434456</v>
      </c>
      <c r="L115" s="318">
        <v>59.795793824917197</v>
      </c>
      <c r="M115" s="319">
        <v>38.981576523927203</v>
      </c>
      <c r="N115" s="319">
        <v>-52.743862009507254</v>
      </c>
      <c r="O115" s="319">
        <f t="shared" si="1"/>
        <v>0</v>
      </c>
      <c r="P115" s="317">
        <v>0</v>
      </c>
      <c r="Q115" s="315" t="s">
        <v>1148</v>
      </c>
      <c r="R115" s="318">
        <v>198</v>
      </c>
      <c r="T115" s="320">
        <v>92.222222222222229</v>
      </c>
      <c r="U115" s="318">
        <v>38</v>
      </c>
      <c r="V115" s="318">
        <v>536</v>
      </c>
      <c r="W115" s="318">
        <v>536</v>
      </c>
      <c r="X115" s="315">
        <v>0.2</v>
      </c>
      <c r="Y115" s="318">
        <v>246.3</v>
      </c>
      <c r="Z115" s="315">
        <v>2</v>
      </c>
      <c r="AA115" s="315" t="s">
        <v>1149</v>
      </c>
      <c r="AB115" s="315">
        <v>0</v>
      </c>
      <c r="AC115" s="315" t="s">
        <v>1157</v>
      </c>
    </row>
    <row r="116" spans="1:29">
      <c r="A116" s="315" t="s">
        <v>1145</v>
      </c>
      <c r="B116" s="315" t="s">
        <v>1066</v>
      </c>
      <c r="C116" s="329">
        <v>4.6791344444444398</v>
      </c>
      <c r="D116" s="329">
        <v>113.7</v>
      </c>
      <c r="E116" s="316" t="s">
        <v>1373</v>
      </c>
      <c r="F116" s="316" t="s">
        <v>1373</v>
      </c>
      <c r="G116" s="317">
        <v>4.66</v>
      </c>
      <c r="H116" s="317">
        <v>0</v>
      </c>
      <c r="I116" s="317">
        <v>0</v>
      </c>
      <c r="J116" s="317">
        <v>0</v>
      </c>
      <c r="K116" s="318">
        <v>0</v>
      </c>
      <c r="L116" s="318">
        <v>77.0490979729922</v>
      </c>
      <c r="M116" s="319">
        <v>29.582118246085798</v>
      </c>
      <c r="N116" s="319">
        <v>29.582118246085798</v>
      </c>
      <c r="O116" s="319">
        <f t="shared" si="1"/>
        <v>29.582118246085798</v>
      </c>
      <c r="P116" s="317">
        <v>1.3785267102675982</v>
      </c>
      <c r="Q116" s="315" t="s">
        <v>1168</v>
      </c>
      <c r="R116" s="318">
        <v>198</v>
      </c>
      <c r="T116" s="320">
        <v>92.222222222222229</v>
      </c>
      <c r="U116" s="318">
        <v>38</v>
      </c>
      <c r="V116" s="318">
        <v>3080</v>
      </c>
      <c r="W116" s="318">
        <v>3080</v>
      </c>
      <c r="X116" s="315">
        <v>0.2</v>
      </c>
      <c r="Y116" s="318">
        <v>246.3</v>
      </c>
      <c r="Z116" s="315">
        <v>3</v>
      </c>
      <c r="AA116" s="315" t="s">
        <v>1149</v>
      </c>
      <c r="AB116" s="315">
        <v>0</v>
      </c>
      <c r="AC116" s="315" t="s">
        <v>1157</v>
      </c>
    </row>
    <row r="117" spans="1:29">
      <c r="A117" s="315" t="s">
        <v>1748</v>
      </c>
      <c r="B117" s="315" t="s">
        <v>1066</v>
      </c>
      <c r="C117" s="329">
        <v>4.6791344444444398</v>
      </c>
      <c r="D117" s="329">
        <v>113.7</v>
      </c>
      <c r="E117" s="316" t="s">
        <v>1372</v>
      </c>
      <c r="F117" s="316" t="s">
        <v>1372</v>
      </c>
      <c r="G117" s="317">
        <v>0.681647</v>
      </c>
      <c r="H117" s="317">
        <v>0.55233869999999996</v>
      </c>
      <c r="I117" s="317">
        <v>0.60217179999999992</v>
      </c>
      <c r="J117" s="317">
        <v>0.62524369999999996</v>
      </c>
      <c r="K117" s="318">
        <v>91.725438533434456</v>
      </c>
      <c r="L117" s="318">
        <v>56.633509950538503</v>
      </c>
      <c r="M117" s="319">
        <v>39.419582860620999</v>
      </c>
      <c r="N117" s="319">
        <v>-52.305855672813458</v>
      </c>
      <c r="O117" s="319">
        <f t="shared" si="1"/>
        <v>0</v>
      </c>
      <c r="P117" s="317">
        <v>0</v>
      </c>
      <c r="Q117" s="315" t="s">
        <v>1148</v>
      </c>
      <c r="R117" s="318">
        <v>198</v>
      </c>
      <c r="T117" s="320">
        <v>92.222222222222229</v>
      </c>
      <c r="U117" s="318">
        <v>38</v>
      </c>
      <c r="V117" s="318">
        <v>536</v>
      </c>
      <c r="W117" s="318">
        <v>536</v>
      </c>
      <c r="X117" s="315">
        <v>0.2</v>
      </c>
      <c r="Y117" s="318">
        <v>246.3</v>
      </c>
      <c r="Z117" s="315">
        <v>2</v>
      </c>
      <c r="AA117" s="315" t="s">
        <v>1149</v>
      </c>
      <c r="AB117" s="315">
        <v>0</v>
      </c>
      <c r="AC117" s="315" t="s">
        <v>1157</v>
      </c>
    </row>
    <row r="118" spans="1:29">
      <c r="A118" s="315" t="s">
        <v>1750</v>
      </c>
      <c r="B118" s="315" t="s">
        <v>1066</v>
      </c>
      <c r="C118" s="329">
        <v>4.6791344444444398</v>
      </c>
      <c r="D118" s="329">
        <v>113.7</v>
      </c>
      <c r="E118" s="316" t="s">
        <v>1374</v>
      </c>
      <c r="F118" s="316" t="s">
        <v>1374</v>
      </c>
      <c r="G118" s="317">
        <v>0.73098200000000002</v>
      </c>
      <c r="H118" s="317">
        <v>0</v>
      </c>
      <c r="I118" s="317">
        <v>0</v>
      </c>
      <c r="J118" s="317">
        <v>0</v>
      </c>
      <c r="K118" s="318">
        <v>0</v>
      </c>
      <c r="L118" s="318">
        <v>59.795793824917197</v>
      </c>
      <c r="M118" s="319">
        <v>38.981576523927203</v>
      </c>
      <c r="N118" s="319">
        <v>38.981576523927203</v>
      </c>
      <c r="O118" s="319">
        <f t="shared" si="1"/>
        <v>38.981576523927203</v>
      </c>
      <c r="P118" s="317">
        <v>0.28494830770613355</v>
      </c>
      <c r="Q118" s="315" t="s">
        <v>1168</v>
      </c>
      <c r="R118" s="318">
        <v>198</v>
      </c>
      <c r="T118" s="320">
        <v>92.222222222222229</v>
      </c>
      <c r="U118" s="318">
        <v>38</v>
      </c>
      <c r="V118" s="318">
        <v>202.2</v>
      </c>
      <c r="W118" s="318">
        <v>536</v>
      </c>
      <c r="X118" s="315">
        <v>0.20100000000000001</v>
      </c>
      <c r="Y118" s="318">
        <v>204.6</v>
      </c>
      <c r="Z118" s="315">
        <v>2</v>
      </c>
      <c r="AA118" s="315" t="s">
        <v>1149</v>
      </c>
      <c r="AB118" s="315">
        <v>0</v>
      </c>
      <c r="AC118" s="315" t="s">
        <v>1157</v>
      </c>
    </row>
    <row r="119" spans="1:29">
      <c r="A119" s="315" t="s">
        <v>1145</v>
      </c>
      <c r="B119" s="315" t="s">
        <v>1066</v>
      </c>
      <c r="C119" s="329">
        <v>4.6791344444444398</v>
      </c>
      <c r="D119" s="329">
        <v>113.7</v>
      </c>
      <c r="E119" s="316" t="s">
        <v>1375</v>
      </c>
      <c r="F119" s="316" t="s">
        <v>1375</v>
      </c>
      <c r="G119" s="317">
        <v>2.69</v>
      </c>
      <c r="H119" s="317">
        <v>0</v>
      </c>
      <c r="I119" s="317">
        <v>0</v>
      </c>
      <c r="J119" s="317">
        <v>0</v>
      </c>
      <c r="K119" s="318">
        <v>0</v>
      </c>
      <c r="L119" s="318">
        <v>77.638466961971105</v>
      </c>
      <c r="M119" s="319">
        <v>26.599897541285699</v>
      </c>
      <c r="N119" s="319">
        <v>26.599897541285699</v>
      </c>
      <c r="O119" s="319">
        <f t="shared" si="1"/>
        <v>26.599897541285699</v>
      </c>
      <c r="P119" s="317">
        <v>0.71553724386058526</v>
      </c>
      <c r="Q119" s="315" t="s">
        <v>1168</v>
      </c>
      <c r="R119" s="318">
        <v>200</v>
      </c>
      <c r="T119" s="320">
        <v>93.333333333333329</v>
      </c>
      <c r="U119" s="318">
        <v>40</v>
      </c>
      <c r="V119" s="318">
        <v>142.30000000000001</v>
      </c>
      <c r="W119" s="318">
        <v>363.5</v>
      </c>
      <c r="X119" s="315">
        <v>0.10299999999999999</v>
      </c>
      <c r="Y119" s="318">
        <v>3.27</v>
      </c>
      <c r="Z119" s="315">
        <v>1</v>
      </c>
      <c r="AA119" s="315" t="s">
        <v>1149</v>
      </c>
      <c r="AB119" s="315">
        <v>0</v>
      </c>
      <c r="AC119" s="315" t="s">
        <v>1157</v>
      </c>
    </row>
    <row r="120" spans="1:29">
      <c r="A120" s="315" t="s">
        <v>1145</v>
      </c>
      <c r="B120" s="315" t="s">
        <v>1066</v>
      </c>
      <c r="C120" s="329">
        <v>4.6791344444444398</v>
      </c>
      <c r="D120" s="329">
        <v>113.7</v>
      </c>
      <c r="E120" s="316" t="s">
        <v>1376</v>
      </c>
      <c r="F120" s="316" t="s">
        <v>1376</v>
      </c>
      <c r="G120" s="317">
        <v>11.17</v>
      </c>
      <c r="H120" s="317">
        <v>0</v>
      </c>
      <c r="I120" s="317">
        <v>0</v>
      </c>
      <c r="J120" s="317">
        <v>2.5044727</v>
      </c>
      <c r="K120" s="318">
        <v>22.421420769919429</v>
      </c>
      <c r="L120" s="318">
        <v>79.971432578925402</v>
      </c>
      <c r="M120" s="319">
        <v>27.766121543505502</v>
      </c>
      <c r="N120" s="319">
        <v>5.344700773586073</v>
      </c>
      <c r="O120" s="319">
        <f t="shared" si="1"/>
        <v>5.344700773586073</v>
      </c>
      <c r="P120" s="317">
        <v>0.5970030764095644</v>
      </c>
      <c r="Q120" s="315" t="s">
        <v>1168</v>
      </c>
      <c r="R120" s="318">
        <v>200.6</v>
      </c>
      <c r="T120" s="320">
        <v>93.666666666666671</v>
      </c>
      <c r="U120" s="318">
        <v>40</v>
      </c>
      <c r="V120" s="318">
        <v>250.3</v>
      </c>
      <c r="W120" s="318">
        <v>25.5</v>
      </c>
      <c r="X120" s="315">
        <v>0.16</v>
      </c>
      <c r="Y120" s="318">
        <v>44.8</v>
      </c>
      <c r="Z120" s="315">
        <v>6</v>
      </c>
      <c r="AA120" s="315" t="s">
        <v>1149</v>
      </c>
      <c r="AB120" s="315">
        <v>0</v>
      </c>
      <c r="AC120" s="315" t="s">
        <v>1157</v>
      </c>
    </row>
    <row r="121" spans="1:29">
      <c r="A121" s="315" t="s">
        <v>1145</v>
      </c>
      <c r="B121" s="315" t="s">
        <v>1066</v>
      </c>
      <c r="C121" s="329">
        <v>4.6791344444444398</v>
      </c>
      <c r="D121" s="329">
        <v>113.7</v>
      </c>
      <c r="E121" s="316" t="s">
        <v>1377</v>
      </c>
      <c r="F121" s="316" t="s">
        <v>1377</v>
      </c>
      <c r="G121" s="317">
        <v>7.6</v>
      </c>
      <c r="H121" s="317">
        <v>8.1129715999999998</v>
      </c>
      <c r="I121" s="317">
        <v>8.8449395000000006</v>
      </c>
      <c r="J121" s="317">
        <v>11.934891500000001</v>
      </c>
      <c r="K121" s="318">
        <v>157.03804605263161</v>
      </c>
      <c r="L121" s="318">
        <v>68.707906698467994</v>
      </c>
      <c r="M121" s="319">
        <v>33.946488412768602</v>
      </c>
      <c r="N121" s="319">
        <v>-123.09155763986301</v>
      </c>
      <c r="O121" s="319">
        <f t="shared" si="1"/>
        <v>0</v>
      </c>
      <c r="P121" s="317">
        <v>0</v>
      </c>
      <c r="Q121" s="315" t="s">
        <v>1148</v>
      </c>
      <c r="R121" s="318">
        <v>201</v>
      </c>
      <c r="T121" s="320">
        <v>93.888888888888886</v>
      </c>
      <c r="U121" s="318">
        <v>40</v>
      </c>
      <c r="V121" s="318">
        <v>415.4</v>
      </c>
      <c r="W121" s="318">
        <v>363</v>
      </c>
      <c r="X121" s="315">
        <v>0.18</v>
      </c>
      <c r="Y121" s="318">
        <v>37.32</v>
      </c>
      <c r="Z121" s="315">
        <v>4</v>
      </c>
      <c r="AA121" s="315" t="s">
        <v>1149</v>
      </c>
      <c r="AB121" s="315">
        <v>0</v>
      </c>
      <c r="AC121" s="315" t="s">
        <v>1157</v>
      </c>
    </row>
    <row r="122" spans="1:29">
      <c r="A122" s="315" t="s">
        <v>1717</v>
      </c>
      <c r="B122" s="315" t="s">
        <v>1066</v>
      </c>
      <c r="C122" s="329">
        <v>4.6791344444444398</v>
      </c>
      <c r="D122" s="329">
        <v>113.7</v>
      </c>
      <c r="E122" s="316" t="s">
        <v>1378</v>
      </c>
      <c r="F122" s="316" t="s">
        <v>1378</v>
      </c>
      <c r="G122" s="317">
        <v>21.84</v>
      </c>
      <c r="H122" s="317">
        <v>2.5484084</v>
      </c>
      <c r="I122" s="317">
        <v>2.7783307000000002</v>
      </c>
      <c r="J122" s="317">
        <v>2.8847810000000003</v>
      </c>
      <c r="K122" s="318">
        <v>13.208704212454215</v>
      </c>
      <c r="L122" s="318">
        <v>76.076721451928407</v>
      </c>
      <c r="M122" s="319">
        <v>30.144130001281301</v>
      </c>
      <c r="N122" s="319">
        <v>16.935425788827086</v>
      </c>
      <c r="O122" s="319">
        <f t="shared" si="1"/>
        <v>16.935425788827086</v>
      </c>
      <c r="P122" s="317">
        <v>3.6986969922798356</v>
      </c>
      <c r="Q122" s="315" t="s">
        <v>1148</v>
      </c>
      <c r="R122" s="318">
        <v>201</v>
      </c>
      <c r="T122" s="320">
        <v>93.888888888888886</v>
      </c>
      <c r="U122" s="318">
        <v>40</v>
      </c>
      <c r="V122" s="318">
        <v>410.8</v>
      </c>
      <c r="W122" s="318">
        <v>2364.873</v>
      </c>
      <c r="X122" s="315">
        <v>0.16</v>
      </c>
      <c r="Y122" s="318">
        <v>46.2</v>
      </c>
      <c r="Z122" s="315">
        <v>26</v>
      </c>
      <c r="AA122" s="315" t="s">
        <v>1149</v>
      </c>
      <c r="AB122" s="315">
        <v>0</v>
      </c>
      <c r="AC122" s="315" t="s">
        <v>1157</v>
      </c>
    </row>
    <row r="123" spans="1:29">
      <c r="A123" s="315" t="s">
        <v>1717</v>
      </c>
      <c r="B123" s="315" t="s">
        <v>1066</v>
      </c>
      <c r="C123" s="329">
        <v>4.6791344444444398</v>
      </c>
      <c r="D123" s="329">
        <v>113.7</v>
      </c>
      <c r="E123" s="316" t="s">
        <v>1379</v>
      </c>
      <c r="F123" s="316" t="s">
        <v>1379</v>
      </c>
      <c r="G123" s="317">
        <v>12.4</v>
      </c>
      <c r="H123" s="317">
        <v>0.71348860000000003</v>
      </c>
      <c r="I123" s="317">
        <v>0.77786090000000008</v>
      </c>
      <c r="J123" s="317">
        <v>2.0234341000000002</v>
      </c>
      <c r="K123" s="318">
        <v>16.318016935483872</v>
      </c>
      <c r="L123" s="318">
        <v>69.619714361622798</v>
      </c>
      <c r="M123" s="319">
        <v>34.652504723851699</v>
      </c>
      <c r="N123" s="319">
        <v>18.334487788367827</v>
      </c>
      <c r="O123" s="319">
        <f t="shared" si="1"/>
        <v>18.334487788367827</v>
      </c>
      <c r="P123" s="317">
        <v>2.2734764857576106</v>
      </c>
      <c r="Q123" s="315" t="s">
        <v>1148</v>
      </c>
      <c r="R123" s="318">
        <v>201</v>
      </c>
      <c r="T123" s="320">
        <v>93.888888888888886</v>
      </c>
      <c r="U123" s="318">
        <v>40</v>
      </c>
      <c r="V123" s="318">
        <v>201.4</v>
      </c>
      <c r="W123" s="318">
        <v>441</v>
      </c>
      <c r="X123" s="315">
        <v>0.157</v>
      </c>
      <c r="Y123" s="318">
        <v>97.7</v>
      </c>
      <c r="Z123" s="315">
        <v>20</v>
      </c>
      <c r="AA123" s="315" t="s">
        <v>1149</v>
      </c>
      <c r="AB123" s="315">
        <v>0</v>
      </c>
      <c r="AC123" s="315" t="s">
        <v>1190</v>
      </c>
    </row>
    <row r="124" spans="1:29">
      <c r="A124" s="315" t="s">
        <v>1145</v>
      </c>
      <c r="B124" s="315" t="s">
        <v>1066</v>
      </c>
      <c r="C124" s="329">
        <v>4.6791344444444398</v>
      </c>
      <c r="D124" s="329">
        <v>113.7</v>
      </c>
      <c r="E124" s="316" t="s">
        <v>1380</v>
      </c>
      <c r="F124" s="316" t="s">
        <v>1380</v>
      </c>
      <c r="G124" s="317">
        <v>10.65</v>
      </c>
      <c r="H124" s="317">
        <v>0.43635019999999997</v>
      </c>
      <c r="I124" s="317">
        <v>0.49004750000000002</v>
      </c>
      <c r="J124" s="317">
        <v>1.4304175000000001</v>
      </c>
      <c r="K124" s="318">
        <v>13.431150234741784</v>
      </c>
      <c r="L124" s="318">
        <v>71.742443941282303</v>
      </c>
      <c r="M124" s="319">
        <v>33.935433915519297</v>
      </c>
      <c r="N124" s="319">
        <v>20.504283680777512</v>
      </c>
      <c r="O124" s="319">
        <f t="shared" si="1"/>
        <v>20.504283680777512</v>
      </c>
      <c r="P124" s="317">
        <v>2.183706212002805</v>
      </c>
      <c r="Q124" s="315" t="s">
        <v>1148</v>
      </c>
      <c r="R124" s="318">
        <v>204</v>
      </c>
      <c r="T124" s="320">
        <v>95.555555555555557</v>
      </c>
      <c r="U124" s="318">
        <v>33</v>
      </c>
      <c r="V124" s="318">
        <v>493.7</v>
      </c>
      <c r="W124" s="318">
        <v>711</v>
      </c>
      <c r="X124" s="315">
        <v>0.16</v>
      </c>
      <c r="Y124" s="318">
        <v>108.2</v>
      </c>
      <c r="Z124" s="315">
        <v>2</v>
      </c>
      <c r="AA124" s="315" t="s">
        <v>1149</v>
      </c>
      <c r="AB124" s="315">
        <v>0</v>
      </c>
      <c r="AC124" s="315" t="s">
        <v>1157</v>
      </c>
    </row>
    <row r="125" spans="1:29">
      <c r="A125" s="315" t="s">
        <v>1145</v>
      </c>
      <c r="B125" s="315" t="s">
        <v>1066</v>
      </c>
      <c r="C125" s="329">
        <v>4.6791344444444398</v>
      </c>
      <c r="D125" s="329">
        <v>113.7</v>
      </c>
      <c r="E125" s="316" t="s">
        <v>1381</v>
      </c>
      <c r="F125" s="316" t="s">
        <v>1381</v>
      </c>
      <c r="G125" s="317">
        <v>4.96</v>
      </c>
      <c r="H125" s="317">
        <v>1.5992371000000001</v>
      </c>
      <c r="I125" s="317">
        <v>1.7435234000000002</v>
      </c>
      <c r="J125" s="317">
        <v>2.0308131</v>
      </c>
      <c r="K125" s="318">
        <v>40.9438125</v>
      </c>
      <c r="L125" s="318">
        <v>77.679257568836206</v>
      </c>
      <c r="M125" s="319">
        <v>30.1850943520652</v>
      </c>
      <c r="N125" s="319">
        <v>-10.7587181479348</v>
      </c>
      <c r="O125" s="319">
        <f t="shared" si="1"/>
        <v>0</v>
      </c>
      <c r="P125" s="317">
        <v>0</v>
      </c>
      <c r="Q125" s="315" t="s">
        <v>1148</v>
      </c>
      <c r="R125" s="318">
        <v>204</v>
      </c>
      <c r="T125" s="320">
        <v>95.555555555555557</v>
      </c>
      <c r="U125" s="318">
        <v>40</v>
      </c>
      <c r="V125" s="318">
        <v>389.9</v>
      </c>
      <c r="W125" s="318">
        <v>700</v>
      </c>
      <c r="X125" s="315">
        <v>0.18</v>
      </c>
      <c r="Y125" s="318">
        <v>85.6</v>
      </c>
      <c r="Z125" s="315">
        <v>3</v>
      </c>
      <c r="AA125" s="315" t="s">
        <v>1149</v>
      </c>
      <c r="AB125" s="315">
        <v>0</v>
      </c>
      <c r="AC125" s="315" t="s">
        <v>1157</v>
      </c>
    </row>
    <row r="126" spans="1:29">
      <c r="A126" s="315" t="s">
        <v>1145</v>
      </c>
      <c r="B126" s="315" t="s">
        <v>1066</v>
      </c>
      <c r="C126" s="329">
        <v>4.6791344444444398</v>
      </c>
      <c r="D126" s="329">
        <v>113.7</v>
      </c>
      <c r="E126" s="316" t="s">
        <v>1382</v>
      </c>
      <c r="F126" s="316" t="s">
        <v>1382</v>
      </c>
      <c r="G126" s="317">
        <v>0.1</v>
      </c>
      <c r="H126" s="317">
        <v>0</v>
      </c>
      <c r="I126" s="317">
        <v>0</v>
      </c>
      <c r="J126" s="317">
        <v>0</v>
      </c>
      <c r="K126" s="318">
        <v>0</v>
      </c>
      <c r="L126" s="318">
        <v>79.573218498516894</v>
      </c>
      <c r="M126" s="319">
        <v>25.0058871630646</v>
      </c>
      <c r="N126" s="319">
        <v>25.0058871630646</v>
      </c>
      <c r="O126" s="319">
        <f t="shared" si="1"/>
        <v>25.0058871630646</v>
      </c>
      <c r="P126" s="317">
        <v>2.5005887163064601E-2</v>
      </c>
      <c r="Q126" s="315" t="s">
        <v>1168</v>
      </c>
      <c r="R126" s="318">
        <v>204</v>
      </c>
      <c r="T126" s="320">
        <v>95.555555555555557</v>
      </c>
      <c r="U126" s="318">
        <v>38</v>
      </c>
      <c r="V126" s="318">
        <v>26.08</v>
      </c>
      <c r="W126" s="318">
        <v>384</v>
      </c>
      <c r="X126" s="315">
        <v>0.13300000000000001</v>
      </c>
      <c r="Y126" s="318">
        <v>1.92</v>
      </c>
      <c r="Z126" s="315">
        <v>0</v>
      </c>
      <c r="AA126" s="315" t="s">
        <v>1149</v>
      </c>
      <c r="AB126" s="315">
        <v>0</v>
      </c>
      <c r="AC126" s="315" t="s">
        <v>1157</v>
      </c>
    </row>
    <row r="127" spans="1:29">
      <c r="A127" s="315" t="s">
        <v>1145</v>
      </c>
      <c r="B127" s="315" t="s">
        <v>1066</v>
      </c>
      <c r="C127" s="329">
        <v>4.6791344444444398</v>
      </c>
      <c r="D127" s="329">
        <v>113.7</v>
      </c>
      <c r="E127" s="316" t="s">
        <v>1383</v>
      </c>
      <c r="F127" s="316" t="s">
        <v>1383</v>
      </c>
      <c r="G127" s="317">
        <v>1.48265</v>
      </c>
      <c r="H127" s="317">
        <v>1.0071147</v>
      </c>
      <c r="I127" s="317">
        <v>1.0979785</v>
      </c>
      <c r="J127" s="317">
        <v>1.140047</v>
      </c>
      <c r="K127" s="318">
        <v>76.892523522071969</v>
      </c>
      <c r="L127" s="318">
        <v>77.330139522116397</v>
      </c>
      <c r="M127" s="319">
        <v>29.004698586343402</v>
      </c>
      <c r="N127" s="319">
        <v>-47.887824935728567</v>
      </c>
      <c r="O127" s="319">
        <f t="shared" si="1"/>
        <v>0</v>
      </c>
      <c r="P127" s="317">
        <v>0</v>
      </c>
      <c r="Q127" s="315" t="s">
        <v>1148</v>
      </c>
      <c r="R127" s="318">
        <v>204</v>
      </c>
      <c r="T127" s="320">
        <v>95.555555555555557</v>
      </c>
      <c r="U127" s="318">
        <v>38</v>
      </c>
      <c r="V127" s="318">
        <v>48.2</v>
      </c>
      <c r="W127" s="318">
        <v>48.2</v>
      </c>
      <c r="X127" s="315">
        <v>0.14099999999999999</v>
      </c>
      <c r="Y127" s="318">
        <v>9.89</v>
      </c>
      <c r="Z127" s="315">
        <v>3</v>
      </c>
      <c r="AA127" s="315" t="s">
        <v>1149</v>
      </c>
      <c r="AB127" s="315">
        <v>0</v>
      </c>
      <c r="AC127" s="315" t="s">
        <v>1157</v>
      </c>
    </row>
    <row r="128" spans="1:29">
      <c r="A128" s="315" t="s">
        <v>1145</v>
      </c>
      <c r="B128" s="315" t="s">
        <v>1066</v>
      </c>
      <c r="C128" s="329">
        <v>4.6791344444444398</v>
      </c>
      <c r="D128" s="329">
        <v>113.7</v>
      </c>
      <c r="E128" s="316" t="s">
        <v>1384</v>
      </c>
      <c r="F128" s="316" t="s">
        <v>1384</v>
      </c>
      <c r="G128" s="317">
        <v>33.85</v>
      </c>
      <c r="H128" s="317">
        <v>1.1275660999999999</v>
      </c>
      <c r="I128" s="317">
        <v>1.2292972999999998</v>
      </c>
      <c r="J128" s="317">
        <v>1.7739528999999998</v>
      </c>
      <c r="K128" s="318">
        <v>5.2406289512555384</v>
      </c>
      <c r="L128" s="318">
        <v>47.025901353726397</v>
      </c>
      <c r="M128" s="319">
        <v>38.523777411922502</v>
      </c>
      <c r="N128" s="319">
        <v>33.283148460666965</v>
      </c>
      <c r="O128" s="319">
        <f t="shared" si="1"/>
        <v>33.283148460666965</v>
      </c>
      <c r="P128" s="317">
        <v>11.266345753935768</v>
      </c>
      <c r="Q128" s="315" t="s">
        <v>1148</v>
      </c>
      <c r="R128" s="318">
        <v>204</v>
      </c>
      <c r="T128" s="320">
        <v>95.555555555555557</v>
      </c>
      <c r="U128" s="318">
        <v>40</v>
      </c>
      <c r="V128" s="318">
        <v>35.421590000000002</v>
      </c>
      <c r="W128" s="318">
        <v>26.454999999999998</v>
      </c>
      <c r="X128" s="315">
        <v>0.153532</v>
      </c>
      <c r="Y128" s="318">
        <v>26.60528</v>
      </c>
      <c r="Z128" s="315">
        <v>24</v>
      </c>
      <c r="AA128" s="315" t="s">
        <v>1149</v>
      </c>
      <c r="AB128" s="315">
        <v>0</v>
      </c>
      <c r="AC128" s="315" t="s">
        <v>1157</v>
      </c>
    </row>
    <row r="129" spans="1:29">
      <c r="A129" s="315" t="s">
        <v>1835</v>
      </c>
      <c r="B129" s="315" t="s">
        <v>1066</v>
      </c>
      <c r="C129" s="329">
        <v>4.6791344444444398</v>
      </c>
      <c r="D129" s="329">
        <v>113.7</v>
      </c>
      <c r="E129" s="316" t="s">
        <v>1385</v>
      </c>
      <c r="F129" s="316" t="s">
        <v>1385</v>
      </c>
      <c r="G129" s="317">
        <v>18.670000000000002</v>
      </c>
      <c r="H129" s="317">
        <v>1.0593292000000001</v>
      </c>
      <c r="I129" s="317">
        <v>1.1827940000000001</v>
      </c>
      <c r="J129" s="317">
        <v>2.3327211000000001</v>
      </c>
      <c r="K129" s="318">
        <v>12.494489019817889</v>
      </c>
      <c r="L129" s="318">
        <v>47.0744090624884</v>
      </c>
      <c r="M129" s="319">
        <v>39.5963487188343</v>
      </c>
      <c r="N129" s="319">
        <v>27.101859699016408</v>
      </c>
      <c r="O129" s="319">
        <f t="shared" si="1"/>
        <v>27.101859699016408</v>
      </c>
      <c r="P129" s="317">
        <v>5.0599172058063635</v>
      </c>
      <c r="Q129" s="315" t="s">
        <v>1148</v>
      </c>
      <c r="R129" s="318">
        <v>204</v>
      </c>
      <c r="T129" s="320">
        <v>95.555555555555557</v>
      </c>
      <c r="U129" s="318">
        <v>40</v>
      </c>
      <c r="V129" s="318">
        <v>34.716009999999997</v>
      </c>
      <c r="W129" s="318">
        <v>27.498999999999999</v>
      </c>
      <c r="X129" s="315">
        <v>0.153532</v>
      </c>
      <c r="Y129" s="318">
        <v>28.231390000000001</v>
      </c>
      <c r="Z129" s="315">
        <v>16</v>
      </c>
      <c r="AA129" s="315" t="s">
        <v>1149</v>
      </c>
      <c r="AB129" s="315">
        <v>0</v>
      </c>
      <c r="AC129" s="315" t="s">
        <v>1157</v>
      </c>
    </row>
    <row r="130" spans="1:29">
      <c r="A130" s="315" t="s">
        <v>1145</v>
      </c>
      <c r="B130" s="315" t="s">
        <v>1066</v>
      </c>
      <c r="C130" s="329">
        <v>4.6791344444444398</v>
      </c>
      <c r="D130" s="329">
        <v>113.7</v>
      </c>
      <c r="E130" s="316" t="s">
        <v>1386</v>
      </c>
      <c r="F130" s="316" t="s">
        <v>1386</v>
      </c>
      <c r="G130" s="317">
        <v>7.09</v>
      </c>
      <c r="H130" s="317">
        <v>0</v>
      </c>
      <c r="I130" s="317">
        <v>0</v>
      </c>
      <c r="J130" s="317">
        <v>5.5284E-2</v>
      </c>
      <c r="K130" s="318">
        <v>0.77974612129760223</v>
      </c>
      <c r="L130" s="318">
        <v>53.218969456399201</v>
      </c>
      <c r="M130" s="319">
        <v>38.587021039945398</v>
      </c>
      <c r="N130" s="319">
        <v>37.807274918647799</v>
      </c>
      <c r="O130" s="319">
        <f t="shared" ref="O130:O193" si="2">IF(N130&lt;0,0,N130)</f>
        <v>37.807274918647799</v>
      </c>
      <c r="P130" s="317">
        <v>2.6805357917321291</v>
      </c>
      <c r="Q130" s="315" t="s">
        <v>1168</v>
      </c>
      <c r="R130" s="318">
        <v>204</v>
      </c>
      <c r="T130" s="320">
        <v>95.555555555555557</v>
      </c>
      <c r="U130" s="318">
        <v>40</v>
      </c>
      <c r="V130" s="318">
        <v>91.6</v>
      </c>
      <c r="W130" s="318">
        <v>203.19</v>
      </c>
      <c r="X130" s="315">
        <v>0.187</v>
      </c>
      <c r="Y130" s="318">
        <v>34.799999999999997</v>
      </c>
      <c r="Z130" s="315">
        <v>1</v>
      </c>
      <c r="AA130" s="315" t="s">
        <v>1149</v>
      </c>
      <c r="AB130" s="315">
        <v>0</v>
      </c>
      <c r="AC130" s="315" t="s">
        <v>1157</v>
      </c>
    </row>
    <row r="131" spans="1:29">
      <c r="A131" s="315" t="s">
        <v>1145</v>
      </c>
      <c r="B131" s="315" t="s">
        <v>1066</v>
      </c>
      <c r="C131" s="329">
        <v>4.6791344444444398</v>
      </c>
      <c r="D131" s="329">
        <v>113.7</v>
      </c>
      <c r="E131" s="316" t="s">
        <v>1387</v>
      </c>
      <c r="F131" s="316" t="s">
        <v>1387</v>
      </c>
      <c r="G131" s="317">
        <v>5.19</v>
      </c>
      <c r="H131" s="317">
        <v>0.112848</v>
      </c>
      <c r="I131" s="317">
        <v>0.12302940000000001</v>
      </c>
      <c r="J131" s="317">
        <v>0.1830272</v>
      </c>
      <c r="K131" s="318">
        <v>3.5265356454720611</v>
      </c>
      <c r="L131" s="318">
        <v>80.768479166742594</v>
      </c>
      <c r="M131" s="319">
        <v>27.930782475423698</v>
      </c>
      <c r="N131" s="319">
        <v>24.404246829951635</v>
      </c>
      <c r="O131" s="319">
        <f t="shared" si="2"/>
        <v>24.404246829951635</v>
      </c>
      <c r="P131" s="317">
        <v>1.26658041047449</v>
      </c>
      <c r="Q131" s="315" t="s">
        <v>1148</v>
      </c>
      <c r="R131" s="318">
        <v>204</v>
      </c>
      <c r="T131" s="320">
        <v>95.555555555555557</v>
      </c>
      <c r="U131" s="318">
        <v>40</v>
      </c>
      <c r="V131" s="318">
        <v>56.4</v>
      </c>
      <c r="W131" s="318">
        <v>700</v>
      </c>
      <c r="X131" s="315">
        <v>0.19500000000000001</v>
      </c>
      <c r="Y131" s="318">
        <v>214.9</v>
      </c>
      <c r="Z131" s="315">
        <v>1</v>
      </c>
      <c r="AA131" s="315" t="s">
        <v>1149</v>
      </c>
      <c r="AB131" s="315">
        <v>0</v>
      </c>
      <c r="AC131" s="315" t="s">
        <v>1157</v>
      </c>
    </row>
    <row r="132" spans="1:29">
      <c r="A132" s="315" t="s">
        <v>1835</v>
      </c>
      <c r="B132" s="315" t="s">
        <v>1066</v>
      </c>
      <c r="C132" s="329">
        <v>4.6791344444444398</v>
      </c>
      <c r="D132" s="329">
        <v>113.7</v>
      </c>
      <c r="E132" s="316" t="s">
        <v>1388</v>
      </c>
      <c r="F132" s="316" t="s">
        <v>1388</v>
      </c>
      <c r="G132" s="317">
        <v>12.73</v>
      </c>
      <c r="H132" s="317">
        <v>2.3894685</v>
      </c>
      <c r="I132" s="317">
        <v>2.605051</v>
      </c>
      <c r="J132" s="317">
        <v>5.0435971000000004</v>
      </c>
      <c r="K132" s="318">
        <v>39.619772977219171</v>
      </c>
      <c r="L132" s="318">
        <v>67.912356315028305</v>
      </c>
      <c r="M132" s="319">
        <v>34.127972714820295</v>
      </c>
      <c r="N132" s="319">
        <v>-5.4918002623988755</v>
      </c>
      <c r="O132" s="319">
        <f t="shared" si="2"/>
        <v>0</v>
      </c>
      <c r="P132" s="317">
        <v>0</v>
      </c>
      <c r="Q132" s="315" t="s">
        <v>1148</v>
      </c>
      <c r="R132" s="318">
        <v>204</v>
      </c>
      <c r="T132" s="320">
        <v>95.555555555555557</v>
      </c>
      <c r="U132" s="318">
        <v>40</v>
      </c>
      <c r="V132" s="318">
        <v>445.4</v>
      </c>
      <c r="W132" s="318">
        <v>595</v>
      </c>
      <c r="X132" s="315">
        <v>0.159</v>
      </c>
      <c r="Y132" s="318">
        <v>9.6999999999999993</v>
      </c>
      <c r="Z132" s="315">
        <v>18</v>
      </c>
      <c r="AA132" s="315" t="s">
        <v>1149</v>
      </c>
      <c r="AB132" s="315">
        <v>0</v>
      </c>
      <c r="AC132" s="315" t="s">
        <v>1157</v>
      </c>
    </row>
    <row r="133" spans="1:29">
      <c r="A133" s="315" t="s">
        <v>1840</v>
      </c>
      <c r="B133" s="315" t="s">
        <v>1066</v>
      </c>
      <c r="C133" s="329">
        <v>4.6791344444444398</v>
      </c>
      <c r="D133" s="329">
        <v>113.7</v>
      </c>
      <c r="E133" s="316" t="s">
        <v>1389</v>
      </c>
      <c r="F133" s="316" t="s">
        <v>1389</v>
      </c>
      <c r="G133" s="317">
        <v>2.67</v>
      </c>
      <c r="H133" s="317">
        <v>0.13080320000000001</v>
      </c>
      <c r="I133" s="317">
        <v>0.14260450000000002</v>
      </c>
      <c r="J133" s="317">
        <v>0.58969170000000004</v>
      </c>
      <c r="K133" s="318">
        <v>22.085831460674161</v>
      </c>
      <c r="L133" s="318">
        <v>68.005656273063906</v>
      </c>
      <c r="M133" s="319">
        <v>35.012208122323798</v>
      </c>
      <c r="N133" s="319">
        <v>12.926376661649638</v>
      </c>
      <c r="O133" s="319">
        <f t="shared" si="2"/>
        <v>12.926376661649638</v>
      </c>
      <c r="P133" s="317">
        <v>0.34513425686604532</v>
      </c>
      <c r="Q133" s="315" t="s">
        <v>1148</v>
      </c>
      <c r="R133" s="318">
        <v>204</v>
      </c>
      <c r="T133" s="320">
        <v>95.555555555555557</v>
      </c>
      <c r="U133" s="318">
        <v>40</v>
      </c>
      <c r="V133" s="318">
        <v>90.6</v>
      </c>
      <c r="W133" s="318">
        <v>357</v>
      </c>
      <c r="X133" s="315">
        <v>0.21</v>
      </c>
      <c r="Y133" s="318">
        <v>191.1</v>
      </c>
      <c r="Z133" s="315">
        <v>8</v>
      </c>
      <c r="AA133" s="315" t="s">
        <v>1149</v>
      </c>
      <c r="AB133" s="315">
        <v>0</v>
      </c>
      <c r="AC133" s="315" t="s">
        <v>1157</v>
      </c>
    </row>
    <row r="134" spans="1:29">
      <c r="A134" s="315" t="s">
        <v>1145</v>
      </c>
      <c r="B134" s="315" t="s">
        <v>1066</v>
      </c>
      <c r="C134" s="329">
        <v>4.6791344444444398</v>
      </c>
      <c r="D134" s="329">
        <v>113.7</v>
      </c>
      <c r="E134" s="316" t="s">
        <v>1390</v>
      </c>
      <c r="F134" s="316" t="s">
        <v>1390</v>
      </c>
      <c r="G134" s="317">
        <v>12.11</v>
      </c>
      <c r="H134" s="317">
        <v>0</v>
      </c>
      <c r="I134" s="317">
        <v>0</v>
      </c>
      <c r="J134" s="317">
        <v>0</v>
      </c>
      <c r="K134" s="318">
        <v>0</v>
      </c>
      <c r="L134" s="318">
        <v>58.674229321321199</v>
      </c>
      <c r="M134" s="319">
        <v>39.339182527695399</v>
      </c>
      <c r="N134" s="319">
        <v>39.339182527695399</v>
      </c>
      <c r="O134" s="319">
        <f t="shared" si="2"/>
        <v>39.339182527695399</v>
      </c>
      <c r="P134" s="317">
        <v>4.7639750041039122</v>
      </c>
      <c r="Q134" s="315" t="s">
        <v>1168</v>
      </c>
      <c r="R134" s="318">
        <v>204.7</v>
      </c>
      <c r="T134" s="320">
        <v>95.944444444444443</v>
      </c>
      <c r="U134" s="318">
        <v>33</v>
      </c>
      <c r="V134" s="318">
        <v>728</v>
      </c>
      <c r="W134" s="318">
        <v>728</v>
      </c>
      <c r="X134" s="315">
        <v>0.2</v>
      </c>
      <c r="Y134" s="318">
        <v>246.3</v>
      </c>
      <c r="Z134" s="315">
        <v>2</v>
      </c>
      <c r="AA134" s="315" t="s">
        <v>1149</v>
      </c>
      <c r="AB134" s="315">
        <v>0</v>
      </c>
      <c r="AC134" s="315" t="s">
        <v>1157</v>
      </c>
    </row>
    <row r="135" spans="1:29">
      <c r="A135" s="315" t="s">
        <v>1145</v>
      </c>
      <c r="B135" s="315" t="s">
        <v>1066</v>
      </c>
      <c r="C135" s="329">
        <v>4.6791344444444398</v>
      </c>
      <c r="D135" s="329">
        <v>113.7</v>
      </c>
      <c r="E135" s="316" t="s">
        <v>1392</v>
      </c>
      <c r="F135" s="316" t="s">
        <v>1392</v>
      </c>
      <c r="G135" s="317">
        <v>0.40412700000000001</v>
      </c>
      <c r="H135" s="317">
        <v>0</v>
      </c>
      <c r="I135" s="317">
        <v>0</v>
      </c>
      <c r="J135" s="317">
        <v>0</v>
      </c>
      <c r="K135" s="318">
        <v>0</v>
      </c>
      <c r="L135" s="318">
        <v>74.772955810356606</v>
      </c>
      <c r="M135" s="319">
        <v>27.567901754410101</v>
      </c>
      <c r="N135" s="319">
        <v>27.567901754410101</v>
      </c>
      <c r="O135" s="319">
        <f t="shared" si="2"/>
        <v>27.567901754410101</v>
      </c>
      <c r="P135" s="317">
        <v>0.11140933432304491</v>
      </c>
      <c r="Q135" s="315" t="s">
        <v>1168</v>
      </c>
      <c r="R135" s="318">
        <v>206</v>
      </c>
      <c r="T135" s="320">
        <v>96.666666666666671</v>
      </c>
      <c r="U135" s="318">
        <v>38</v>
      </c>
      <c r="V135" s="318">
        <v>62.7</v>
      </c>
      <c r="W135" s="318">
        <v>384</v>
      </c>
      <c r="X135" s="315">
        <v>0.14000000000000001</v>
      </c>
      <c r="Y135" s="318">
        <v>3.39</v>
      </c>
      <c r="Z135" s="315">
        <v>0</v>
      </c>
      <c r="AA135" s="315" t="s">
        <v>1149</v>
      </c>
      <c r="AB135" s="315">
        <v>0</v>
      </c>
      <c r="AC135" s="315" t="s">
        <v>1157</v>
      </c>
    </row>
    <row r="136" spans="1:29">
      <c r="A136" s="315" t="s">
        <v>1145</v>
      </c>
      <c r="B136" s="315" t="s">
        <v>1066</v>
      </c>
      <c r="C136" s="329">
        <v>4.6791344444444398</v>
      </c>
      <c r="D136" s="329">
        <v>113.7</v>
      </c>
      <c r="E136" s="316" t="s">
        <v>1394</v>
      </c>
      <c r="F136" s="316" t="s">
        <v>1394</v>
      </c>
      <c r="G136" s="317">
        <v>2.56</v>
      </c>
      <c r="H136" s="317">
        <v>0</v>
      </c>
      <c r="I136" s="317">
        <v>0</v>
      </c>
      <c r="J136" s="317">
        <v>0</v>
      </c>
      <c r="K136" s="318">
        <v>0</v>
      </c>
      <c r="L136" s="318">
        <v>64.392313063041996</v>
      </c>
      <c r="M136" s="319">
        <v>32.481951391419301</v>
      </c>
      <c r="N136" s="319">
        <v>32.481951391419301</v>
      </c>
      <c r="O136" s="319">
        <f t="shared" si="2"/>
        <v>32.481951391419301</v>
      </c>
      <c r="P136" s="317">
        <v>0.83153795562033406</v>
      </c>
      <c r="Q136" s="315" t="s">
        <v>1168</v>
      </c>
      <c r="R136" s="318">
        <v>206</v>
      </c>
      <c r="T136" s="320">
        <v>96.666666666666671</v>
      </c>
      <c r="U136" s="318">
        <v>38</v>
      </c>
      <c r="V136" s="318">
        <v>698</v>
      </c>
      <c r="W136" s="318">
        <v>698</v>
      </c>
      <c r="X136" s="315">
        <v>0.2</v>
      </c>
      <c r="Y136" s="318">
        <v>246.3</v>
      </c>
      <c r="Z136" s="315">
        <v>0</v>
      </c>
      <c r="AA136" s="315" t="s">
        <v>1149</v>
      </c>
      <c r="AB136" s="315">
        <v>0</v>
      </c>
      <c r="AC136" s="315" t="s">
        <v>1157</v>
      </c>
    </row>
    <row r="137" spans="1:29">
      <c r="A137" s="315" t="s">
        <v>1715</v>
      </c>
      <c r="B137" s="315" t="s">
        <v>1066</v>
      </c>
      <c r="C137" s="329">
        <v>4.6791344444444398</v>
      </c>
      <c r="D137" s="329">
        <v>113.7</v>
      </c>
      <c r="E137" s="316" t="s">
        <v>1396</v>
      </c>
      <c r="F137" s="316" t="s">
        <v>1396</v>
      </c>
      <c r="G137" s="317">
        <v>13.36</v>
      </c>
      <c r="H137" s="317">
        <v>3.6227299999999997E-2</v>
      </c>
      <c r="I137" s="317">
        <v>3.9495799999999998E-2</v>
      </c>
      <c r="J137" s="317">
        <v>1.0015352000000002</v>
      </c>
      <c r="K137" s="318">
        <v>7.4965209580838339</v>
      </c>
      <c r="L137" s="318">
        <v>70.832791908754999</v>
      </c>
      <c r="M137" s="319">
        <v>32.9503757871407</v>
      </c>
      <c r="N137" s="319">
        <v>25.453854829056866</v>
      </c>
      <c r="O137" s="319">
        <f t="shared" si="2"/>
        <v>25.453854829056866</v>
      </c>
      <c r="P137" s="317">
        <v>3.4006350051619969</v>
      </c>
      <c r="Q137" s="315" t="s">
        <v>1148</v>
      </c>
      <c r="R137" s="318">
        <v>207</v>
      </c>
      <c r="T137" s="320">
        <v>97.222222222222229</v>
      </c>
      <c r="U137" s="318">
        <v>40</v>
      </c>
      <c r="V137" s="318">
        <v>334</v>
      </c>
      <c r="W137" s="318">
        <v>363</v>
      </c>
      <c r="X137" s="315">
        <v>0.18</v>
      </c>
      <c r="Y137" s="318">
        <v>21.6</v>
      </c>
      <c r="Z137" s="315">
        <v>5</v>
      </c>
      <c r="AA137" s="315" t="s">
        <v>1149</v>
      </c>
      <c r="AB137" s="315">
        <v>0</v>
      </c>
      <c r="AC137" s="315" t="s">
        <v>1157</v>
      </c>
    </row>
    <row r="138" spans="1:29">
      <c r="A138" s="315" t="s">
        <v>1209</v>
      </c>
      <c r="B138" s="315" t="s">
        <v>1066</v>
      </c>
      <c r="C138" s="329">
        <v>4.6791344444444398</v>
      </c>
      <c r="D138" s="329">
        <v>113.7</v>
      </c>
      <c r="E138" s="316" t="s">
        <v>1397</v>
      </c>
      <c r="F138" s="316" t="s">
        <v>1397</v>
      </c>
      <c r="G138" s="317">
        <v>5.14</v>
      </c>
      <c r="H138" s="317">
        <v>0.53930509999999998</v>
      </c>
      <c r="I138" s="317">
        <v>0.58796219999999999</v>
      </c>
      <c r="J138" s="317">
        <v>1.1654404</v>
      </c>
      <c r="K138" s="318">
        <v>22.673937743190663</v>
      </c>
      <c r="L138" s="318">
        <v>81.126480042377395</v>
      </c>
      <c r="M138" s="319">
        <v>26.871479859300202</v>
      </c>
      <c r="N138" s="319">
        <v>4.1975421161095383</v>
      </c>
      <c r="O138" s="319">
        <f t="shared" si="2"/>
        <v>4.1975421161095383</v>
      </c>
      <c r="P138" s="317">
        <v>0.21575366476803026</v>
      </c>
      <c r="Q138" s="315" t="s">
        <v>1148</v>
      </c>
      <c r="R138" s="318">
        <v>208</v>
      </c>
      <c r="T138" s="320">
        <v>97.777777777777771</v>
      </c>
      <c r="U138" s="318">
        <v>33</v>
      </c>
      <c r="V138" s="318">
        <v>110.6</v>
      </c>
      <c r="W138" s="318">
        <v>331</v>
      </c>
      <c r="X138" s="315">
        <v>0.19</v>
      </c>
      <c r="Y138" s="318">
        <v>75.8</v>
      </c>
      <c r="Z138" s="315">
        <v>3</v>
      </c>
      <c r="AA138" s="315" t="s">
        <v>1149</v>
      </c>
      <c r="AB138" s="315">
        <v>0</v>
      </c>
      <c r="AC138" s="315" t="s">
        <v>1157</v>
      </c>
    </row>
    <row r="139" spans="1:29">
      <c r="A139" s="315" t="s">
        <v>1145</v>
      </c>
      <c r="B139" s="315" t="s">
        <v>1066</v>
      </c>
      <c r="C139" s="329">
        <v>4.6791344444444398</v>
      </c>
      <c r="D139" s="329">
        <v>113.7</v>
      </c>
      <c r="E139" s="316" t="s">
        <v>1398</v>
      </c>
      <c r="F139" s="316" t="s">
        <v>1398</v>
      </c>
      <c r="G139" s="317">
        <v>5.3671000000000003E-2</v>
      </c>
      <c r="H139" s="317">
        <v>0</v>
      </c>
      <c r="I139" s="317">
        <v>0</v>
      </c>
      <c r="J139" s="317">
        <v>0</v>
      </c>
      <c r="K139" s="318">
        <v>0</v>
      </c>
      <c r="L139" s="318">
        <v>0</v>
      </c>
      <c r="M139" s="319">
        <v>0</v>
      </c>
      <c r="N139" s="319">
        <v>0</v>
      </c>
      <c r="O139" s="319">
        <f t="shared" si="2"/>
        <v>0</v>
      </c>
      <c r="P139" s="317">
        <v>0</v>
      </c>
      <c r="Q139" s="315" t="s">
        <v>1168</v>
      </c>
      <c r="R139" s="318">
        <v>208</v>
      </c>
      <c r="T139" s="320">
        <v>97.777777777777771</v>
      </c>
      <c r="U139" s="318">
        <v>38</v>
      </c>
      <c r="V139" s="318">
        <v>14.8</v>
      </c>
      <c r="W139" s="318">
        <v>60</v>
      </c>
      <c r="X139" s="315">
        <v>0.126</v>
      </c>
      <c r="Y139" s="318">
        <v>2.76</v>
      </c>
      <c r="Z139" s="315">
        <v>1</v>
      </c>
      <c r="AA139" s="315" t="s">
        <v>1149</v>
      </c>
      <c r="AB139" s="315">
        <v>0</v>
      </c>
      <c r="AC139" s="315" t="s">
        <v>1190</v>
      </c>
    </row>
    <row r="140" spans="1:29">
      <c r="A140" s="315" t="s">
        <v>1145</v>
      </c>
      <c r="B140" s="315" t="s">
        <v>1066</v>
      </c>
      <c r="C140" s="329">
        <v>4.6791344444444398</v>
      </c>
      <c r="D140" s="329">
        <v>113.7</v>
      </c>
      <c r="E140" s="316" t="s">
        <v>1400</v>
      </c>
      <c r="F140" s="316" t="s">
        <v>1400</v>
      </c>
      <c r="G140" s="317">
        <v>11.640722999999999</v>
      </c>
      <c r="H140" s="317">
        <v>3.3425045</v>
      </c>
      <c r="I140" s="317">
        <v>3.6440717</v>
      </c>
      <c r="J140" s="317">
        <v>3.7836924000000001</v>
      </c>
      <c r="K140" s="318">
        <v>32.503929523965134</v>
      </c>
      <c r="L140" s="318">
        <v>71.510921823671694</v>
      </c>
      <c r="M140" s="319">
        <v>29.587163827572997</v>
      </c>
      <c r="N140" s="319">
        <v>-2.9167656963921367</v>
      </c>
      <c r="O140" s="319">
        <f t="shared" si="2"/>
        <v>0</v>
      </c>
      <c r="P140" s="317">
        <v>0</v>
      </c>
      <c r="Q140" s="315" t="s">
        <v>1148</v>
      </c>
      <c r="R140" s="318">
        <v>208</v>
      </c>
      <c r="T140" s="320">
        <v>97.777777777777771</v>
      </c>
      <c r="U140" s="318">
        <v>38</v>
      </c>
      <c r="V140" s="318">
        <v>140.07</v>
      </c>
      <c r="W140" s="318">
        <v>750</v>
      </c>
      <c r="X140" s="315">
        <v>0.158</v>
      </c>
      <c r="Y140" s="318">
        <v>26.8</v>
      </c>
      <c r="Z140" s="315">
        <v>9</v>
      </c>
      <c r="AA140" s="315" t="s">
        <v>1149</v>
      </c>
      <c r="AB140" s="315">
        <v>0</v>
      </c>
      <c r="AC140" s="315" t="s">
        <v>1157</v>
      </c>
    </row>
    <row r="141" spans="1:29">
      <c r="A141" s="315" t="s">
        <v>1717</v>
      </c>
      <c r="B141" s="315" t="s">
        <v>1066</v>
      </c>
      <c r="C141" s="329">
        <v>4.6791344444444398</v>
      </c>
      <c r="D141" s="329">
        <v>113.7</v>
      </c>
      <c r="E141" s="316" t="s">
        <v>1402</v>
      </c>
      <c r="F141" s="316" t="s">
        <v>1402</v>
      </c>
      <c r="G141" s="317">
        <v>5.65</v>
      </c>
      <c r="H141" s="317">
        <v>0.41391529999999999</v>
      </c>
      <c r="I141" s="317">
        <v>0.45125949999999998</v>
      </c>
      <c r="J141" s="317">
        <v>6.7120752000000001</v>
      </c>
      <c r="K141" s="318">
        <v>118.79779115044246</v>
      </c>
      <c r="L141" s="318">
        <v>76.461742849782894</v>
      </c>
      <c r="M141" s="319">
        <v>29.603870671572501</v>
      </c>
      <c r="N141" s="319">
        <v>-89.193920478869956</v>
      </c>
      <c r="O141" s="319">
        <f t="shared" si="2"/>
        <v>0</v>
      </c>
      <c r="P141" s="317">
        <v>0</v>
      </c>
      <c r="Q141" s="315" t="s">
        <v>1148</v>
      </c>
      <c r="R141" s="318">
        <v>208</v>
      </c>
      <c r="T141" s="320">
        <v>97.777777777777771</v>
      </c>
      <c r="U141" s="318">
        <v>40</v>
      </c>
      <c r="V141" s="318">
        <v>121.8</v>
      </c>
      <c r="W141" s="318">
        <v>547</v>
      </c>
      <c r="X141" s="315">
        <v>0.161</v>
      </c>
      <c r="Y141" s="318">
        <v>17.100000000000001</v>
      </c>
      <c r="Z141" s="315">
        <v>4</v>
      </c>
      <c r="AA141" s="315" t="s">
        <v>1149</v>
      </c>
      <c r="AB141" s="315">
        <v>0</v>
      </c>
      <c r="AC141" s="315" t="s">
        <v>1190</v>
      </c>
    </row>
    <row r="142" spans="1:29">
      <c r="A142" s="315" t="s">
        <v>1145</v>
      </c>
      <c r="B142" s="315" t="s">
        <v>1066</v>
      </c>
      <c r="C142" s="329">
        <v>4.6791344444444398</v>
      </c>
      <c r="D142" s="329">
        <v>113.7</v>
      </c>
      <c r="E142" s="316" t="s">
        <v>1404</v>
      </c>
      <c r="F142" s="316" t="s">
        <v>1404</v>
      </c>
      <c r="G142" s="317">
        <v>4.8036989999999999</v>
      </c>
      <c r="H142" s="317">
        <v>0</v>
      </c>
      <c r="I142" s="317">
        <v>0</v>
      </c>
      <c r="J142" s="317">
        <v>0</v>
      </c>
      <c r="K142" s="318">
        <v>0</v>
      </c>
      <c r="L142" s="318">
        <v>61.625867724440397</v>
      </c>
      <c r="M142" s="319">
        <v>37.728172201374001</v>
      </c>
      <c r="N142" s="319">
        <v>37.728172201374001</v>
      </c>
      <c r="O142" s="319">
        <f t="shared" si="2"/>
        <v>37.728172201374001</v>
      </c>
      <c r="P142" s="317">
        <v>1.8123478307556808</v>
      </c>
      <c r="Q142" s="315" t="s">
        <v>1168</v>
      </c>
      <c r="R142" s="318">
        <v>210</v>
      </c>
      <c r="T142" s="320">
        <v>98.888888888888886</v>
      </c>
      <c r="U142" s="318">
        <v>38</v>
      </c>
      <c r="V142" s="318">
        <v>174.3</v>
      </c>
      <c r="W142" s="318">
        <v>4486</v>
      </c>
      <c r="X142" s="315">
        <v>0.17</v>
      </c>
      <c r="Y142" s="318">
        <v>21.4</v>
      </c>
      <c r="Z142" s="315">
        <v>0</v>
      </c>
      <c r="AA142" s="315" t="s">
        <v>1149</v>
      </c>
      <c r="AB142" s="315">
        <v>0</v>
      </c>
      <c r="AC142" s="315" t="s">
        <v>1157</v>
      </c>
    </row>
    <row r="143" spans="1:29">
      <c r="A143" s="315" t="s">
        <v>1145</v>
      </c>
      <c r="B143" s="315" t="s">
        <v>1066</v>
      </c>
      <c r="C143" s="329">
        <v>4.6791344444444398</v>
      </c>
      <c r="D143" s="329">
        <v>113.7</v>
      </c>
      <c r="E143" s="316" t="s">
        <v>1406</v>
      </c>
      <c r="F143" s="316" t="s">
        <v>1406</v>
      </c>
      <c r="G143" s="317">
        <v>9.7358460000000004</v>
      </c>
      <c r="H143" s="317">
        <v>0.8741776</v>
      </c>
      <c r="I143" s="317">
        <v>0.97370409999999996</v>
      </c>
      <c r="J143" s="317">
        <v>1.0102183999999998</v>
      </c>
      <c r="K143" s="318">
        <v>10.376277521234414</v>
      </c>
      <c r="L143" s="318">
        <v>69.052177847389004</v>
      </c>
      <c r="M143" s="319">
        <v>30.520346686297099</v>
      </c>
      <c r="N143" s="319">
        <v>20.144069165062685</v>
      </c>
      <c r="O143" s="319">
        <f t="shared" si="2"/>
        <v>20.144069165062685</v>
      </c>
      <c r="P143" s="317">
        <v>1.961195552043989</v>
      </c>
      <c r="Q143" s="315" t="s">
        <v>1148</v>
      </c>
      <c r="R143" s="318">
        <v>211</v>
      </c>
      <c r="T143" s="320">
        <v>99.444444444444443</v>
      </c>
      <c r="U143" s="318">
        <v>38</v>
      </c>
      <c r="V143" s="318">
        <v>1093</v>
      </c>
      <c r="W143" s="318">
        <v>157</v>
      </c>
      <c r="X143" s="315">
        <v>0.16</v>
      </c>
      <c r="Y143" s="318">
        <v>17.399999999999999</v>
      </c>
      <c r="Z143" s="315">
        <v>2</v>
      </c>
      <c r="AA143" s="315" t="s">
        <v>1149</v>
      </c>
      <c r="AB143" s="315">
        <v>0</v>
      </c>
      <c r="AC143" s="315" t="s">
        <v>1190</v>
      </c>
    </row>
    <row r="144" spans="1:29">
      <c r="A144" s="315" t="s">
        <v>1145</v>
      </c>
      <c r="B144" s="315" t="s">
        <v>1066</v>
      </c>
      <c r="C144" s="329">
        <v>4.6791344444444398</v>
      </c>
      <c r="D144" s="329">
        <v>113.7</v>
      </c>
      <c r="E144" s="316" t="s">
        <v>1408</v>
      </c>
      <c r="F144" s="316" t="s">
        <v>1408</v>
      </c>
      <c r="G144" s="317">
        <v>0.73195399999999999</v>
      </c>
      <c r="H144" s="317">
        <v>0</v>
      </c>
      <c r="I144" s="317">
        <v>0</v>
      </c>
      <c r="J144" s="317">
        <v>0</v>
      </c>
      <c r="K144" s="318">
        <v>0</v>
      </c>
      <c r="L144" s="318">
        <v>71.301563200912895</v>
      </c>
      <c r="M144" s="319">
        <v>32.533593914025701</v>
      </c>
      <c r="N144" s="319">
        <v>32.533593914025701</v>
      </c>
      <c r="O144" s="319">
        <f t="shared" si="2"/>
        <v>32.533593914025701</v>
      </c>
      <c r="P144" s="317">
        <v>0.23813094199746768</v>
      </c>
      <c r="Q144" s="315" t="s">
        <v>1168</v>
      </c>
      <c r="R144" s="318">
        <v>211</v>
      </c>
      <c r="T144" s="320">
        <v>99.444444444444443</v>
      </c>
      <c r="U144" s="318">
        <v>38</v>
      </c>
      <c r="V144" s="318">
        <v>326.8</v>
      </c>
      <c r="W144" s="318">
        <v>5780</v>
      </c>
      <c r="X144" s="315">
        <v>0.14000000000000001</v>
      </c>
      <c r="Y144" s="318">
        <v>15.4</v>
      </c>
      <c r="Z144" s="315">
        <v>0</v>
      </c>
      <c r="AA144" s="315" t="s">
        <v>1149</v>
      </c>
      <c r="AB144" s="315">
        <v>0</v>
      </c>
      <c r="AC144" s="315" t="s">
        <v>1157</v>
      </c>
    </row>
    <row r="145" spans="1:29">
      <c r="A145" s="315" t="s">
        <v>1717</v>
      </c>
      <c r="B145" s="315" t="s">
        <v>1066</v>
      </c>
      <c r="C145" s="329">
        <v>4.6791344444444398</v>
      </c>
      <c r="D145" s="329">
        <v>113.7</v>
      </c>
      <c r="E145" s="316" t="s">
        <v>1410</v>
      </c>
      <c r="F145" s="316" t="s">
        <v>1411</v>
      </c>
      <c r="G145" s="317">
        <v>23.5</v>
      </c>
      <c r="H145" s="317">
        <v>0.59619659999999997</v>
      </c>
      <c r="I145" s="317">
        <v>0.64998659999999997</v>
      </c>
      <c r="J145" s="317">
        <v>3.8510074999999997</v>
      </c>
      <c r="K145" s="318">
        <v>16.387265957446807</v>
      </c>
      <c r="L145" s="318">
        <v>64.748694772972996</v>
      </c>
      <c r="M145" s="319">
        <v>35.421133998420501</v>
      </c>
      <c r="N145" s="319">
        <v>19.033868040973694</v>
      </c>
      <c r="O145" s="319">
        <f t="shared" si="2"/>
        <v>19.033868040973694</v>
      </c>
      <c r="P145" s="317">
        <v>4.4729589896288182</v>
      </c>
      <c r="Q145" s="315" t="s">
        <v>1148</v>
      </c>
      <c r="R145" s="318">
        <v>215</v>
      </c>
      <c r="T145" s="320">
        <v>101.66666666666667</v>
      </c>
      <c r="U145" s="318">
        <v>33</v>
      </c>
      <c r="V145" s="318">
        <v>482</v>
      </c>
      <c r="W145" s="318">
        <v>647</v>
      </c>
      <c r="X145" s="315">
        <v>0.16</v>
      </c>
      <c r="Y145" s="318">
        <v>16.7</v>
      </c>
      <c r="Z145" s="315">
        <v>9</v>
      </c>
      <c r="AA145" s="315" t="s">
        <v>1149</v>
      </c>
      <c r="AB145" s="315">
        <v>0</v>
      </c>
      <c r="AC145" s="315" t="s">
        <v>1157</v>
      </c>
    </row>
    <row r="146" spans="1:29">
      <c r="A146" s="315" t="s">
        <v>1717</v>
      </c>
      <c r="B146" s="315" t="s">
        <v>1066</v>
      </c>
      <c r="C146" s="329">
        <v>4.6791344444444398</v>
      </c>
      <c r="D146" s="329">
        <v>113.7</v>
      </c>
      <c r="E146" s="316" t="s">
        <v>1412</v>
      </c>
      <c r="F146" s="316" t="s">
        <v>1412</v>
      </c>
      <c r="G146" s="317">
        <v>13.46</v>
      </c>
      <c r="H146" s="317">
        <v>2.4339097999999999</v>
      </c>
      <c r="I146" s="317">
        <v>2.6535017999999999</v>
      </c>
      <c r="J146" s="317">
        <v>4.4710884999999996</v>
      </c>
      <c r="K146" s="318">
        <v>33.217596582466562</v>
      </c>
      <c r="L146" s="318">
        <v>73.872054612731603</v>
      </c>
      <c r="M146" s="319">
        <v>31.14715079071</v>
      </c>
      <c r="N146" s="319">
        <v>-2.070445791756562</v>
      </c>
      <c r="O146" s="319">
        <f t="shared" si="2"/>
        <v>0</v>
      </c>
      <c r="P146" s="317">
        <v>0</v>
      </c>
      <c r="Q146" s="315" t="s">
        <v>1148</v>
      </c>
      <c r="R146" s="318">
        <v>218</v>
      </c>
      <c r="T146" s="320">
        <v>103.33333333333333</v>
      </c>
      <c r="U146" s="318">
        <v>33</v>
      </c>
      <c r="V146" s="318">
        <v>77.400000000000006</v>
      </c>
      <c r="W146" s="318">
        <v>596</v>
      </c>
      <c r="X146" s="315">
        <v>0.14000000000000001</v>
      </c>
      <c r="Y146" s="318">
        <v>34.700000000000003</v>
      </c>
      <c r="Z146" s="315">
        <v>7</v>
      </c>
      <c r="AA146" s="315" t="s">
        <v>1149</v>
      </c>
      <c r="AB146" s="315">
        <v>0</v>
      </c>
      <c r="AC146" s="315" t="s">
        <v>1157</v>
      </c>
    </row>
    <row r="147" spans="1:29">
      <c r="A147" s="315" t="s">
        <v>1145</v>
      </c>
      <c r="B147" s="315" t="s">
        <v>1066</v>
      </c>
      <c r="C147" s="329">
        <v>4.6791344444444398</v>
      </c>
      <c r="D147" s="329">
        <v>113.7</v>
      </c>
      <c r="E147" s="316" t="s">
        <v>1413</v>
      </c>
      <c r="F147" s="316" t="s">
        <v>1413</v>
      </c>
      <c r="G147" s="317">
        <v>30.32818</v>
      </c>
      <c r="H147" s="317">
        <v>2.4049958</v>
      </c>
      <c r="I147" s="317">
        <v>2.6820572</v>
      </c>
      <c r="J147" s="317">
        <v>2.7825133000000002</v>
      </c>
      <c r="K147" s="318">
        <v>9.1746794565318464</v>
      </c>
      <c r="L147" s="318">
        <v>69.0504210155989</v>
      </c>
      <c r="M147" s="319">
        <v>30.339772330619603</v>
      </c>
      <c r="N147" s="319">
        <v>21.165092874087755</v>
      </c>
      <c r="O147" s="319">
        <f t="shared" si="2"/>
        <v>21.165092874087755</v>
      </c>
      <c r="P147" s="317">
        <v>6.4189874640205078</v>
      </c>
      <c r="Q147" s="315" t="s">
        <v>1148</v>
      </c>
      <c r="R147" s="318">
        <v>219</v>
      </c>
      <c r="T147" s="320">
        <v>103.88888888888889</v>
      </c>
      <c r="U147" s="318">
        <v>38</v>
      </c>
      <c r="V147" s="318">
        <v>2489</v>
      </c>
      <c r="W147" s="318">
        <v>180</v>
      </c>
      <c r="X147" s="315">
        <v>0.15</v>
      </c>
      <c r="Y147" s="318">
        <v>17.399999999999999</v>
      </c>
      <c r="Z147" s="315">
        <v>2</v>
      </c>
      <c r="AA147" s="315" t="s">
        <v>1149</v>
      </c>
      <c r="AB147" s="315">
        <v>0</v>
      </c>
      <c r="AC147" s="315" t="s">
        <v>1157</v>
      </c>
    </row>
    <row r="148" spans="1:29">
      <c r="A148" s="315" t="s">
        <v>1145</v>
      </c>
      <c r="B148" s="315" t="s">
        <v>1066</v>
      </c>
      <c r="C148" s="329">
        <v>4.6791344444444398</v>
      </c>
      <c r="D148" s="329">
        <v>113.7</v>
      </c>
      <c r="E148" s="316" t="s">
        <v>1415</v>
      </c>
      <c r="F148" s="316" t="s">
        <v>1415</v>
      </c>
      <c r="G148" s="317">
        <v>0.36</v>
      </c>
      <c r="H148" s="317">
        <v>0</v>
      </c>
      <c r="I148" s="317">
        <v>0</v>
      </c>
      <c r="J148" s="317">
        <v>0</v>
      </c>
      <c r="K148" s="318">
        <v>0</v>
      </c>
      <c r="L148" s="318">
        <v>76.084025543625202</v>
      </c>
      <c r="M148" s="319">
        <v>27.168271313299702</v>
      </c>
      <c r="N148" s="319">
        <v>27.168271313299702</v>
      </c>
      <c r="O148" s="319">
        <f t="shared" si="2"/>
        <v>27.168271313299702</v>
      </c>
      <c r="P148" s="317">
        <v>9.7805776727878921E-2</v>
      </c>
      <c r="Q148" s="315" t="s">
        <v>1168</v>
      </c>
      <c r="R148" s="318">
        <v>220</v>
      </c>
      <c r="T148" s="320">
        <v>104.44444444444444</v>
      </c>
      <c r="U148" s="318">
        <v>38</v>
      </c>
      <c r="V148" s="318">
        <v>26.58</v>
      </c>
      <c r="W148" s="318">
        <v>26.58</v>
      </c>
      <c r="X148" s="315">
        <v>0.14799999999999999</v>
      </c>
      <c r="Y148" s="318">
        <v>20.68</v>
      </c>
      <c r="Z148" s="315">
        <v>1</v>
      </c>
      <c r="AA148" s="315" t="s">
        <v>1149</v>
      </c>
      <c r="AB148" s="315">
        <v>0</v>
      </c>
      <c r="AC148" s="315" t="s">
        <v>1157</v>
      </c>
    </row>
    <row r="149" spans="1:29">
      <c r="A149" s="315" t="s">
        <v>1145</v>
      </c>
      <c r="B149" s="315" t="s">
        <v>1066</v>
      </c>
      <c r="C149" s="329">
        <v>4.6791344444444398</v>
      </c>
      <c r="D149" s="329">
        <v>113.7</v>
      </c>
      <c r="E149" s="316" t="s">
        <v>1417</v>
      </c>
      <c r="F149" s="316" t="s">
        <v>1417</v>
      </c>
      <c r="G149" s="317">
        <v>1.274896</v>
      </c>
      <c r="H149" s="317">
        <v>0</v>
      </c>
      <c r="I149" s="317">
        <v>0</v>
      </c>
      <c r="J149" s="317">
        <v>0</v>
      </c>
      <c r="K149" s="318">
        <v>0</v>
      </c>
      <c r="L149" s="318">
        <v>55.602107257136304</v>
      </c>
      <c r="M149" s="319">
        <v>38.537951482464003</v>
      </c>
      <c r="N149" s="319">
        <v>38.537951482464003</v>
      </c>
      <c r="O149" s="319">
        <f t="shared" si="2"/>
        <v>38.537951482464003</v>
      </c>
      <c r="P149" s="317">
        <v>0.49131880193187427</v>
      </c>
      <c r="Q149" s="315" t="s">
        <v>1168</v>
      </c>
      <c r="R149" s="318">
        <v>222</v>
      </c>
      <c r="T149" s="320">
        <v>105.55555555555556</v>
      </c>
      <c r="U149" s="318">
        <v>38</v>
      </c>
      <c r="V149" s="318">
        <v>468.03</v>
      </c>
      <c r="W149" s="318">
        <v>2029</v>
      </c>
      <c r="X149" s="315">
        <v>0.186</v>
      </c>
      <c r="Y149" s="318">
        <v>32.4</v>
      </c>
      <c r="Z149" s="315">
        <v>1</v>
      </c>
      <c r="AA149" s="315" t="s">
        <v>1149</v>
      </c>
      <c r="AB149" s="315">
        <v>0</v>
      </c>
      <c r="AC149" s="315" t="s">
        <v>1157</v>
      </c>
    </row>
    <row r="150" spans="1:29">
      <c r="A150" s="315" t="s">
        <v>1571</v>
      </c>
      <c r="B150" s="315" t="s">
        <v>1068</v>
      </c>
      <c r="C150" s="329">
        <v>4.7399216666666604</v>
      </c>
      <c r="D150" s="329">
        <v>113.74810479999999</v>
      </c>
      <c r="E150" s="316" t="s">
        <v>1418</v>
      </c>
      <c r="F150" s="316" t="s">
        <v>1419</v>
      </c>
      <c r="G150" s="317">
        <v>338.41999999999996</v>
      </c>
      <c r="H150" s="317">
        <v>117.5983619266663</v>
      </c>
      <c r="I150" s="317">
        <v>125.99388936732589</v>
      </c>
      <c r="J150" s="317">
        <v>136.83097221728093</v>
      </c>
      <c r="K150" s="318">
        <v>40.432294845836815</v>
      </c>
      <c r="L150" s="318">
        <v>46.355290111713799</v>
      </c>
      <c r="M150" s="319">
        <v>44.126475570581199</v>
      </c>
      <c r="N150" s="319">
        <v>3.6941807247443847</v>
      </c>
      <c r="O150" s="319">
        <f t="shared" si="2"/>
        <v>3.6941807247443847</v>
      </c>
      <c r="P150" s="317">
        <v>12.501846408679945</v>
      </c>
      <c r="Q150" s="315" t="s">
        <v>1148</v>
      </c>
      <c r="R150" s="318">
        <v>179</v>
      </c>
      <c r="T150" s="320">
        <v>81.666666666666671</v>
      </c>
      <c r="U150" s="318">
        <v>44</v>
      </c>
      <c r="V150" s="318">
        <v>247</v>
      </c>
      <c r="W150" s="318">
        <v>76</v>
      </c>
      <c r="X150" s="315">
        <v>0.23</v>
      </c>
      <c r="Y150" s="318">
        <v>325</v>
      </c>
      <c r="Z150" s="315">
        <v>41</v>
      </c>
      <c r="AA150" s="315" t="s">
        <v>1420</v>
      </c>
      <c r="AB150" s="315">
        <v>3</v>
      </c>
      <c r="AC150" s="315" t="s">
        <v>1190</v>
      </c>
    </row>
    <row r="151" spans="1:29">
      <c r="A151" s="315" t="s">
        <v>1633</v>
      </c>
      <c r="B151" s="315" t="s">
        <v>1068</v>
      </c>
      <c r="C151" s="329">
        <v>4.7496719444444402</v>
      </c>
      <c r="D151" s="329">
        <v>113.74810479999999</v>
      </c>
      <c r="E151" s="316" t="s">
        <v>1421</v>
      </c>
      <c r="F151" s="316" t="s">
        <v>1422</v>
      </c>
      <c r="G151" s="317">
        <v>325.60000000000002</v>
      </c>
      <c r="H151" s="317">
        <v>108.69673682857932</v>
      </c>
      <c r="I151" s="317">
        <v>138.72238753442099</v>
      </c>
      <c r="J151" s="317">
        <v>148.04206453071498</v>
      </c>
      <c r="K151" s="318">
        <v>45.467464536460369</v>
      </c>
      <c r="L151" s="318">
        <v>54.277299706050997</v>
      </c>
      <c r="M151" s="319">
        <v>42.669434738346503</v>
      </c>
      <c r="N151" s="319">
        <v>-2.7980297981138662</v>
      </c>
      <c r="O151" s="319">
        <f t="shared" si="2"/>
        <v>0</v>
      </c>
      <c r="P151" s="317">
        <v>0</v>
      </c>
      <c r="Q151" s="315" t="s">
        <v>1148</v>
      </c>
      <c r="R151" s="318">
        <v>188</v>
      </c>
      <c r="T151" s="320">
        <v>86.666666666666671</v>
      </c>
      <c r="U151" s="318">
        <v>42</v>
      </c>
      <c r="V151" s="318">
        <v>432</v>
      </c>
      <c r="W151" s="318">
        <v>122</v>
      </c>
      <c r="X151" s="315">
        <v>0.21</v>
      </c>
      <c r="Y151" s="318">
        <v>120</v>
      </c>
      <c r="Z151" s="315">
        <v>37</v>
      </c>
      <c r="AA151" s="315" t="s">
        <v>1420</v>
      </c>
      <c r="AB151" s="315">
        <v>6</v>
      </c>
      <c r="AC151" s="315" t="s">
        <v>1190</v>
      </c>
    </row>
    <row r="152" spans="1:29">
      <c r="A152" s="315" t="s">
        <v>1145</v>
      </c>
      <c r="B152" s="315" t="s">
        <v>1068</v>
      </c>
      <c r="C152" s="329">
        <v>4.73363972222222</v>
      </c>
      <c r="D152" s="329">
        <v>113.74810479999999</v>
      </c>
      <c r="E152" s="316" t="s">
        <v>1423</v>
      </c>
      <c r="F152" s="316" t="s">
        <v>1424</v>
      </c>
      <c r="G152" s="317">
        <v>88</v>
      </c>
      <c r="H152" s="317">
        <v>42.790948899481279</v>
      </c>
      <c r="I152" s="317">
        <v>50.659509632738022</v>
      </c>
      <c r="J152" s="317">
        <v>50.659509632738022</v>
      </c>
      <c r="K152" s="318">
        <v>57.56762458265684</v>
      </c>
      <c r="L152" s="318">
        <v>42.877427296820798</v>
      </c>
      <c r="M152" s="319">
        <v>45.217462451600397</v>
      </c>
      <c r="N152" s="319">
        <v>-12.350162131056443</v>
      </c>
      <c r="O152" s="319">
        <f t="shared" si="2"/>
        <v>0</v>
      </c>
      <c r="P152" s="317">
        <v>0</v>
      </c>
      <c r="Q152" s="315" t="s">
        <v>1148</v>
      </c>
      <c r="R152" s="318">
        <v>204</v>
      </c>
      <c r="T152" s="320">
        <v>95.555555555555557</v>
      </c>
      <c r="U152" s="318">
        <v>40</v>
      </c>
      <c r="V152" s="318">
        <v>144</v>
      </c>
      <c r="W152" s="318">
        <v>105</v>
      </c>
      <c r="X152" s="315">
        <v>0.2</v>
      </c>
      <c r="Y152" s="318">
        <v>50</v>
      </c>
      <c r="Z152" s="315">
        <v>11</v>
      </c>
      <c r="AA152" s="315" t="s">
        <v>1420</v>
      </c>
      <c r="AB152" s="315">
        <v>4</v>
      </c>
      <c r="AC152" s="315" t="s">
        <v>1190</v>
      </c>
    </row>
    <row r="153" spans="1:29">
      <c r="A153" s="315" t="s">
        <v>1772</v>
      </c>
      <c r="B153" s="315" t="s">
        <v>1425</v>
      </c>
      <c r="C153" s="329">
        <v>4.7403563888888796</v>
      </c>
      <c r="D153" s="329">
        <v>113.74810479999999</v>
      </c>
      <c r="E153" s="316" t="s">
        <v>1426</v>
      </c>
      <c r="F153" s="316" t="s">
        <v>1427</v>
      </c>
      <c r="G153" s="317">
        <v>17.664999999999999</v>
      </c>
      <c r="H153" s="317">
        <v>13.645280554920687</v>
      </c>
      <c r="I153" s="317">
        <v>13.645280554920687</v>
      </c>
      <c r="J153" s="317">
        <v>13.645280554920687</v>
      </c>
      <c r="K153" s="318">
        <v>77.244724341470075</v>
      </c>
      <c r="L153" s="318">
        <v>64.685012522808805</v>
      </c>
      <c r="M153" s="319">
        <v>34.194382427183399</v>
      </c>
      <c r="N153" s="319">
        <v>-43.050341914286676</v>
      </c>
      <c r="O153" s="319">
        <f t="shared" si="2"/>
        <v>0</v>
      </c>
      <c r="P153" s="317">
        <v>0</v>
      </c>
      <c r="Q153" s="315" t="s">
        <v>1148</v>
      </c>
      <c r="R153" s="318">
        <v>200</v>
      </c>
      <c r="T153" s="320">
        <v>93.333333333333329</v>
      </c>
      <c r="U153" s="318">
        <v>34</v>
      </c>
      <c r="V153" s="318">
        <v>90</v>
      </c>
      <c r="W153" s="318">
        <v>319.5</v>
      </c>
      <c r="X153" s="315">
        <v>0.183</v>
      </c>
      <c r="Y153" s="318">
        <v>10</v>
      </c>
      <c r="Z153" s="315">
        <v>1</v>
      </c>
      <c r="AA153" s="315" t="s">
        <v>1149</v>
      </c>
      <c r="AB153" s="315">
        <v>0</v>
      </c>
      <c r="AC153" s="315" t="s">
        <v>1150</v>
      </c>
    </row>
    <row r="154" spans="1:29">
      <c r="A154" s="315" t="s">
        <v>1145</v>
      </c>
      <c r="B154" s="315" t="s">
        <v>1425</v>
      </c>
      <c r="C154" s="329">
        <v>4.7420466666666599</v>
      </c>
      <c r="D154" s="329">
        <v>113.74810479999999</v>
      </c>
      <c r="E154" s="316" t="s">
        <v>1428</v>
      </c>
      <c r="F154" s="316" t="s">
        <v>1429</v>
      </c>
      <c r="G154" s="317">
        <v>7.9</v>
      </c>
      <c r="H154" s="317">
        <v>2.7787688454358355</v>
      </c>
      <c r="I154" s="317">
        <v>2.7787688454358355</v>
      </c>
      <c r="J154" s="317">
        <v>2.7787688454358355</v>
      </c>
      <c r="K154" s="318">
        <v>35.174289182732096</v>
      </c>
      <c r="L154" s="318">
        <v>64.491445065330296</v>
      </c>
      <c r="M154" s="319">
        <v>37.669595953669599</v>
      </c>
      <c r="N154" s="319">
        <v>2.4953067709375034</v>
      </c>
      <c r="O154" s="319">
        <f t="shared" si="2"/>
        <v>2.4953067709375034</v>
      </c>
      <c r="P154" s="317">
        <v>0.19712923490406278</v>
      </c>
      <c r="Q154" s="315" t="s">
        <v>1148</v>
      </c>
      <c r="R154" s="318">
        <v>206</v>
      </c>
      <c r="T154" s="320">
        <v>96.666666666666671</v>
      </c>
      <c r="U154" s="318">
        <v>32</v>
      </c>
      <c r="V154" s="318">
        <v>119</v>
      </c>
      <c r="W154" s="318">
        <v>271</v>
      </c>
      <c r="X154" s="315">
        <v>0.17899999999999999</v>
      </c>
      <c r="Y154" s="318">
        <v>10</v>
      </c>
      <c r="Z154" s="315">
        <v>1</v>
      </c>
      <c r="AA154" s="315" t="s">
        <v>1149</v>
      </c>
      <c r="AB154" s="315">
        <v>0</v>
      </c>
      <c r="AC154" s="315" t="s">
        <v>1150</v>
      </c>
    </row>
    <row r="155" spans="1:29">
      <c r="A155" s="315" t="s">
        <v>1678</v>
      </c>
      <c r="B155" s="315" t="s">
        <v>1430</v>
      </c>
      <c r="C155" s="329">
        <v>3.4441025000000001</v>
      </c>
      <c r="D155" s="329">
        <v>112.392222</v>
      </c>
      <c r="E155" s="316" t="s">
        <v>1431</v>
      </c>
      <c r="F155" s="316" t="s">
        <v>1431</v>
      </c>
      <c r="G155" s="317">
        <v>12.956447595520029</v>
      </c>
      <c r="H155" s="317">
        <v>5.5501218000000003</v>
      </c>
      <c r="I155" s="317">
        <v>5.5501218000000003</v>
      </c>
      <c r="J155" s="317">
        <v>5.5501218000000003</v>
      </c>
      <c r="K155" s="318">
        <v>42.836755669965235</v>
      </c>
      <c r="L155" s="318">
        <v>51.559314084154899</v>
      </c>
      <c r="M155" s="319">
        <v>39.529825678203103</v>
      </c>
      <c r="N155" s="319">
        <v>-3.3069299917621322</v>
      </c>
      <c r="O155" s="319">
        <f t="shared" si="2"/>
        <v>0</v>
      </c>
      <c r="P155" s="317">
        <v>0</v>
      </c>
      <c r="Q155" s="315" t="s">
        <v>1148</v>
      </c>
      <c r="R155" s="318">
        <v>193</v>
      </c>
      <c r="T155" s="320">
        <v>89.444444444444443</v>
      </c>
      <c r="U155" s="318">
        <v>37</v>
      </c>
      <c r="V155" s="318">
        <v>43</v>
      </c>
      <c r="W155" s="318">
        <v>47</v>
      </c>
      <c r="X155" s="315">
        <v>0.23</v>
      </c>
      <c r="Y155" s="318">
        <v>700</v>
      </c>
      <c r="Z155" s="315">
        <v>3</v>
      </c>
      <c r="AA155" s="315" t="s">
        <v>1149</v>
      </c>
      <c r="AB155" s="315">
        <v>0</v>
      </c>
      <c r="AC155" s="315" t="s">
        <v>1150</v>
      </c>
    </row>
    <row r="156" spans="1:29">
      <c r="A156" s="315" t="s">
        <v>1725</v>
      </c>
      <c r="B156" s="315" t="s">
        <v>1430</v>
      </c>
      <c r="C156" s="329">
        <v>3.46408305555555</v>
      </c>
      <c r="D156" s="329">
        <v>112.392222</v>
      </c>
      <c r="E156" s="316" t="s">
        <v>1433</v>
      </c>
      <c r="F156" s="316" t="s">
        <v>1433</v>
      </c>
      <c r="G156" s="317">
        <v>24.317933147080918</v>
      </c>
      <c r="H156" s="317">
        <v>4.4579600820733809</v>
      </c>
      <c r="I156" s="317">
        <v>4.4579600820733809</v>
      </c>
      <c r="J156" s="317">
        <v>4.4579600820733809</v>
      </c>
      <c r="K156" s="318">
        <v>18.331985926232004</v>
      </c>
      <c r="L156" s="318">
        <v>49.974101073564</v>
      </c>
      <c r="M156" s="319">
        <v>40.059517571241699</v>
      </c>
      <c r="N156" s="319">
        <v>21.727531645009694</v>
      </c>
      <c r="O156" s="319">
        <f t="shared" si="2"/>
        <v>21.727531645009694</v>
      </c>
      <c r="P156" s="317">
        <v>5.2836866199443087</v>
      </c>
      <c r="Q156" s="315" t="s">
        <v>1148</v>
      </c>
      <c r="R156" s="318">
        <v>196</v>
      </c>
      <c r="T156" s="320">
        <v>91.111111111111114</v>
      </c>
      <c r="U156" s="318">
        <v>37</v>
      </c>
      <c r="V156" s="318">
        <v>87</v>
      </c>
      <c r="W156" s="318">
        <v>59</v>
      </c>
      <c r="X156" s="315">
        <v>0.25</v>
      </c>
      <c r="Y156" s="318">
        <v>1000</v>
      </c>
      <c r="Z156" s="315">
        <v>3</v>
      </c>
      <c r="AA156" s="315" t="s">
        <v>1149</v>
      </c>
      <c r="AB156" s="315">
        <v>0</v>
      </c>
      <c r="AC156" s="315" t="s">
        <v>1190</v>
      </c>
    </row>
    <row r="157" spans="1:29">
      <c r="A157" s="315" t="s">
        <v>1729</v>
      </c>
      <c r="B157" s="315" t="s">
        <v>1430</v>
      </c>
      <c r="C157" s="329">
        <v>3.43736055555555</v>
      </c>
      <c r="D157" s="329">
        <v>112.392222</v>
      </c>
      <c r="E157" s="316" t="s">
        <v>1434</v>
      </c>
      <c r="F157" s="316" t="s">
        <v>1434</v>
      </c>
      <c r="G157" s="317">
        <v>7.0666828862216775</v>
      </c>
      <c r="H157" s="317">
        <v>1.1847970000000001</v>
      </c>
      <c r="I157" s="317">
        <v>1.1847970000000001</v>
      </c>
      <c r="J157" s="317">
        <v>3.1913470248711957</v>
      </c>
      <c r="K157" s="318">
        <v>45.160467453457557</v>
      </c>
      <c r="L157" s="318">
        <v>50.069683427517099</v>
      </c>
      <c r="M157" s="319">
        <v>40.285556527496404</v>
      </c>
      <c r="N157" s="319">
        <v>-4.8749109259611529</v>
      </c>
      <c r="O157" s="319">
        <f t="shared" si="2"/>
        <v>0</v>
      </c>
      <c r="P157" s="317">
        <v>0</v>
      </c>
      <c r="Q157" s="315" t="s">
        <v>1148</v>
      </c>
      <c r="R157" s="318">
        <v>197</v>
      </c>
      <c r="T157" s="320">
        <v>91.666666666666671</v>
      </c>
      <c r="U157" s="318">
        <v>37</v>
      </c>
      <c r="V157" s="318">
        <v>40</v>
      </c>
      <c r="W157" s="318">
        <v>71</v>
      </c>
      <c r="X157" s="315">
        <v>0.24</v>
      </c>
      <c r="Y157" s="318">
        <v>600</v>
      </c>
      <c r="Z157" s="315">
        <v>0</v>
      </c>
      <c r="AA157" s="315" t="s">
        <v>1149</v>
      </c>
      <c r="AB157" s="315">
        <v>0</v>
      </c>
      <c r="AC157" s="315" t="s">
        <v>1435</v>
      </c>
    </row>
    <row r="158" spans="1:29">
      <c r="A158" s="315" t="s">
        <v>1731</v>
      </c>
      <c r="B158" s="315" t="s">
        <v>1430</v>
      </c>
      <c r="C158" s="329">
        <v>3.4512744444444401</v>
      </c>
      <c r="D158" s="329">
        <v>112.392222</v>
      </c>
      <c r="E158" s="316" t="s">
        <v>1436</v>
      </c>
      <c r="F158" s="316" t="s">
        <v>1436</v>
      </c>
      <c r="G158" s="317">
        <v>32.507843741912865</v>
      </c>
      <c r="H158" s="317">
        <v>9.9391874325525382</v>
      </c>
      <c r="I158" s="317">
        <v>11.364643499182041</v>
      </c>
      <c r="J158" s="317">
        <v>11.364643499182041</v>
      </c>
      <c r="K158" s="318">
        <v>34.959696464055014</v>
      </c>
      <c r="L158" s="318">
        <v>45.246474931423798</v>
      </c>
      <c r="M158" s="319">
        <v>42.821223227121202</v>
      </c>
      <c r="N158" s="319">
        <v>7.8615267630661876</v>
      </c>
      <c r="O158" s="319">
        <f t="shared" si="2"/>
        <v>7.8615267630661876</v>
      </c>
      <c r="P158" s="317">
        <v>2.5556128358662167</v>
      </c>
      <c r="Q158" s="315" t="s">
        <v>1148</v>
      </c>
      <c r="R158" s="318">
        <v>197</v>
      </c>
      <c r="T158" s="320">
        <v>91.666666666666671</v>
      </c>
      <c r="U158" s="318">
        <v>37</v>
      </c>
      <c r="V158" s="318">
        <v>79</v>
      </c>
      <c r="W158" s="318">
        <v>79</v>
      </c>
      <c r="X158" s="315">
        <v>0.3</v>
      </c>
      <c r="Y158" s="318">
        <v>2000</v>
      </c>
      <c r="Z158" s="315">
        <v>3</v>
      </c>
      <c r="AA158" s="315" t="s">
        <v>1149</v>
      </c>
      <c r="AB158" s="315">
        <v>0</v>
      </c>
      <c r="AC158" s="315" t="s">
        <v>1150</v>
      </c>
    </row>
    <row r="159" spans="1:29">
      <c r="A159" s="315" t="s">
        <v>1733</v>
      </c>
      <c r="B159" s="315" t="s">
        <v>1430</v>
      </c>
      <c r="C159" s="329">
        <v>3.438015</v>
      </c>
      <c r="D159" s="329">
        <v>112.392222</v>
      </c>
      <c r="E159" s="316" t="s">
        <v>1437</v>
      </c>
      <c r="F159" s="316" t="s">
        <v>1437</v>
      </c>
      <c r="G159" s="317">
        <v>55.27889766166691</v>
      </c>
      <c r="H159" s="317">
        <v>10.573213103629167</v>
      </c>
      <c r="I159" s="317">
        <v>12.907576677006004</v>
      </c>
      <c r="J159" s="317">
        <v>12.980974948002443</v>
      </c>
      <c r="K159" s="318">
        <v>23.48269501944878</v>
      </c>
      <c r="L159" s="318">
        <v>55.986925095966598</v>
      </c>
      <c r="M159" s="319">
        <v>38.072488903895504</v>
      </c>
      <c r="N159" s="319">
        <v>14.589793884446724</v>
      </c>
      <c r="O159" s="319">
        <f t="shared" si="2"/>
        <v>14.589793884446724</v>
      </c>
      <c r="P159" s="317">
        <v>8.0650772304314433</v>
      </c>
      <c r="Q159" s="315" t="s">
        <v>1148</v>
      </c>
      <c r="R159" s="318">
        <v>197</v>
      </c>
      <c r="T159" s="320">
        <v>91.666666666666671</v>
      </c>
      <c r="U159" s="318">
        <v>37</v>
      </c>
      <c r="V159" s="318">
        <v>75</v>
      </c>
      <c r="W159" s="318">
        <v>319</v>
      </c>
      <c r="X159" s="315">
        <v>0.21</v>
      </c>
      <c r="Y159" s="318">
        <v>50</v>
      </c>
      <c r="Z159" s="315">
        <v>12</v>
      </c>
      <c r="AA159" s="315" t="s">
        <v>1149</v>
      </c>
      <c r="AB159" s="315">
        <v>0</v>
      </c>
      <c r="AC159" s="315" t="s">
        <v>1190</v>
      </c>
    </row>
    <row r="160" spans="1:29">
      <c r="A160" s="315" t="s">
        <v>1735</v>
      </c>
      <c r="B160" s="315" t="s">
        <v>1430</v>
      </c>
      <c r="C160" s="329">
        <v>3.43161069444445</v>
      </c>
      <c r="D160" s="329">
        <v>112.392222</v>
      </c>
      <c r="E160" s="316" t="s">
        <v>1438</v>
      </c>
      <c r="F160" s="316" t="s">
        <v>1438</v>
      </c>
      <c r="G160" s="317">
        <v>100.16914639035384</v>
      </c>
      <c r="H160" s="317">
        <v>16.812197095088784</v>
      </c>
      <c r="I160" s="317">
        <v>19.146560668465625</v>
      </c>
      <c r="J160" s="317">
        <v>21.813134381754491</v>
      </c>
      <c r="K160" s="318">
        <v>21.776300555412405</v>
      </c>
      <c r="L160" s="318">
        <v>61.171814096989898</v>
      </c>
      <c r="M160" s="319">
        <v>32.3204511050779</v>
      </c>
      <c r="N160" s="319">
        <v>10.544150549665495</v>
      </c>
      <c r="O160" s="319">
        <f t="shared" si="2"/>
        <v>10.544150549665495</v>
      </c>
      <c r="P160" s="317">
        <v>10.561985599713729</v>
      </c>
      <c r="Q160" s="315" t="s">
        <v>1148</v>
      </c>
      <c r="R160" s="318">
        <v>197</v>
      </c>
      <c r="T160" s="320">
        <v>91.666666666666671</v>
      </c>
      <c r="U160" s="318">
        <v>37</v>
      </c>
      <c r="V160" s="318">
        <v>90</v>
      </c>
      <c r="W160" s="318">
        <v>106</v>
      </c>
      <c r="X160" s="315">
        <v>0.21</v>
      </c>
      <c r="Y160" s="318">
        <v>30</v>
      </c>
      <c r="Z160" s="315">
        <v>2</v>
      </c>
      <c r="AA160" s="315" t="s">
        <v>1149</v>
      </c>
      <c r="AB160" s="315">
        <v>0</v>
      </c>
      <c r="AC160" s="315" t="s">
        <v>1190</v>
      </c>
    </row>
    <row r="161" spans="1:29">
      <c r="A161" s="315" t="s">
        <v>1145</v>
      </c>
      <c r="B161" s="315" t="s">
        <v>1430</v>
      </c>
      <c r="C161" s="329">
        <v>3.4251816666666701</v>
      </c>
      <c r="D161" s="329">
        <v>112.392222</v>
      </c>
      <c r="E161" s="316" t="s">
        <v>1439</v>
      </c>
      <c r="F161" s="316" t="s">
        <v>1439</v>
      </c>
      <c r="G161" s="317">
        <v>34.646357943692351</v>
      </c>
      <c r="H161" s="317">
        <v>13.483028785970925</v>
      </c>
      <c r="I161" s="317">
        <v>15.729633763116595</v>
      </c>
      <c r="J161" s="317">
        <v>15.729633763116595</v>
      </c>
      <c r="K161" s="318">
        <v>45.400540480129465</v>
      </c>
      <c r="L161" s="318">
        <v>45.544540039787499</v>
      </c>
      <c r="M161" s="319">
        <v>43.843118734813601</v>
      </c>
      <c r="N161" s="319">
        <v>-1.5574217453158639</v>
      </c>
      <c r="O161" s="319">
        <f t="shared" si="2"/>
        <v>0</v>
      </c>
      <c r="P161" s="317">
        <v>0</v>
      </c>
      <c r="Q161" s="315" t="s">
        <v>1148</v>
      </c>
      <c r="R161" s="318">
        <v>203</v>
      </c>
      <c r="T161" s="320">
        <v>95</v>
      </c>
      <c r="U161" s="318">
        <v>37</v>
      </c>
      <c r="V161" s="318">
        <v>51</v>
      </c>
      <c r="W161" s="318">
        <v>257</v>
      </c>
      <c r="X161" s="315">
        <v>0.25</v>
      </c>
      <c r="Y161" s="318">
        <v>1000</v>
      </c>
      <c r="Z161" s="315">
        <v>7</v>
      </c>
      <c r="AA161" s="315" t="s">
        <v>1440</v>
      </c>
      <c r="AB161" s="315">
        <v>1</v>
      </c>
      <c r="AC161" s="315" t="s">
        <v>1150</v>
      </c>
    </row>
    <row r="162" spans="1:29">
      <c r="A162" s="315" t="s">
        <v>1813</v>
      </c>
      <c r="B162" s="315" t="s">
        <v>1430</v>
      </c>
      <c r="C162" s="329">
        <v>3.4187526388888898</v>
      </c>
      <c r="D162" s="329">
        <v>112.392222</v>
      </c>
      <c r="E162" s="316" t="s">
        <v>1442</v>
      </c>
      <c r="F162" s="316" t="s">
        <v>1442</v>
      </c>
      <c r="G162" s="317">
        <v>8.5213057868070283</v>
      </c>
      <c r="H162" s="317">
        <v>3.339194</v>
      </c>
      <c r="I162" s="317">
        <v>3.339194</v>
      </c>
      <c r="J162" s="317">
        <v>6.6356689384810181</v>
      </c>
      <c r="K162" s="318">
        <v>77.87150355236146</v>
      </c>
      <c r="L162" s="318">
        <v>48.595723216149203</v>
      </c>
      <c r="M162" s="319">
        <v>43.142312100458199</v>
      </c>
      <c r="N162" s="319">
        <v>-34.729191451903262</v>
      </c>
      <c r="O162" s="319">
        <f t="shared" si="2"/>
        <v>0</v>
      </c>
      <c r="P162" s="317">
        <v>0</v>
      </c>
      <c r="Q162" s="315" t="s">
        <v>1148</v>
      </c>
      <c r="R162" s="318">
        <v>203</v>
      </c>
      <c r="T162" s="320">
        <v>95</v>
      </c>
      <c r="U162" s="318">
        <v>37</v>
      </c>
      <c r="V162" s="318">
        <v>41</v>
      </c>
      <c r="W162" s="318">
        <v>126</v>
      </c>
      <c r="X162" s="315">
        <v>0.25</v>
      </c>
      <c r="Y162" s="318">
        <v>1000</v>
      </c>
      <c r="Z162" s="315">
        <v>3</v>
      </c>
      <c r="AA162" s="315" t="s">
        <v>1149</v>
      </c>
      <c r="AB162" s="315">
        <v>0</v>
      </c>
      <c r="AC162" s="315" t="s">
        <v>1190</v>
      </c>
    </row>
    <row r="163" spans="1:29">
      <c r="A163" s="315" t="s">
        <v>1872</v>
      </c>
      <c r="B163" s="315" t="s">
        <v>1430</v>
      </c>
      <c r="C163" s="329">
        <v>3.4123236111111201</v>
      </c>
      <c r="D163" s="329">
        <v>112.392222</v>
      </c>
      <c r="E163" s="316" t="s">
        <v>1443</v>
      </c>
      <c r="F163" s="316" t="s">
        <v>1443</v>
      </c>
      <c r="G163" s="317">
        <v>15.404924379190533</v>
      </c>
      <c r="H163" s="317">
        <v>1.3076359999999998</v>
      </c>
      <c r="I163" s="317">
        <v>1.3076359999999998</v>
      </c>
      <c r="J163" s="317">
        <v>1.3076359999999998</v>
      </c>
      <c r="K163" s="318">
        <v>8.4884285557830879</v>
      </c>
      <c r="L163" s="318">
        <v>58.880947113033102</v>
      </c>
      <c r="M163" s="319">
        <v>36.372820871739201</v>
      </c>
      <c r="N163" s="319">
        <v>27.884392315956113</v>
      </c>
      <c r="O163" s="319">
        <f t="shared" si="2"/>
        <v>27.884392315956113</v>
      </c>
      <c r="P163" s="317">
        <v>4.295569549869855</v>
      </c>
      <c r="Q163" s="315" t="s">
        <v>1148</v>
      </c>
      <c r="R163" s="318">
        <v>207</v>
      </c>
      <c r="T163" s="320">
        <v>97.222222222222229</v>
      </c>
      <c r="U163" s="318">
        <v>37</v>
      </c>
      <c r="V163" s="318">
        <v>75</v>
      </c>
      <c r="W163" s="318">
        <v>254</v>
      </c>
      <c r="X163" s="315">
        <v>0.19</v>
      </c>
      <c r="Y163" s="318">
        <v>5</v>
      </c>
      <c r="Z163" s="315">
        <v>6</v>
      </c>
      <c r="AA163" s="315" t="s">
        <v>1149</v>
      </c>
      <c r="AB163" s="315">
        <v>0</v>
      </c>
      <c r="AC163" s="315" t="s">
        <v>1190</v>
      </c>
    </row>
    <row r="164" spans="1:29">
      <c r="A164" s="315" t="s">
        <v>1874</v>
      </c>
      <c r="B164" s="315" t="s">
        <v>1430</v>
      </c>
      <c r="C164" s="329">
        <v>3.4058945833333398</v>
      </c>
      <c r="D164" s="329">
        <v>112.392222</v>
      </c>
      <c r="E164" s="316" t="s">
        <v>1444</v>
      </c>
      <c r="F164" s="316" t="s">
        <v>1444</v>
      </c>
      <c r="G164" s="317">
        <v>11.051956796668938</v>
      </c>
      <c r="H164" s="317">
        <v>4.6291429914596227</v>
      </c>
      <c r="I164" s="317">
        <v>4.6291429914596227</v>
      </c>
      <c r="J164" s="317">
        <v>6.922342917505043</v>
      </c>
      <c r="K164" s="318">
        <v>62.634545581932052</v>
      </c>
      <c r="L164" s="318">
        <v>58.834979040752003</v>
      </c>
      <c r="M164" s="319">
        <v>37.767292697044503</v>
      </c>
      <c r="N164" s="319">
        <v>-24.867252884887549</v>
      </c>
      <c r="O164" s="319">
        <f t="shared" si="2"/>
        <v>0</v>
      </c>
      <c r="P164" s="317">
        <v>0</v>
      </c>
      <c r="Q164" s="315" t="s">
        <v>1148</v>
      </c>
      <c r="R164" s="318">
        <v>207</v>
      </c>
      <c r="T164" s="320">
        <v>97.222222222222229</v>
      </c>
      <c r="U164" s="318">
        <v>37</v>
      </c>
      <c r="V164" s="318">
        <v>75</v>
      </c>
      <c r="W164" s="318">
        <v>177</v>
      </c>
      <c r="X164" s="315">
        <v>0.19</v>
      </c>
      <c r="Y164" s="318">
        <v>50</v>
      </c>
      <c r="Z164" s="315">
        <v>3</v>
      </c>
      <c r="AA164" s="315" t="s">
        <v>1154</v>
      </c>
      <c r="AB164" s="315">
        <v>0</v>
      </c>
      <c r="AC164" s="315" t="s">
        <v>1190</v>
      </c>
    </row>
    <row r="165" spans="1:29">
      <c r="A165" s="315" t="s">
        <v>1883</v>
      </c>
      <c r="B165" s="315" t="s">
        <v>1430</v>
      </c>
      <c r="C165" s="329">
        <v>3.3994655555555702</v>
      </c>
      <c r="D165" s="329">
        <v>112.392222</v>
      </c>
      <c r="E165" s="316" t="s">
        <v>1445</v>
      </c>
      <c r="F165" s="316" t="s">
        <v>1445</v>
      </c>
      <c r="G165" s="317">
        <v>13.902077999999999</v>
      </c>
      <c r="H165" s="317">
        <v>0</v>
      </c>
      <c r="I165" s="317">
        <v>0</v>
      </c>
      <c r="J165" s="317">
        <v>0</v>
      </c>
      <c r="K165" s="318">
        <v>0</v>
      </c>
      <c r="L165" s="318">
        <v>60.0078863572449</v>
      </c>
      <c r="M165" s="319">
        <v>32.419245959186597</v>
      </c>
      <c r="N165" s="319">
        <v>32.419245959186597</v>
      </c>
      <c r="O165" s="319">
        <f t="shared" si="2"/>
        <v>32.419245959186597</v>
      </c>
      <c r="P165" s="317">
        <v>4.5069488602579693</v>
      </c>
      <c r="Q165" s="315" t="s">
        <v>1168</v>
      </c>
      <c r="R165" s="318">
        <v>208</v>
      </c>
      <c r="T165" s="320">
        <v>97.777777777777771</v>
      </c>
      <c r="U165" s="318">
        <v>37</v>
      </c>
      <c r="V165" s="318">
        <v>70</v>
      </c>
      <c r="W165" s="318">
        <v>128</v>
      </c>
      <c r="X165" s="315">
        <v>0.21</v>
      </c>
      <c r="Y165" s="318">
        <v>30</v>
      </c>
      <c r="Z165" s="315">
        <v>0</v>
      </c>
      <c r="AA165" s="315" t="s">
        <v>1149</v>
      </c>
      <c r="AB165" s="315">
        <v>0</v>
      </c>
      <c r="AC165" s="315" t="s">
        <v>1435</v>
      </c>
    </row>
    <row r="166" spans="1:29">
      <c r="A166" s="315" t="s">
        <v>1890</v>
      </c>
      <c r="B166" s="315" t="s">
        <v>1430</v>
      </c>
      <c r="C166" s="329">
        <v>3.3930365277777899</v>
      </c>
      <c r="D166" s="329">
        <v>112.392222</v>
      </c>
      <c r="E166" s="316" t="s">
        <v>1446</v>
      </c>
      <c r="F166" s="316" t="s">
        <v>1446</v>
      </c>
      <c r="G166" s="317">
        <v>118.52425972328194</v>
      </c>
      <c r="H166" s="317">
        <v>58.969896325500635</v>
      </c>
      <c r="I166" s="317">
        <v>60.307593795898974</v>
      </c>
      <c r="J166" s="317">
        <v>60.307593795898974</v>
      </c>
      <c r="K166" s="318">
        <v>50.882067465933844</v>
      </c>
      <c r="L166" s="318">
        <v>44.879246662134598</v>
      </c>
      <c r="M166" s="319">
        <v>43.504639659027198</v>
      </c>
      <c r="N166" s="319">
        <v>-7.3774278069066455</v>
      </c>
      <c r="O166" s="319">
        <f t="shared" si="2"/>
        <v>0</v>
      </c>
      <c r="P166" s="317">
        <v>0</v>
      </c>
      <c r="Q166" s="315" t="s">
        <v>1148</v>
      </c>
      <c r="R166" s="318">
        <v>210</v>
      </c>
      <c r="T166" s="320">
        <v>98.888888888888886</v>
      </c>
      <c r="U166" s="318">
        <v>37</v>
      </c>
      <c r="V166" s="318">
        <v>181</v>
      </c>
      <c r="W166" s="318">
        <v>248</v>
      </c>
      <c r="X166" s="315">
        <v>0.24</v>
      </c>
      <c r="Y166" s="318">
        <v>1000</v>
      </c>
      <c r="Z166" s="315">
        <v>22</v>
      </c>
      <c r="AA166" s="315" t="s">
        <v>1149</v>
      </c>
      <c r="AB166" s="315">
        <v>0</v>
      </c>
      <c r="AC166" s="315" t="s">
        <v>1150</v>
      </c>
    </row>
    <row r="167" spans="1:29">
      <c r="A167" s="315" t="s">
        <v>1926</v>
      </c>
      <c r="B167" s="315" t="s">
        <v>1430</v>
      </c>
      <c r="C167" s="329">
        <v>3.38660750000001</v>
      </c>
      <c r="D167" s="329">
        <v>112.392222</v>
      </c>
      <c r="E167" s="316" t="s">
        <v>1447</v>
      </c>
      <c r="F167" s="316" t="s">
        <v>1447</v>
      </c>
      <c r="G167" s="317">
        <v>14.006970373535166</v>
      </c>
      <c r="H167" s="317">
        <v>4.4251880000000003</v>
      </c>
      <c r="I167" s="317">
        <v>4.4251880000000003</v>
      </c>
      <c r="J167" s="317">
        <v>4.4251880000000003</v>
      </c>
      <c r="K167" s="318">
        <v>31.592756192024012</v>
      </c>
      <c r="L167" s="318">
        <v>45.059357298261901</v>
      </c>
      <c r="M167" s="319">
        <v>41.6620844583394</v>
      </c>
      <c r="N167" s="319">
        <v>10.069328266315388</v>
      </c>
      <c r="O167" s="319">
        <f t="shared" si="2"/>
        <v>10.069328266315388</v>
      </c>
      <c r="P167" s="317">
        <v>1.4104078270767986</v>
      </c>
      <c r="Q167" s="315" t="s">
        <v>1148</v>
      </c>
      <c r="R167" s="318">
        <v>217</v>
      </c>
      <c r="T167" s="320">
        <v>102.77777777777777</v>
      </c>
      <c r="U167" s="318">
        <v>37</v>
      </c>
      <c r="V167" s="318">
        <v>72</v>
      </c>
      <c r="W167" s="318">
        <v>88</v>
      </c>
      <c r="X167" s="315">
        <v>0.23</v>
      </c>
      <c r="Y167" s="318">
        <v>600</v>
      </c>
      <c r="Z167" s="315">
        <v>6</v>
      </c>
      <c r="AA167" s="315" t="s">
        <v>1149</v>
      </c>
      <c r="AB167" s="315">
        <v>0</v>
      </c>
      <c r="AC167" s="315" t="s">
        <v>1150</v>
      </c>
    </row>
    <row r="168" spans="1:29">
      <c r="A168" s="315" t="s">
        <v>1926</v>
      </c>
      <c r="B168" s="315" t="s">
        <v>1430</v>
      </c>
      <c r="C168" s="329">
        <v>3.3801784722222399</v>
      </c>
      <c r="D168" s="329">
        <v>112.392222</v>
      </c>
      <c r="E168" s="316" t="s">
        <v>1448</v>
      </c>
      <c r="F168" s="316" t="s">
        <v>1448</v>
      </c>
      <c r="G168" s="317">
        <v>8.9780789269256651</v>
      </c>
      <c r="H168" s="317">
        <v>2.280402</v>
      </c>
      <c r="I168" s="317">
        <v>2.280402</v>
      </c>
      <c r="J168" s="317">
        <v>2.280402</v>
      </c>
      <c r="K168" s="318">
        <v>25.399665324404435</v>
      </c>
      <c r="L168" s="318">
        <v>46.729801723480598</v>
      </c>
      <c r="M168" s="319">
        <v>41.602287214509396</v>
      </c>
      <c r="N168" s="319">
        <v>16.202621890104961</v>
      </c>
      <c r="O168" s="319">
        <f t="shared" si="2"/>
        <v>16.202621890104961</v>
      </c>
      <c r="P168" s="317">
        <v>1.4546841815249585</v>
      </c>
      <c r="Q168" s="315" t="s">
        <v>1148</v>
      </c>
      <c r="R168" s="318">
        <v>217</v>
      </c>
      <c r="T168" s="320">
        <v>102.77777777777777</v>
      </c>
      <c r="U168" s="318">
        <v>37</v>
      </c>
      <c r="V168" s="318">
        <v>86</v>
      </c>
      <c r="W168" s="318">
        <v>70</v>
      </c>
      <c r="X168" s="315">
        <v>0.21</v>
      </c>
      <c r="Y168" s="318">
        <v>500</v>
      </c>
      <c r="Z168" s="315">
        <v>3</v>
      </c>
      <c r="AA168" s="315" t="s">
        <v>1149</v>
      </c>
      <c r="AB168" s="315">
        <v>0</v>
      </c>
      <c r="AC168" s="315" t="s">
        <v>1150</v>
      </c>
    </row>
    <row r="169" spans="1:29">
      <c r="A169" s="315" t="s">
        <v>1955</v>
      </c>
      <c r="B169" s="315" t="s">
        <v>1430</v>
      </c>
      <c r="C169" s="329">
        <v>3.37374944444446</v>
      </c>
      <c r="D169" s="329">
        <v>112.392222</v>
      </c>
      <c r="E169" s="316" t="s">
        <v>1449</v>
      </c>
      <c r="F169" s="316" t="s">
        <v>1449</v>
      </c>
      <c r="G169" s="317">
        <v>21.9053453341675</v>
      </c>
      <c r="H169" s="317">
        <v>3.9292871544307197</v>
      </c>
      <c r="I169" s="317">
        <v>4.6489026147355546</v>
      </c>
      <c r="J169" s="317">
        <v>5.6090727801947038</v>
      </c>
      <c r="K169" s="318">
        <v>25.605954595227448</v>
      </c>
      <c r="L169" s="318">
        <v>64.976987126153503</v>
      </c>
      <c r="M169" s="319">
        <v>30.731083505407902</v>
      </c>
      <c r="N169" s="319">
        <v>5.1251289101804538</v>
      </c>
      <c r="O169" s="319">
        <f t="shared" si="2"/>
        <v>5.1251289101804538</v>
      </c>
      <c r="P169" s="317">
        <v>1.1226771865962837</v>
      </c>
      <c r="Q169" s="315" t="s">
        <v>1148</v>
      </c>
      <c r="R169" s="318">
        <v>225</v>
      </c>
      <c r="T169" s="320">
        <v>107.22222222222223</v>
      </c>
      <c r="U169" s="318">
        <v>37</v>
      </c>
      <c r="V169" s="318">
        <v>187</v>
      </c>
      <c r="W169" s="318">
        <v>130</v>
      </c>
      <c r="X169" s="315">
        <v>0.16</v>
      </c>
      <c r="Y169" s="318">
        <v>50</v>
      </c>
      <c r="Z169" s="315">
        <v>3</v>
      </c>
      <c r="AA169" s="315" t="s">
        <v>1149</v>
      </c>
      <c r="AB169" s="315">
        <v>0</v>
      </c>
      <c r="AC169" s="315" t="s">
        <v>1190</v>
      </c>
    </row>
    <row r="170" spans="1:29">
      <c r="A170" s="315" t="s">
        <v>1957</v>
      </c>
      <c r="B170" s="315" t="s">
        <v>1430</v>
      </c>
      <c r="C170" s="329">
        <v>3.3673204166666899</v>
      </c>
      <c r="D170" s="329">
        <v>112.392222</v>
      </c>
      <c r="E170" s="316" t="s">
        <v>1450</v>
      </c>
      <c r="F170" s="316" t="s">
        <v>1450</v>
      </c>
      <c r="G170" s="317">
        <v>26.515973082122819</v>
      </c>
      <c r="H170" s="317">
        <v>5.0450242346819847</v>
      </c>
      <c r="I170" s="317">
        <v>5.7646396949868191</v>
      </c>
      <c r="J170" s="317">
        <v>5.7646396949868191</v>
      </c>
      <c r="K170" s="318">
        <v>21.740253232016453</v>
      </c>
      <c r="L170" s="318">
        <v>49.578306443317501</v>
      </c>
      <c r="M170" s="319">
        <v>40.451668855161699</v>
      </c>
      <c r="N170" s="319">
        <v>18.711415623145246</v>
      </c>
      <c r="O170" s="319">
        <f t="shared" si="2"/>
        <v>18.711415623145246</v>
      </c>
      <c r="P170" s="317">
        <v>4.9615139299173174</v>
      </c>
      <c r="Q170" s="315" t="s">
        <v>1148</v>
      </c>
      <c r="R170" s="318">
        <v>225</v>
      </c>
      <c r="T170" s="320">
        <v>107.22222222222223</v>
      </c>
      <c r="U170" s="318">
        <v>37</v>
      </c>
      <c r="V170" s="318">
        <v>339</v>
      </c>
      <c r="W170" s="318">
        <v>47</v>
      </c>
      <c r="X170" s="315">
        <v>0.2</v>
      </c>
      <c r="Y170" s="318">
        <v>480</v>
      </c>
      <c r="Z170" s="315">
        <v>7</v>
      </c>
      <c r="AA170" s="315" t="s">
        <v>1149</v>
      </c>
      <c r="AB170" s="315">
        <v>0</v>
      </c>
      <c r="AC170" s="315" t="s">
        <v>1190</v>
      </c>
    </row>
    <row r="171" spans="1:29">
      <c r="A171" s="315" t="s">
        <v>1145</v>
      </c>
      <c r="B171" s="315" t="s">
        <v>1451</v>
      </c>
      <c r="C171" s="329">
        <v>5.4104950000000001</v>
      </c>
      <c r="D171" s="329">
        <v>104.98</v>
      </c>
      <c r="E171" s="316" t="s">
        <v>1452</v>
      </c>
      <c r="F171" s="316" t="s">
        <v>1452</v>
      </c>
      <c r="G171" s="317">
        <v>19.372999999999998</v>
      </c>
      <c r="H171" s="317">
        <v>3.8464589</v>
      </c>
      <c r="I171" s="317">
        <v>4.0150799535328376</v>
      </c>
      <c r="J171" s="317">
        <v>4.053379803334284</v>
      </c>
      <c r="K171" s="318">
        <v>20.922829728665075</v>
      </c>
      <c r="L171" s="318">
        <v>62.718316872534103</v>
      </c>
      <c r="M171" s="319">
        <v>37.000917495144499</v>
      </c>
      <c r="N171" s="319">
        <v>16.078087766479424</v>
      </c>
      <c r="O171" s="319">
        <f t="shared" si="2"/>
        <v>16.078087766479424</v>
      </c>
      <c r="P171" s="317">
        <v>3.1148079430000584</v>
      </c>
      <c r="Q171" s="315" t="s">
        <v>1148</v>
      </c>
      <c r="R171" s="318">
        <v>210</v>
      </c>
      <c r="T171" s="320">
        <v>98.888888888888886</v>
      </c>
      <c r="U171" s="318">
        <v>48.9</v>
      </c>
      <c r="V171" s="318">
        <v>34.81</v>
      </c>
      <c r="W171" s="318">
        <v>152</v>
      </c>
      <c r="X171" s="315">
        <v>0.22</v>
      </c>
      <c r="Y171" s="318">
        <v>37</v>
      </c>
      <c r="Z171" s="315">
        <v>3</v>
      </c>
      <c r="AA171" s="315" t="s">
        <v>1149</v>
      </c>
      <c r="AB171" s="315">
        <v>0</v>
      </c>
      <c r="AC171" s="315" t="s">
        <v>1190</v>
      </c>
    </row>
    <row r="172" spans="1:29">
      <c r="A172" s="315" t="s">
        <v>1145</v>
      </c>
      <c r="B172" s="315" t="s">
        <v>1451</v>
      </c>
      <c r="C172" s="329">
        <v>5.4334741666666604</v>
      </c>
      <c r="D172" s="329">
        <v>104.98</v>
      </c>
      <c r="E172" s="316" t="s">
        <v>1453</v>
      </c>
      <c r="F172" s="316" t="s">
        <v>1453</v>
      </c>
      <c r="G172" s="317">
        <v>401.59999999999997</v>
      </c>
      <c r="H172" s="317">
        <v>173.8820849</v>
      </c>
      <c r="I172" s="317">
        <v>177.85388720988581</v>
      </c>
      <c r="J172" s="317">
        <v>178.45145052520553</v>
      </c>
      <c r="K172" s="318">
        <v>44.435122142730464</v>
      </c>
      <c r="L172" s="318">
        <v>45.055825751802999</v>
      </c>
      <c r="M172" s="319">
        <v>44.306405708513203</v>
      </c>
      <c r="N172" s="319">
        <v>-0.1287164342172602</v>
      </c>
      <c r="O172" s="319">
        <f t="shared" si="2"/>
        <v>0</v>
      </c>
      <c r="P172" s="317">
        <v>0</v>
      </c>
      <c r="Q172" s="315" t="s">
        <v>1148</v>
      </c>
      <c r="R172" s="318">
        <v>216</v>
      </c>
      <c r="T172" s="320">
        <v>102.22222222222223</v>
      </c>
      <c r="U172" s="318">
        <v>47.6</v>
      </c>
      <c r="V172" s="318">
        <v>105.24</v>
      </c>
      <c r="W172" s="318">
        <v>364</v>
      </c>
      <c r="X172" s="315">
        <v>0.23</v>
      </c>
      <c r="Y172" s="318">
        <v>290</v>
      </c>
      <c r="Z172" s="315">
        <v>34</v>
      </c>
      <c r="AA172" s="315" t="s">
        <v>1440</v>
      </c>
      <c r="AB172" s="315">
        <v>3</v>
      </c>
      <c r="AC172" s="315" t="s">
        <v>1190</v>
      </c>
    </row>
    <row r="173" spans="1:29">
      <c r="A173" s="315" t="s">
        <v>1145</v>
      </c>
      <c r="B173" s="315" t="s">
        <v>1451</v>
      </c>
      <c r="C173" s="329">
        <v>5.4128433333333303</v>
      </c>
      <c r="D173" s="329">
        <v>104.98</v>
      </c>
      <c r="E173" s="316" t="s">
        <v>1455</v>
      </c>
      <c r="F173" s="316" t="s">
        <v>1455</v>
      </c>
      <c r="G173" s="317">
        <v>66.899999999999991</v>
      </c>
      <c r="H173" s="317">
        <v>4.3323824000000002</v>
      </c>
      <c r="I173" s="317">
        <v>5.4601533673348399</v>
      </c>
      <c r="J173" s="317">
        <v>8.3528507391930962</v>
      </c>
      <c r="K173" s="318">
        <v>12.485576590722118</v>
      </c>
      <c r="L173" s="318">
        <v>58.461063898569797</v>
      </c>
      <c r="M173" s="319">
        <v>35.095332903179397</v>
      </c>
      <c r="N173" s="319">
        <v>22.609756312457279</v>
      </c>
      <c r="O173" s="319">
        <f t="shared" si="2"/>
        <v>22.609756312457279</v>
      </c>
      <c r="P173" s="317">
        <v>15.125926973033918</v>
      </c>
      <c r="Q173" s="315" t="s">
        <v>1148</v>
      </c>
      <c r="R173" s="318">
        <v>216</v>
      </c>
      <c r="T173" s="320">
        <v>102.22222222222223</v>
      </c>
      <c r="U173" s="318">
        <v>47.6</v>
      </c>
      <c r="V173" s="318">
        <v>66.569999999999993</v>
      </c>
      <c r="W173" s="318">
        <v>328</v>
      </c>
      <c r="X173" s="315">
        <v>0.23</v>
      </c>
      <c r="Y173" s="318">
        <v>33</v>
      </c>
      <c r="Z173" s="315">
        <v>15</v>
      </c>
      <c r="AA173" s="315" t="s">
        <v>1149</v>
      </c>
      <c r="AB173" s="315">
        <v>0</v>
      </c>
      <c r="AC173" s="315" t="s">
        <v>1190</v>
      </c>
    </row>
    <row r="174" spans="1:29">
      <c r="A174" s="315" t="s">
        <v>1145</v>
      </c>
      <c r="B174" s="315" t="s">
        <v>1451</v>
      </c>
      <c r="C174" s="329">
        <v>5.4096122222222203</v>
      </c>
      <c r="D174" s="329">
        <v>104.98</v>
      </c>
      <c r="E174" s="316" t="s">
        <v>1456</v>
      </c>
      <c r="F174" s="316" t="s">
        <v>1456</v>
      </c>
      <c r="G174" s="317">
        <v>133.89999999999998</v>
      </c>
      <c r="H174" s="317">
        <v>29.447862900000001</v>
      </c>
      <c r="I174" s="317">
        <v>31.778569805291614</v>
      </c>
      <c r="J174" s="317">
        <v>34.337260966346918</v>
      </c>
      <c r="K174" s="318">
        <v>25.643958899437585</v>
      </c>
      <c r="L174" s="318">
        <v>53.446121178148303</v>
      </c>
      <c r="M174" s="319">
        <v>38.759864370744204</v>
      </c>
      <c r="N174" s="319">
        <v>13.115905471306618</v>
      </c>
      <c r="O174" s="319">
        <f t="shared" si="2"/>
        <v>13.115905471306618</v>
      </c>
      <c r="P174" s="317">
        <v>17.56219742607956</v>
      </c>
      <c r="Q174" s="315" t="s">
        <v>1148</v>
      </c>
      <c r="R174" s="318">
        <v>280</v>
      </c>
      <c r="T174" s="320">
        <v>137.77777777777777</v>
      </c>
      <c r="U174" s="318">
        <v>46.7</v>
      </c>
      <c r="V174" s="318">
        <v>226.28</v>
      </c>
      <c r="W174" s="318">
        <v>144</v>
      </c>
      <c r="X174" s="315">
        <v>0.18</v>
      </c>
      <c r="Y174" s="318">
        <v>55</v>
      </c>
      <c r="Z174" s="315">
        <v>32</v>
      </c>
      <c r="AA174" s="315" t="s">
        <v>1149</v>
      </c>
      <c r="AB174" s="315">
        <v>0</v>
      </c>
      <c r="AC174" s="315" t="s">
        <v>1190</v>
      </c>
    </row>
    <row r="175" spans="1:29">
      <c r="A175" s="315" t="s">
        <v>1145</v>
      </c>
      <c r="B175" s="315" t="s">
        <v>1451</v>
      </c>
      <c r="C175" s="329">
        <v>5.4131408333333297</v>
      </c>
      <c r="D175" s="329">
        <v>104.98</v>
      </c>
      <c r="E175" s="316" t="s">
        <v>1457</v>
      </c>
      <c r="F175" s="316" t="s">
        <v>1457</v>
      </c>
      <c r="G175" s="317">
        <v>46.089999999999996</v>
      </c>
      <c r="H175" s="317">
        <v>6.6669668</v>
      </c>
      <c r="I175" s="317">
        <v>6.7237233723554661</v>
      </c>
      <c r="J175" s="317">
        <v>6.736698315948499</v>
      </c>
      <c r="K175" s="318">
        <v>14.616399036555652</v>
      </c>
      <c r="L175" s="318">
        <v>54.350769866547097</v>
      </c>
      <c r="M175" s="319">
        <v>34.360907246463</v>
      </c>
      <c r="N175" s="319">
        <v>19.744508209907348</v>
      </c>
      <c r="O175" s="319">
        <f t="shared" si="2"/>
        <v>19.744508209907348</v>
      </c>
      <c r="P175" s="317">
        <v>9.1002438339462959</v>
      </c>
      <c r="Q175" s="315" t="s">
        <v>1148</v>
      </c>
      <c r="R175" s="318">
        <v>284</v>
      </c>
      <c r="T175" s="320">
        <v>140</v>
      </c>
      <c r="U175" s="318">
        <v>46.3</v>
      </c>
      <c r="V175" s="318">
        <v>212.98</v>
      </c>
      <c r="W175" s="318">
        <v>176</v>
      </c>
      <c r="X175" s="315">
        <v>0.18</v>
      </c>
      <c r="Y175" s="318">
        <v>55</v>
      </c>
      <c r="Z175" s="315">
        <v>8</v>
      </c>
      <c r="AA175" s="315" t="s">
        <v>1149</v>
      </c>
      <c r="AB175" s="315">
        <v>0</v>
      </c>
      <c r="AC175" s="315" t="s">
        <v>1190</v>
      </c>
    </row>
    <row r="176" spans="1:29">
      <c r="A176" s="315" t="s">
        <v>1145</v>
      </c>
      <c r="B176" s="315" t="s">
        <v>1458</v>
      </c>
      <c r="C176" s="329"/>
      <c r="D176" s="329"/>
      <c r="E176" s="316" t="s">
        <v>1459</v>
      </c>
      <c r="F176" s="316" t="s">
        <v>1459</v>
      </c>
      <c r="G176" s="317">
        <v>123.1</v>
      </c>
      <c r="H176" s="317">
        <v>0</v>
      </c>
      <c r="I176" s="317">
        <v>0</v>
      </c>
      <c r="J176" s="317">
        <v>30.487995133189013</v>
      </c>
      <c r="K176" s="318">
        <v>24.766852260917151</v>
      </c>
      <c r="L176" s="318">
        <v>53.615700342170101</v>
      </c>
      <c r="M176" s="319">
        <v>40.176147664562897</v>
      </c>
      <c r="N176" s="319">
        <v>15.409295403645746</v>
      </c>
      <c r="O176" s="319">
        <f t="shared" si="2"/>
        <v>15.409295403645746</v>
      </c>
      <c r="P176" s="317">
        <v>18.96884264188791</v>
      </c>
      <c r="Q176" s="315" t="s">
        <v>1168</v>
      </c>
      <c r="R176" s="318">
        <v>122</v>
      </c>
      <c r="T176" s="320">
        <v>50</v>
      </c>
      <c r="U176" s="318">
        <v>28</v>
      </c>
      <c r="V176" s="318">
        <v>72.1785</v>
      </c>
      <c r="W176" s="318">
        <v>118.47113</v>
      </c>
      <c r="X176" s="315">
        <v>0.3</v>
      </c>
      <c r="Y176" s="318">
        <v>230</v>
      </c>
      <c r="Z176" s="315">
        <v>6</v>
      </c>
      <c r="AA176" s="315" t="s">
        <v>1154</v>
      </c>
      <c r="AB176" s="315">
        <v>2</v>
      </c>
      <c r="AC176" s="315" t="s">
        <v>1150</v>
      </c>
    </row>
    <row r="177" spans="1:29">
      <c r="A177" s="315" t="s">
        <v>1145</v>
      </c>
      <c r="B177" s="315" t="s">
        <v>1071</v>
      </c>
      <c r="C177" s="329">
        <v>4.60880861111111</v>
      </c>
      <c r="D177" s="329">
        <v>113.6422</v>
      </c>
      <c r="E177" s="316" t="s">
        <v>1461</v>
      </c>
      <c r="F177" s="316" t="s">
        <v>1461</v>
      </c>
      <c r="G177" s="317">
        <v>101.5</v>
      </c>
      <c r="H177" s="317">
        <v>68.719628599999993</v>
      </c>
      <c r="I177" s="317">
        <v>70.115714099999991</v>
      </c>
      <c r="J177" s="317">
        <v>70.115714099999991</v>
      </c>
      <c r="K177" s="318">
        <v>69.079521280788171</v>
      </c>
      <c r="L177" s="318">
        <v>52.200817260062202</v>
      </c>
      <c r="M177" s="319">
        <v>44.752327893219601</v>
      </c>
      <c r="N177" s="319">
        <v>-24.32719338756857</v>
      </c>
      <c r="O177" s="319">
        <f t="shared" si="2"/>
        <v>0</v>
      </c>
      <c r="P177" s="317">
        <v>0</v>
      </c>
      <c r="Q177" s="315" t="s">
        <v>1148</v>
      </c>
      <c r="R177" s="318">
        <v>189</v>
      </c>
      <c r="T177" s="320">
        <v>87.222222222222229</v>
      </c>
      <c r="U177" s="318">
        <v>40</v>
      </c>
      <c r="V177" s="318">
        <v>20</v>
      </c>
      <c r="W177" s="318">
        <v>218</v>
      </c>
      <c r="X177" s="315">
        <v>0.21</v>
      </c>
      <c r="Y177" s="318">
        <v>565</v>
      </c>
      <c r="Z177" s="315">
        <v>5</v>
      </c>
      <c r="AA177" s="315" t="s">
        <v>1149</v>
      </c>
      <c r="AB177" s="315">
        <v>0</v>
      </c>
      <c r="AC177" s="315" t="s">
        <v>1190</v>
      </c>
    </row>
    <row r="178" spans="1:29">
      <c r="A178" s="315" t="s">
        <v>1145</v>
      </c>
      <c r="B178" s="315" t="s">
        <v>1071</v>
      </c>
      <c r="C178" s="329">
        <v>4.6131699999999896</v>
      </c>
      <c r="D178" s="329">
        <v>113.6422</v>
      </c>
      <c r="E178" s="316" t="s">
        <v>1462</v>
      </c>
      <c r="F178" s="316" t="s">
        <v>1462</v>
      </c>
      <c r="G178" s="317">
        <v>24.5</v>
      </c>
      <c r="H178" s="317">
        <v>7.2955569000000002</v>
      </c>
      <c r="I178" s="317">
        <v>8.1266427999999991</v>
      </c>
      <c r="J178" s="317">
        <v>9.7285439999999994</v>
      </c>
      <c r="K178" s="318">
        <v>39.708342857142853</v>
      </c>
      <c r="L178" s="318">
        <v>63.987845417255897</v>
      </c>
      <c r="M178" s="319">
        <v>39.769554522687301</v>
      </c>
      <c r="N178" s="319">
        <v>6.1211665544448124E-2</v>
      </c>
      <c r="O178" s="319">
        <f t="shared" si="2"/>
        <v>6.1211665544448124E-2</v>
      </c>
      <c r="P178" s="317">
        <v>1.4996858058389791E-2</v>
      </c>
      <c r="Q178" s="315" t="s">
        <v>1148</v>
      </c>
      <c r="R178" s="318">
        <v>192</v>
      </c>
      <c r="T178" s="320">
        <v>88.888888888888886</v>
      </c>
      <c r="U178" s="318">
        <v>42</v>
      </c>
      <c r="V178" s="318">
        <v>15</v>
      </c>
      <c r="W178" s="318">
        <v>223</v>
      </c>
      <c r="X178" s="315">
        <v>0.18</v>
      </c>
      <c r="Y178" s="318">
        <v>161</v>
      </c>
      <c r="Z178" s="315">
        <v>1</v>
      </c>
      <c r="AA178" s="315" t="s">
        <v>1149</v>
      </c>
      <c r="AB178" s="315">
        <v>0</v>
      </c>
      <c r="AC178" s="315" t="s">
        <v>1190</v>
      </c>
    </row>
    <row r="179" spans="1:29">
      <c r="A179" s="315" t="s">
        <v>1145</v>
      </c>
      <c r="B179" s="315" t="s">
        <v>1071</v>
      </c>
      <c r="C179" s="329">
        <v>4.6083627777777698</v>
      </c>
      <c r="D179" s="329">
        <v>113.6422</v>
      </c>
      <c r="E179" s="316" t="s">
        <v>1463</v>
      </c>
      <c r="F179" s="316" t="s">
        <v>1463</v>
      </c>
      <c r="G179" s="317">
        <v>67.400000000000006</v>
      </c>
      <c r="H179" s="317">
        <v>36.611367399999999</v>
      </c>
      <c r="I179" s="317">
        <v>37.478095199999998</v>
      </c>
      <c r="J179" s="317">
        <v>38.476034800000001</v>
      </c>
      <c r="K179" s="318">
        <v>57.086105044510383</v>
      </c>
      <c r="L179" s="318">
        <v>53.317517609295102</v>
      </c>
      <c r="M179" s="319">
        <v>44.198763341285499</v>
      </c>
      <c r="N179" s="319">
        <v>-12.887341703224884</v>
      </c>
      <c r="O179" s="319">
        <f t="shared" si="2"/>
        <v>0</v>
      </c>
      <c r="P179" s="317">
        <v>0</v>
      </c>
      <c r="Q179" s="315" t="s">
        <v>1148</v>
      </c>
      <c r="R179" s="318">
        <v>194</v>
      </c>
      <c r="T179" s="320">
        <v>90</v>
      </c>
      <c r="U179" s="318">
        <v>41</v>
      </c>
      <c r="V179" s="318">
        <v>23</v>
      </c>
      <c r="W179" s="318">
        <v>212</v>
      </c>
      <c r="X179" s="315">
        <v>0.19</v>
      </c>
      <c r="Y179" s="318">
        <v>287</v>
      </c>
      <c r="Z179" s="315">
        <v>1</v>
      </c>
      <c r="AA179" s="315" t="s">
        <v>1149</v>
      </c>
      <c r="AB179" s="315">
        <v>0</v>
      </c>
      <c r="AC179" s="315" t="s">
        <v>1190</v>
      </c>
    </row>
    <row r="180" spans="1:29">
      <c r="A180" s="315" t="s">
        <v>1145</v>
      </c>
      <c r="B180" s="315" t="s">
        <v>1071</v>
      </c>
      <c r="C180" s="329">
        <v>4.6096679629629502</v>
      </c>
      <c r="D180" s="329">
        <v>113.6422</v>
      </c>
      <c r="E180" s="316" t="s">
        <v>1464</v>
      </c>
      <c r="F180" s="316" t="s">
        <v>1464</v>
      </c>
      <c r="G180" s="317">
        <v>12.6</v>
      </c>
      <c r="H180" s="317">
        <v>0.83174999999999999</v>
      </c>
      <c r="I180" s="317">
        <v>0.84885929999999998</v>
      </c>
      <c r="J180" s="317">
        <v>2.9641305999999998</v>
      </c>
      <c r="K180" s="318">
        <v>23.52484603174603</v>
      </c>
      <c r="L180" s="318">
        <v>54.819041891656703</v>
      </c>
      <c r="M180" s="319">
        <v>38.162522168327698</v>
      </c>
      <c r="N180" s="319">
        <v>14.637676136581668</v>
      </c>
      <c r="O180" s="319">
        <f t="shared" si="2"/>
        <v>14.637676136581668</v>
      </c>
      <c r="P180" s="317">
        <v>1.8443471932092901</v>
      </c>
      <c r="Q180" s="315" t="s">
        <v>1148</v>
      </c>
      <c r="R180" s="318">
        <v>198</v>
      </c>
      <c r="T180" s="320">
        <v>92.222222222222229</v>
      </c>
      <c r="U180" s="318">
        <v>41</v>
      </c>
      <c r="V180" s="318">
        <v>52</v>
      </c>
      <c r="W180" s="318">
        <v>80</v>
      </c>
      <c r="X180" s="315">
        <v>0.17</v>
      </c>
      <c r="Y180" s="318">
        <v>101</v>
      </c>
      <c r="Z180" s="315">
        <v>0</v>
      </c>
      <c r="AA180" s="315" t="s">
        <v>1149</v>
      </c>
      <c r="AB180" s="315">
        <v>0</v>
      </c>
      <c r="AC180" s="315" t="s">
        <v>1190</v>
      </c>
    </row>
    <row r="181" spans="1:29">
      <c r="A181" s="315" t="s">
        <v>1145</v>
      </c>
      <c r="B181" s="315" t="s">
        <v>1071</v>
      </c>
      <c r="C181" s="329">
        <v>4.6094450462962797</v>
      </c>
      <c r="D181" s="329">
        <v>113.6422</v>
      </c>
      <c r="E181" s="316" t="s">
        <v>1465</v>
      </c>
      <c r="F181" s="316" t="s">
        <v>1465</v>
      </c>
      <c r="G181" s="317">
        <v>18.2</v>
      </c>
      <c r="H181" s="317">
        <v>6.3718007999999999</v>
      </c>
      <c r="I181" s="317">
        <v>6.5047920000000001</v>
      </c>
      <c r="J181" s="317">
        <v>8.7183340999999999</v>
      </c>
      <c r="K181" s="318">
        <v>47.902934615384616</v>
      </c>
      <c r="L181" s="318">
        <v>52.695415453337702</v>
      </c>
      <c r="M181" s="319">
        <v>44.121413760135503</v>
      </c>
      <c r="N181" s="319">
        <v>-3.7815208552491129</v>
      </c>
      <c r="O181" s="319">
        <f t="shared" si="2"/>
        <v>0</v>
      </c>
      <c r="P181" s="317">
        <v>0</v>
      </c>
      <c r="Q181" s="315" t="s">
        <v>1148</v>
      </c>
      <c r="R181" s="318">
        <v>199</v>
      </c>
      <c r="T181" s="320">
        <v>92.777777777777771</v>
      </c>
      <c r="U181" s="318">
        <v>37.200000000000003</v>
      </c>
      <c r="V181" s="318">
        <v>41</v>
      </c>
      <c r="W181" s="318">
        <v>125</v>
      </c>
      <c r="X181" s="315">
        <v>0.18</v>
      </c>
      <c r="Y181" s="318">
        <v>306</v>
      </c>
      <c r="Z181" s="315">
        <v>1</v>
      </c>
      <c r="AA181" s="315" t="s">
        <v>1149</v>
      </c>
      <c r="AB181" s="315">
        <v>0</v>
      </c>
      <c r="AC181" s="315" t="s">
        <v>1190</v>
      </c>
    </row>
    <row r="182" spans="1:29">
      <c r="A182" s="315" t="s">
        <v>1145</v>
      </c>
      <c r="B182" s="315" t="s">
        <v>1071</v>
      </c>
      <c r="C182" s="329">
        <v>4.6092221296296101</v>
      </c>
      <c r="D182" s="329">
        <v>113.6422</v>
      </c>
      <c r="E182" s="316" t="s">
        <v>1466</v>
      </c>
      <c r="F182" s="316" t="s">
        <v>1466</v>
      </c>
      <c r="G182" s="317">
        <v>49.2</v>
      </c>
      <c r="H182" s="317">
        <v>11.502136699999999</v>
      </c>
      <c r="I182" s="317">
        <v>11.808855099999999</v>
      </c>
      <c r="J182" s="317">
        <v>14.720390499999999</v>
      </c>
      <c r="K182" s="318">
        <v>29.919492886178855</v>
      </c>
      <c r="L182" s="318">
        <v>61.475221807976602</v>
      </c>
      <c r="M182" s="319">
        <v>40.953998985762404</v>
      </c>
      <c r="N182" s="319">
        <v>11.034506099583549</v>
      </c>
      <c r="O182" s="319">
        <f t="shared" si="2"/>
        <v>11.034506099583549</v>
      </c>
      <c r="P182" s="317">
        <v>5.4289770009951068</v>
      </c>
      <c r="Q182" s="315" t="s">
        <v>1148</v>
      </c>
      <c r="R182" s="318">
        <v>199</v>
      </c>
      <c r="T182" s="320">
        <v>92.777777777777771</v>
      </c>
      <c r="U182" s="318">
        <v>41</v>
      </c>
      <c r="V182" s="318">
        <v>16</v>
      </c>
      <c r="W182" s="318">
        <v>170</v>
      </c>
      <c r="X182" s="315">
        <v>0.18</v>
      </c>
      <c r="Y182" s="318">
        <v>172</v>
      </c>
      <c r="Z182" s="315">
        <v>2</v>
      </c>
      <c r="AA182" s="315" t="s">
        <v>1149</v>
      </c>
      <c r="AB182" s="315">
        <v>0</v>
      </c>
      <c r="AC182" s="315" t="s">
        <v>1190</v>
      </c>
    </row>
    <row r="183" spans="1:29">
      <c r="A183" s="315" t="s">
        <v>1145</v>
      </c>
      <c r="B183" s="315" t="s">
        <v>1073</v>
      </c>
      <c r="C183" s="329">
        <v>4.5444091666666599</v>
      </c>
      <c r="D183" s="329">
        <v>113.626389</v>
      </c>
      <c r="E183" s="316" t="s">
        <v>1467</v>
      </c>
      <c r="F183" s="316" t="s">
        <v>1468</v>
      </c>
      <c r="G183" s="317">
        <v>88.331374999999994</v>
      </c>
      <c r="H183" s="317">
        <v>3.0493606</v>
      </c>
      <c r="I183" s="317">
        <v>7.2276261850328796</v>
      </c>
      <c r="J183" s="317">
        <v>16.594730889989613</v>
      </c>
      <c r="K183" s="318">
        <v>18.786904302111921</v>
      </c>
      <c r="L183" s="318">
        <v>70.982991496652403</v>
      </c>
      <c r="M183" s="319">
        <v>34.611724397715996</v>
      </c>
      <c r="N183" s="319">
        <v>15.824820095604075</v>
      </c>
      <c r="O183" s="319">
        <f t="shared" si="2"/>
        <v>15.824820095604075</v>
      </c>
      <c r="P183" s="317">
        <v>13.978281181723393</v>
      </c>
      <c r="Q183" s="315" t="s">
        <v>1148</v>
      </c>
      <c r="R183" s="318">
        <v>107</v>
      </c>
      <c r="T183" s="320">
        <v>41.666666666666664</v>
      </c>
      <c r="U183" s="318">
        <v>19</v>
      </c>
      <c r="V183" s="318">
        <v>135</v>
      </c>
      <c r="W183" s="318">
        <v>21</v>
      </c>
      <c r="X183" s="315">
        <v>0.31</v>
      </c>
      <c r="Y183" s="318">
        <v>1500</v>
      </c>
      <c r="Z183" s="315">
        <v>7</v>
      </c>
      <c r="AA183" s="315" t="s">
        <v>1149</v>
      </c>
      <c r="AB183" s="315">
        <v>0</v>
      </c>
      <c r="AC183" s="315" t="s">
        <v>1150</v>
      </c>
    </row>
    <row r="184" spans="1:29">
      <c r="A184" s="315" t="s">
        <v>1145</v>
      </c>
      <c r="B184" s="315" t="s">
        <v>1073</v>
      </c>
      <c r="C184" s="329">
        <v>4.5510830555555497</v>
      </c>
      <c r="D184" s="329">
        <v>113.626389</v>
      </c>
      <c r="E184" s="316" t="s">
        <v>1469</v>
      </c>
      <c r="F184" s="316" t="s">
        <v>1469</v>
      </c>
      <c r="G184" s="317">
        <v>153.39216999999999</v>
      </c>
      <c r="H184" s="317">
        <v>50.399896700000006</v>
      </c>
      <c r="I184" s="317">
        <v>60.94493625993028</v>
      </c>
      <c r="J184" s="317">
        <v>76.929396609027009</v>
      </c>
      <c r="K184" s="318">
        <v>50.152101381072455</v>
      </c>
      <c r="L184" s="318">
        <v>64.374423637907398</v>
      </c>
      <c r="M184" s="319">
        <v>38.866807487729496</v>
      </c>
      <c r="N184" s="319">
        <v>-11.28529389334296</v>
      </c>
      <c r="O184" s="319">
        <f t="shared" si="2"/>
        <v>0</v>
      </c>
      <c r="P184" s="317">
        <v>0</v>
      </c>
      <c r="Q184" s="315" t="s">
        <v>1148</v>
      </c>
      <c r="R184" s="318">
        <v>113</v>
      </c>
      <c r="T184" s="320">
        <v>45</v>
      </c>
      <c r="U184" s="318">
        <v>20</v>
      </c>
      <c r="V184" s="318">
        <v>28</v>
      </c>
      <c r="W184" s="318">
        <v>26</v>
      </c>
      <c r="X184" s="315">
        <v>0.28999999999999998</v>
      </c>
      <c r="Y184" s="318">
        <v>1750</v>
      </c>
      <c r="Z184" s="315">
        <v>33</v>
      </c>
      <c r="AA184" s="315" t="s">
        <v>1149</v>
      </c>
      <c r="AB184" s="315">
        <v>0</v>
      </c>
      <c r="AC184" s="315" t="s">
        <v>1190</v>
      </c>
    </row>
    <row r="185" spans="1:29">
      <c r="A185" s="315" t="s">
        <v>1145</v>
      </c>
      <c r="B185" s="315" t="s">
        <v>1073</v>
      </c>
      <c r="C185" s="329">
        <v>4.5539777777777699</v>
      </c>
      <c r="D185" s="329">
        <v>113.626389</v>
      </c>
      <c r="E185" s="316" t="s">
        <v>1470</v>
      </c>
      <c r="F185" s="316" t="s">
        <v>1470</v>
      </c>
      <c r="G185" s="317">
        <v>62.276454999999999</v>
      </c>
      <c r="H185" s="317">
        <v>21.172195200000001</v>
      </c>
      <c r="I185" s="317">
        <v>22.744958315790011</v>
      </c>
      <c r="J185" s="317">
        <v>34.965348863915104</v>
      </c>
      <c r="K185" s="318">
        <v>56.145374466024286</v>
      </c>
      <c r="L185" s="318">
        <v>68.007882549371104</v>
      </c>
      <c r="M185" s="319">
        <v>37.283803745471701</v>
      </c>
      <c r="N185" s="319">
        <v>-18.861570720552585</v>
      </c>
      <c r="O185" s="319">
        <f t="shared" si="2"/>
        <v>0</v>
      </c>
      <c r="P185" s="317">
        <v>0</v>
      </c>
      <c r="Q185" s="315" t="s">
        <v>1148</v>
      </c>
      <c r="R185" s="318">
        <v>123</v>
      </c>
      <c r="T185" s="320">
        <v>50.555555555555557</v>
      </c>
      <c r="U185" s="318">
        <v>20</v>
      </c>
      <c r="V185" s="318">
        <v>103</v>
      </c>
      <c r="W185" s="318">
        <v>22</v>
      </c>
      <c r="X185" s="315">
        <v>0.27</v>
      </c>
      <c r="Y185" s="318">
        <v>2450</v>
      </c>
      <c r="Z185" s="315">
        <v>15</v>
      </c>
      <c r="AA185" s="315" t="s">
        <v>1149</v>
      </c>
      <c r="AB185" s="315">
        <v>0</v>
      </c>
      <c r="AC185" s="315" t="s">
        <v>1150</v>
      </c>
    </row>
    <row r="186" spans="1:29">
      <c r="A186" s="315" t="s">
        <v>1145</v>
      </c>
      <c r="B186" s="315" t="s">
        <v>1073</v>
      </c>
      <c r="C186" s="329">
        <v>4.5457452777777698</v>
      </c>
      <c r="D186" s="329">
        <v>113.626389</v>
      </c>
      <c r="E186" s="316" t="s">
        <v>1471</v>
      </c>
      <c r="F186" s="316" t="s">
        <v>1471</v>
      </c>
      <c r="G186" s="317">
        <v>50.1</v>
      </c>
      <c r="H186" s="317">
        <v>20.538270799999999</v>
      </c>
      <c r="I186" s="317">
        <v>22.794026662419036</v>
      </c>
      <c r="J186" s="317">
        <v>29.320006446971941</v>
      </c>
      <c r="K186" s="318">
        <v>58.522966960023837</v>
      </c>
      <c r="L186" s="318">
        <v>71.456321644819198</v>
      </c>
      <c r="M186" s="319">
        <v>35.279658222519004</v>
      </c>
      <c r="N186" s="319">
        <v>-23.243308737504833</v>
      </c>
      <c r="O186" s="319">
        <f t="shared" si="2"/>
        <v>0</v>
      </c>
      <c r="P186" s="317">
        <v>0</v>
      </c>
      <c r="Q186" s="315" t="s">
        <v>1148</v>
      </c>
      <c r="R186" s="318">
        <v>128</v>
      </c>
      <c r="T186" s="320">
        <v>53.333333333333336</v>
      </c>
      <c r="U186" s="318">
        <v>20</v>
      </c>
      <c r="V186" s="318">
        <v>28</v>
      </c>
      <c r="W186" s="318">
        <v>8</v>
      </c>
      <c r="X186" s="315">
        <v>0.25</v>
      </c>
      <c r="Y186" s="318">
        <v>2500</v>
      </c>
      <c r="Z186" s="315">
        <v>17</v>
      </c>
      <c r="AA186" s="315" t="s">
        <v>1149</v>
      </c>
      <c r="AB186" s="315">
        <v>0</v>
      </c>
      <c r="AC186" s="315" t="s">
        <v>1190</v>
      </c>
    </row>
    <row r="187" spans="1:29">
      <c r="A187" s="315" t="s">
        <v>1145</v>
      </c>
      <c r="B187" s="315" t="s">
        <v>1073</v>
      </c>
      <c r="C187" s="329">
        <v>4.54890388888888</v>
      </c>
      <c r="D187" s="329">
        <v>113.626389</v>
      </c>
      <c r="E187" s="316" t="s">
        <v>1472</v>
      </c>
      <c r="F187" s="316" t="s">
        <v>1472</v>
      </c>
      <c r="G187" s="317">
        <v>90.5</v>
      </c>
      <c r="H187" s="317">
        <v>27.828387899999999</v>
      </c>
      <c r="I187" s="317">
        <v>32.408937242104415</v>
      </c>
      <c r="J187" s="317">
        <v>40.745794021989035</v>
      </c>
      <c r="K187" s="318">
        <v>45.022976819877385</v>
      </c>
      <c r="L187" s="318">
        <v>70.807131965270699</v>
      </c>
      <c r="M187" s="319">
        <v>35.921419279460395</v>
      </c>
      <c r="N187" s="319">
        <v>-9.1015575404169908</v>
      </c>
      <c r="O187" s="319">
        <f t="shared" si="2"/>
        <v>0</v>
      </c>
      <c r="P187" s="317">
        <v>0</v>
      </c>
      <c r="Q187" s="315" t="s">
        <v>1148</v>
      </c>
      <c r="R187" s="318">
        <v>132</v>
      </c>
      <c r="T187" s="320">
        <v>55.555555555555557</v>
      </c>
      <c r="U187" s="318">
        <v>20</v>
      </c>
      <c r="V187" s="318">
        <v>62</v>
      </c>
      <c r="W187" s="318">
        <v>24</v>
      </c>
      <c r="X187" s="315">
        <v>0.28999999999999998</v>
      </c>
      <c r="Y187" s="318">
        <v>900</v>
      </c>
      <c r="Z187" s="315">
        <v>19</v>
      </c>
      <c r="AA187" s="315" t="s">
        <v>1149</v>
      </c>
      <c r="AB187" s="315">
        <v>0</v>
      </c>
      <c r="AC187" s="315" t="s">
        <v>1190</v>
      </c>
    </row>
    <row r="188" spans="1:29">
      <c r="A188" s="315" t="s">
        <v>1145</v>
      </c>
      <c r="B188" s="315" t="s">
        <v>1073</v>
      </c>
      <c r="C188" s="329">
        <v>4.54951722222222</v>
      </c>
      <c r="D188" s="329">
        <v>113.626389</v>
      </c>
      <c r="E188" s="316" t="s">
        <v>1473</v>
      </c>
      <c r="F188" s="316" t="s">
        <v>1473</v>
      </c>
      <c r="G188" s="317">
        <v>155.35</v>
      </c>
      <c r="H188" s="317">
        <v>55.331906400000001</v>
      </c>
      <c r="I188" s="317">
        <v>64.095589568921199</v>
      </c>
      <c r="J188" s="317">
        <v>84.996396508292435</v>
      </c>
      <c r="K188" s="318">
        <v>54.712839722106501</v>
      </c>
      <c r="L188" s="318">
        <v>45.679465889248299</v>
      </c>
      <c r="M188" s="319">
        <v>44.197374293297599</v>
      </c>
      <c r="N188" s="319">
        <v>-10.515465428808902</v>
      </c>
      <c r="O188" s="319">
        <f t="shared" si="2"/>
        <v>0</v>
      </c>
      <c r="P188" s="317">
        <v>0</v>
      </c>
      <c r="Q188" s="315" t="s">
        <v>1148</v>
      </c>
      <c r="R188" s="318">
        <v>134</v>
      </c>
      <c r="T188" s="320">
        <v>56.666666666666664</v>
      </c>
      <c r="U188" s="318">
        <v>20</v>
      </c>
      <c r="V188" s="318">
        <v>30</v>
      </c>
      <c r="W188" s="318">
        <v>19</v>
      </c>
      <c r="X188" s="315">
        <v>0.24</v>
      </c>
      <c r="Y188" s="318">
        <v>1900</v>
      </c>
      <c r="Z188" s="315">
        <v>33</v>
      </c>
      <c r="AA188" s="315" t="s">
        <v>1149</v>
      </c>
      <c r="AB188" s="315">
        <v>0</v>
      </c>
      <c r="AC188" s="315" t="s">
        <v>1150</v>
      </c>
    </row>
    <row r="189" spans="1:29">
      <c r="A189" s="315" t="s">
        <v>1145</v>
      </c>
      <c r="B189" s="315" t="s">
        <v>1073</v>
      </c>
      <c r="C189" s="329">
        <v>4.5440688888888801</v>
      </c>
      <c r="D189" s="329">
        <v>113.626389</v>
      </c>
      <c r="E189" s="316" t="s">
        <v>1475</v>
      </c>
      <c r="F189" s="316" t="s">
        <v>1475</v>
      </c>
      <c r="G189" s="317">
        <v>3.6338979999999999</v>
      </c>
      <c r="H189" s="317">
        <v>2.8799717999999999</v>
      </c>
      <c r="I189" s="317">
        <v>3.5700761007575563</v>
      </c>
      <c r="J189" s="317">
        <v>3.5700761007575563</v>
      </c>
      <c r="K189" s="318">
        <v>98.243706916307403</v>
      </c>
      <c r="L189" s="318">
        <v>60.422271240047799</v>
      </c>
      <c r="M189" s="319">
        <v>40.810519708903499</v>
      </c>
      <c r="N189" s="319">
        <v>-57.433187207403904</v>
      </c>
      <c r="O189" s="319">
        <f t="shared" si="2"/>
        <v>0</v>
      </c>
      <c r="P189" s="317">
        <v>0</v>
      </c>
      <c r="Q189" s="315" t="s">
        <v>1148</v>
      </c>
      <c r="R189" s="318">
        <v>137</v>
      </c>
      <c r="T189" s="320">
        <v>58.333333333333336</v>
      </c>
      <c r="U189" s="318">
        <v>21</v>
      </c>
      <c r="V189" s="318">
        <v>34</v>
      </c>
      <c r="W189" s="318">
        <v>11</v>
      </c>
      <c r="X189" s="315">
        <v>0.27</v>
      </c>
      <c r="Y189" s="318">
        <v>1150</v>
      </c>
      <c r="Z189" s="315">
        <v>5</v>
      </c>
      <c r="AA189" s="315" t="s">
        <v>1149</v>
      </c>
      <c r="AB189" s="315">
        <v>0</v>
      </c>
      <c r="AC189" s="315" t="s">
        <v>1190</v>
      </c>
    </row>
    <row r="190" spans="1:29">
      <c r="A190" s="315" t="s">
        <v>1145</v>
      </c>
      <c r="B190" s="315" t="s">
        <v>1073</v>
      </c>
      <c r="C190" s="329">
        <v>4.5467269444444396</v>
      </c>
      <c r="D190" s="329">
        <v>113.626389</v>
      </c>
      <c r="E190" s="316" t="s">
        <v>1476</v>
      </c>
      <c r="F190" s="316" t="s">
        <v>1476</v>
      </c>
      <c r="G190" s="317">
        <v>124.9</v>
      </c>
      <c r="H190" s="317">
        <v>49.403286899999998</v>
      </c>
      <c r="I190" s="317">
        <v>56.614357245072881</v>
      </c>
      <c r="J190" s="317">
        <v>70.395194958554001</v>
      </c>
      <c r="K190" s="318">
        <v>56.361244962813451</v>
      </c>
      <c r="L190" s="318">
        <v>42.920263080771598</v>
      </c>
      <c r="M190" s="319">
        <v>44.811094421291301</v>
      </c>
      <c r="N190" s="319">
        <v>-11.55015054152215</v>
      </c>
      <c r="O190" s="319">
        <f t="shared" si="2"/>
        <v>0</v>
      </c>
      <c r="P190" s="317">
        <v>0</v>
      </c>
      <c r="Q190" s="315" t="s">
        <v>1148</v>
      </c>
      <c r="R190" s="318">
        <v>140</v>
      </c>
      <c r="T190" s="320">
        <v>60</v>
      </c>
      <c r="U190" s="318">
        <v>20</v>
      </c>
      <c r="V190" s="318">
        <v>37</v>
      </c>
      <c r="W190" s="318">
        <v>19</v>
      </c>
      <c r="X190" s="315">
        <v>0.26</v>
      </c>
      <c r="Y190" s="318">
        <v>2400</v>
      </c>
      <c r="Z190" s="315">
        <v>24</v>
      </c>
      <c r="AA190" s="315" t="s">
        <v>1149</v>
      </c>
      <c r="AB190" s="315">
        <v>0</v>
      </c>
      <c r="AC190" s="315" t="s">
        <v>1190</v>
      </c>
    </row>
    <row r="191" spans="1:29">
      <c r="A191" s="315" t="s">
        <v>1145</v>
      </c>
      <c r="B191" s="315" t="s">
        <v>1073</v>
      </c>
      <c r="C191" s="329">
        <v>4.5455927777777703</v>
      </c>
      <c r="D191" s="329">
        <v>113.626389</v>
      </c>
      <c r="E191" s="316" t="s">
        <v>1477</v>
      </c>
      <c r="F191" s="316" t="s">
        <v>1478</v>
      </c>
      <c r="G191" s="317">
        <v>64.598555000000005</v>
      </c>
      <c r="H191" s="317">
        <v>18.9184777</v>
      </c>
      <c r="I191" s="317">
        <v>22.692378777031486</v>
      </c>
      <c r="J191" s="317">
        <v>25.104245531843993</v>
      </c>
      <c r="K191" s="318">
        <v>38.861930474828718</v>
      </c>
      <c r="L191" s="318">
        <v>54.840810735951599</v>
      </c>
      <c r="M191" s="319">
        <v>42.762525682174399</v>
      </c>
      <c r="N191" s="319">
        <v>3.9005952073456811</v>
      </c>
      <c r="O191" s="319">
        <f t="shared" si="2"/>
        <v>3.9005952073456811</v>
      </c>
      <c r="P191" s="317">
        <v>2.5197281403445642</v>
      </c>
      <c r="Q191" s="315" t="s">
        <v>1148</v>
      </c>
      <c r="R191" s="318">
        <v>142</v>
      </c>
      <c r="T191" s="320">
        <v>61.111111111111114</v>
      </c>
      <c r="U191" s="318">
        <v>22</v>
      </c>
      <c r="V191" s="318">
        <v>67</v>
      </c>
      <c r="W191" s="318">
        <v>34</v>
      </c>
      <c r="X191" s="315">
        <v>0.24</v>
      </c>
      <c r="Y191" s="318">
        <v>1150</v>
      </c>
      <c r="Z191" s="315">
        <v>24</v>
      </c>
      <c r="AA191" s="315" t="s">
        <v>1149</v>
      </c>
      <c r="AB191" s="315">
        <v>0</v>
      </c>
      <c r="AC191" s="315" t="s">
        <v>1190</v>
      </c>
    </row>
    <row r="192" spans="1:29">
      <c r="A192" s="315" t="s">
        <v>1145</v>
      </c>
      <c r="B192" s="315" t="s">
        <v>1073</v>
      </c>
      <c r="C192" s="329">
        <v>4.5502055555555501</v>
      </c>
      <c r="D192" s="329">
        <v>113.626389</v>
      </c>
      <c r="E192" s="316" t="s">
        <v>1479</v>
      </c>
      <c r="F192" s="316" t="s">
        <v>1480</v>
      </c>
      <c r="G192" s="317">
        <v>28.004038999999999</v>
      </c>
      <c r="H192" s="317">
        <v>6.3171346000000002</v>
      </c>
      <c r="I192" s="317">
        <v>6.7319500635143967</v>
      </c>
      <c r="J192" s="317">
        <v>9.5115974635143967</v>
      </c>
      <c r="K192" s="318">
        <v>33.965091476677337</v>
      </c>
      <c r="L192" s="318">
        <v>53.472206201983099</v>
      </c>
      <c r="M192" s="319">
        <v>40.921313509438697</v>
      </c>
      <c r="N192" s="319">
        <v>6.9562220327613602</v>
      </c>
      <c r="O192" s="319">
        <f t="shared" si="2"/>
        <v>6.9562220327613602</v>
      </c>
      <c r="P192" s="317">
        <v>1.9480231309810838</v>
      </c>
      <c r="Q192" s="315" t="s">
        <v>1148</v>
      </c>
      <c r="R192" s="318">
        <v>144</v>
      </c>
      <c r="T192" s="320">
        <v>62.222222222222221</v>
      </c>
      <c r="U192" s="318">
        <v>24</v>
      </c>
      <c r="V192" s="318">
        <v>77</v>
      </c>
      <c r="W192" s="318">
        <v>14</v>
      </c>
      <c r="X192" s="315">
        <v>0.22</v>
      </c>
      <c r="Y192" s="318">
        <v>50</v>
      </c>
      <c r="Z192" s="315">
        <v>13</v>
      </c>
      <c r="AA192" s="315" t="s">
        <v>1149</v>
      </c>
      <c r="AB192" s="315">
        <v>0</v>
      </c>
      <c r="AC192" s="315" t="s">
        <v>1150</v>
      </c>
    </row>
    <row r="193" spans="1:29">
      <c r="A193" s="315" t="s">
        <v>1145</v>
      </c>
      <c r="B193" s="315" t="s">
        <v>1073</v>
      </c>
      <c r="C193" s="329">
        <v>4.5471252407407299</v>
      </c>
      <c r="D193" s="329">
        <v>113.626389</v>
      </c>
      <c r="E193" s="316" t="s">
        <v>1481</v>
      </c>
      <c r="F193" s="316" t="s">
        <v>1482</v>
      </c>
      <c r="G193" s="317">
        <v>40.676366999999999</v>
      </c>
      <c r="H193" s="317">
        <v>10.5997422</v>
      </c>
      <c r="I193" s="317">
        <v>11.283827262393036</v>
      </c>
      <c r="J193" s="317">
        <v>13.653730460662361</v>
      </c>
      <c r="K193" s="318">
        <v>33.566740266313268</v>
      </c>
      <c r="L193" s="318">
        <v>50.067376752755798</v>
      </c>
      <c r="M193" s="319">
        <v>39.807706969686301</v>
      </c>
      <c r="N193" s="319">
        <v>6.2409667033730329</v>
      </c>
      <c r="O193" s="319">
        <f t="shared" si="2"/>
        <v>6.2409667033730329</v>
      </c>
      <c r="P193" s="317">
        <v>2.5385985206118162</v>
      </c>
      <c r="Q193" s="315" t="s">
        <v>1148</v>
      </c>
      <c r="R193" s="318">
        <v>151</v>
      </c>
      <c r="T193" s="320">
        <v>66.111111111111114</v>
      </c>
      <c r="U193" s="318">
        <v>28</v>
      </c>
      <c r="V193" s="318">
        <v>84</v>
      </c>
      <c r="W193" s="318">
        <v>19</v>
      </c>
      <c r="X193" s="315">
        <v>0.24</v>
      </c>
      <c r="Y193" s="318">
        <v>35</v>
      </c>
      <c r="Z193" s="315">
        <v>14</v>
      </c>
      <c r="AA193" s="315" t="s">
        <v>1149</v>
      </c>
      <c r="AB193" s="315">
        <v>0</v>
      </c>
      <c r="AC193" s="315" t="s">
        <v>1150</v>
      </c>
    </row>
    <row r="194" spans="1:29">
      <c r="A194" s="315" t="s">
        <v>1145</v>
      </c>
      <c r="B194" s="315" t="s">
        <v>1073</v>
      </c>
      <c r="C194" s="329">
        <v>4.5469620016835002</v>
      </c>
      <c r="D194" s="329">
        <v>113.626389</v>
      </c>
      <c r="E194" s="316" t="s">
        <v>1483</v>
      </c>
      <c r="F194" s="316" t="s">
        <v>1483</v>
      </c>
      <c r="G194" s="317">
        <v>11.570207999999999</v>
      </c>
      <c r="H194" s="317">
        <v>5.3107074000000001</v>
      </c>
      <c r="I194" s="317">
        <v>5.7359232737934631</v>
      </c>
      <c r="J194" s="317">
        <v>5.7402401737934632</v>
      </c>
      <c r="K194" s="318">
        <v>49.612247020913223</v>
      </c>
      <c r="L194" s="318">
        <v>55.936536746739399</v>
      </c>
      <c r="M194" s="319">
        <v>38.561601921597102</v>
      </c>
      <c r="N194" s="319">
        <v>-11.050645099316121</v>
      </c>
      <c r="O194" s="319">
        <f t="shared" ref="O194:O257" si="3">IF(N194&lt;0,0,N194)</f>
        <v>0</v>
      </c>
      <c r="P194" s="317">
        <v>0</v>
      </c>
      <c r="Q194" s="315" t="s">
        <v>1148</v>
      </c>
      <c r="R194" s="318">
        <v>156</v>
      </c>
      <c r="T194" s="320">
        <v>68.888888888888886</v>
      </c>
      <c r="U194" s="318">
        <v>32</v>
      </c>
      <c r="V194" s="318">
        <v>46</v>
      </c>
      <c r="W194" s="318">
        <v>20</v>
      </c>
      <c r="X194" s="315">
        <v>0.24</v>
      </c>
      <c r="Y194" s="318">
        <v>40</v>
      </c>
      <c r="Z194" s="315">
        <v>6</v>
      </c>
      <c r="AA194" s="315" t="s">
        <v>1149</v>
      </c>
      <c r="AB194" s="315">
        <v>0</v>
      </c>
      <c r="AC194" s="315" t="s">
        <v>1150</v>
      </c>
    </row>
    <row r="195" spans="1:29">
      <c r="A195" s="315" t="s">
        <v>1145</v>
      </c>
      <c r="B195" s="315" t="s">
        <v>1073</v>
      </c>
      <c r="C195" s="329">
        <v>4.5467987626262598</v>
      </c>
      <c r="D195" s="329">
        <v>113.626389</v>
      </c>
      <c r="E195" s="316" t="s">
        <v>1484</v>
      </c>
      <c r="F195" s="316" t="s">
        <v>1484</v>
      </c>
      <c r="G195" s="317">
        <v>20.849076</v>
      </c>
      <c r="H195" s="317">
        <v>4.4712826000000003</v>
      </c>
      <c r="I195" s="317">
        <v>4.6038055687886237</v>
      </c>
      <c r="J195" s="317">
        <v>6.8078190384713331</v>
      </c>
      <c r="K195" s="318">
        <v>32.652857318335514</v>
      </c>
      <c r="L195" s="318">
        <v>51.3361958059903</v>
      </c>
      <c r="M195" s="319">
        <v>36.162795670633699</v>
      </c>
      <c r="N195" s="319">
        <v>3.5099383522981853</v>
      </c>
      <c r="O195" s="319">
        <f t="shared" si="3"/>
        <v>3.5099383522981853</v>
      </c>
      <c r="P195" s="317">
        <v>0.73178971462379638</v>
      </c>
      <c r="Q195" s="315" t="s">
        <v>1148</v>
      </c>
      <c r="R195" s="318">
        <v>161</v>
      </c>
      <c r="T195" s="320">
        <v>71.666666666666671</v>
      </c>
      <c r="U195" s="318">
        <v>36</v>
      </c>
      <c r="V195" s="318">
        <v>60</v>
      </c>
      <c r="W195" s="318">
        <v>23</v>
      </c>
      <c r="X195" s="315">
        <v>0.2</v>
      </c>
      <c r="Y195" s="318">
        <v>30</v>
      </c>
      <c r="Z195" s="315">
        <v>6</v>
      </c>
      <c r="AA195" s="315" t="s">
        <v>1149</v>
      </c>
      <c r="AB195" s="315">
        <v>0</v>
      </c>
      <c r="AC195" s="315" t="s">
        <v>1150</v>
      </c>
    </row>
    <row r="196" spans="1:29">
      <c r="A196" s="315" t="s">
        <v>1145</v>
      </c>
      <c r="B196" s="315" t="s">
        <v>1073</v>
      </c>
      <c r="C196" s="329">
        <v>4.5466355235690203</v>
      </c>
      <c r="D196" s="329">
        <v>113.626389</v>
      </c>
      <c r="E196" s="316" t="s">
        <v>1486</v>
      </c>
      <c r="F196" s="316" t="s">
        <v>1486</v>
      </c>
      <c r="G196" s="317">
        <v>8.3105799999999999</v>
      </c>
      <c r="H196" s="317">
        <v>5.2445637999999999</v>
      </c>
      <c r="I196" s="317">
        <v>5.2792322936370155</v>
      </c>
      <c r="J196" s="317">
        <v>5.2792322936370155</v>
      </c>
      <c r="K196" s="318">
        <v>63.524234092410104</v>
      </c>
      <c r="L196" s="318">
        <v>45.724389044416299</v>
      </c>
      <c r="M196" s="319">
        <v>43.316147137961195</v>
      </c>
      <c r="N196" s="319">
        <v>-20.208086954448909</v>
      </c>
      <c r="O196" s="319">
        <f t="shared" si="3"/>
        <v>0</v>
      </c>
      <c r="P196" s="317">
        <v>0</v>
      </c>
      <c r="Q196" s="315" t="s">
        <v>1148</v>
      </c>
      <c r="R196" s="318">
        <v>169</v>
      </c>
      <c r="T196" s="320">
        <v>76.111111111111114</v>
      </c>
      <c r="U196" s="318">
        <v>40</v>
      </c>
      <c r="V196" s="318">
        <v>40</v>
      </c>
      <c r="W196" s="318">
        <v>33</v>
      </c>
      <c r="X196" s="315">
        <v>0.22</v>
      </c>
      <c r="Y196" s="318">
        <v>150</v>
      </c>
      <c r="Z196" s="315">
        <v>5</v>
      </c>
      <c r="AA196" s="315" t="s">
        <v>1149</v>
      </c>
      <c r="AB196" s="315">
        <v>0</v>
      </c>
      <c r="AC196" s="315" t="s">
        <v>1190</v>
      </c>
    </row>
    <row r="197" spans="1:29">
      <c r="A197" s="315" t="s">
        <v>1145</v>
      </c>
      <c r="B197" s="315" t="s">
        <v>1487</v>
      </c>
      <c r="C197" s="329">
        <v>3.8500791666666601</v>
      </c>
      <c r="D197" s="329">
        <v>112.5</v>
      </c>
      <c r="E197" s="316" t="s">
        <v>1488</v>
      </c>
      <c r="F197" s="316" t="s">
        <v>1488</v>
      </c>
      <c r="G197" s="317">
        <v>36.195999999999998</v>
      </c>
      <c r="H197" s="317">
        <v>2.5967399000000002</v>
      </c>
      <c r="I197" s="317">
        <v>8.5607399000000015</v>
      </c>
      <c r="J197" s="317">
        <v>8.5607399000000015</v>
      </c>
      <c r="K197" s="318">
        <v>23.651066139904966</v>
      </c>
      <c r="L197" s="318">
        <v>46.6590582043087</v>
      </c>
      <c r="M197" s="319">
        <v>44.269969011496599</v>
      </c>
      <c r="N197" s="319">
        <v>20.618902871591633</v>
      </c>
      <c r="O197" s="319">
        <f t="shared" si="3"/>
        <v>20.618902871591633</v>
      </c>
      <c r="P197" s="317">
        <v>7.4632180834013067</v>
      </c>
      <c r="Q197" s="315" t="s">
        <v>1148</v>
      </c>
      <c r="R197" s="318">
        <v>250</v>
      </c>
      <c r="T197" s="320">
        <v>121.11111111111111</v>
      </c>
      <c r="U197" s="318">
        <v>30.5</v>
      </c>
      <c r="V197" s="318">
        <v>420</v>
      </c>
      <c r="W197" s="318">
        <v>80</v>
      </c>
      <c r="X197" s="315">
        <v>0.27900000000000003</v>
      </c>
      <c r="Y197" s="318">
        <v>41.6</v>
      </c>
      <c r="Z197" s="315">
        <v>1</v>
      </c>
      <c r="AA197" s="315" t="s">
        <v>1149</v>
      </c>
      <c r="AB197" s="315">
        <v>0</v>
      </c>
      <c r="AC197" s="315" t="s">
        <v>1157</v>
      </c>
    </row>
    <row r="198" spans="1:29">
      <c r="A198" s="315" t="s">
        <v>1993</v>
      </c>
      <c r="B198" s="315" t="s">
        <v>1487</v>
      </c>
      <c r="C198" s="329">
        <v>3.8500791666666601</v>
      </c>
      <c r="D198" s="329">
        <v>112.5</v>
      </c>
      <c r="E198" s="316" t="s">
        <v>1489</v>
      </c>
      <c r="F198" s="316" t="s">
        <v>1489</v>
      </c>
      <c r="G198" s="317">
        <v>6.2</v>
      </c>
      <c r="H198" s="317">
        <v>0</v>
      </c>
      <c r="I198" s="317">
        <v>0</v>
      </c>
      <c r="J198" s="317">
        <v>0</v>
      </c>
      <c r="K198" s="318">
        <v>0</v>
      </c>
      <c r="L198" s="318">
        <v>43.139440503802199</v>
      </c>
      <c r="M198" s="319">
        <v>46.288622213794298</v>
      </c>
      <c r="N198" s="319">
        <v>46.288622213794298</v>
      </c>
      <c r="O198" s="319">
        <f t="shared" si="3"/>
        <v>46.288622213794298</v>
      </c>
      <c r="P198" s="317">
        <v>2.8698945772552467</v>
      </c>
      <c r="Q198" s="315" t="s">
        <v>1168</v>
      </c>
      <c r="R198" s="318">
        <v>250</v>
      </c>
      <c r="T198" s="320">
        <v>121.11111111111111</v>
      </c>
      <c r="U198" s="318">
        <v>30.5</v>
      </c>
      <c r="V198" s="318">
        <v>420</v>
      </c>
      <c r="W198" s="318">
        <v>45</v>
      </c>
      <c r="X198" s="315">
        <v>0.27900000000000003</v>
      </c>
      <c r="Y198" s="318">
        <v>158</v>
      </c>
      <c r="Z198" s="315">
        <v>1</v>
      </c>
      <c r="AA198" s="315" t="s">
        <v>1149</v>
      </c>
      <c r="AB198" s="315">
        <v>0</v>
      </c>
      <c r="AC198" s="315" t="s">
        <v>1157</v>
      </c>
    </row>
    <row r="199" spans="1:29">
      <c r="A199" s="315" t="s">
        <v>1649</v>
      </c>
      <c r="B199" s="315" t="s">
        <v>648</v>
      </c>
      <c r="C199" s="329">
        <v>3.6054336111111098</v>
      </c>
      <c r="D199" s="329">
        <v>112.384444</v>
      </c>
      <c r="E199" s="316" t="s">
        <v>1490</v>
      </c>
      <c r="F199" s="316" t="s">
        <v>1491</v>
      </c>
      <c r="G199" s="317">
        <v>14.65347</v>
      </c>
      <c r="H199" s="317">
        <v>1.9201893999999999</v>
      </c>
      <c r="I199" s="317">
        <v>2.0051746000000001</v>
      </c>
      <c r="J199" s="317">
        <v>2.0051746000000001</v>
      </c>
      <c r="K199" s="318">
        <v>13.683957451716216</v>
      </c>
      <c r="L199" s="318">
        <v>52.432422453358299</v>
      </c>
      <c r="M199" s="319">
        <v>38.654956050368497</v>
      </c>
      <c r="N199" s="319">
        <v>24.97099859865228</v>
      </c>
      <c r="O199" s="319">
        <f t="shared" si="3"/>
        <v>24.97099859865228</v>
      </c>
      <c r="P199" s="317">
        <v>3.6591177883539325</v>
      </c>
      <c r="Q199" s="315" t="s">
        <v>1148</v>
      </c>
      <c r="R199" s="318">
        <v>190</v>
      </c>
      <c r="S199" s="315">
        <v>1</v>
      </c>
      <c r="T199" s="320">
        <v>87.777777777777771</v>
      </c>
      <c r="U199" s="318">
        <v>38.4</v>
      </c>
      <c r="V199" s="318">
        <v>14.3</v>
      </c>
      <c r="W199" s="318">
        <v>383</v>
      </c>
      <c r="X199" s="315">
        <v>0.155</v>
      </c>
      <c r="Y199" s="318">
        <v>111</v>
      </c>
      <c r="Z199" s="315">
        <v>4</v>
      </c>
      <c r="AA199" s="315" t="s">
        <v>1154</v>
      </c>
      <c r="AB199" s="315">
        <v>1</v>
      </c>
      <c r="AC199" s="315" t="s">
        <v>1157</v>
      </c>
    </row>
    <row r="200" spans="1:29">
      <c r="A200" s="315" t="s">
        <v>1696</v>
      </c>
      <c r="B200" s="315" t="s">
        <v>648</v>
      </c>
      <c r="C200" s="329">
        <v>3.5930741666666601</v>
      </c>
      <c r="D200" s="329">
        <v>112.384444</v>
      </c>
      <c r="E200" s="316" t="s">
        <v>1492</v>
      </c>
      <c r="F200" s="316" t="s">
        <v>1492</v>
      </c>
      <c r="G200" s="317">
        <v>14.12345</v>
      </c>
      <c r="H200" s="317">
        <v>0</v>
      </c>
      <c r="I200" s="317">
        <v>0</v>
      </c>
      <c r="J200" s="317">
        <v>0</v>
      </c>
      <c r="K200" s="318">
        <v>0</v>
      </c>
      <c r="L200" s="318">
        <v>73.595767659788095</v>
      </c>
      <c r="M200" s="319">
        <v>32.189137880764299</v>
      </c>
      <c r="N200" s="319">
        <v>32.189137880764299</v>
      </c>
      <c r="O200" s="319">
        <f t="shared" si="3"/>
        <v>32.189137880764299</v>
      </c>
      <c r="P200" s="317">
        <v>4.5462167940208058</v>
      </c>
      <c r="Q200" s="315" t="s">
        <v>1168</v>
      </c>
      <c r="R200" s="318">
        <v>195</v>
      </c>
      <c r="T200" s="320">
        <v>90.555555555555557</v>
      </c>
      <c r="U200" s="318">
        <v>40.850791717417792</v>
      </c>
      <c r="V200" s="318">
        <v>110</v>
      </c>
      <c r="W200" s="318">
        <v>13</v>
      </c>
      <c r="X200" s="315">
        <v>0.28000000000000003</v>
      </c>
      <c r="Y200" s="318">
        <v>800</v>
      </c>
      <c r="Z200" s="315">
        <v>0</v>
      </c>
      <c r="AA200" s="315" t="s">
        <v>1149</v>
      </c>
      <c r="AB200" s="315">
        <v>0</v>
      </c>
      <c r="AC200" s="315" t="s">
        <v>1157</v>
      </c>
    </row>
    <row r="201" spans="1:29">
      <c r="A201" s="315" t="s">
        <v>1698</v>
      </c>
      <c r="B201" s="315" t="s">
        <v>648</v>
      </c>
      <c r="C201" s="329">
        <v>3.6119972222222199</v>
      </c>
      <c r="D201" s="329">
        <v>112.384444</v>
      </c>
      <c r="E201" s="316" t="s">
        <v>1493</v>
      </c>
      <c r="F201" s="316" t="s">
        <v>1493</v>
      </c>
      <c r="G201" s="317">
        <v>23.626750000000001</v>
      </c>
      <c r="H201" s="317">
        <v>1.6483293999999999</v>
      </c>
      <c r="I201" s="317">
        <v>1.6921923999999999</v>
      </c>
      <c r="J201" s="317">
        <v>1.6921923999999999</v>
      </c>
      <c r="K201" s="318">
        <v>7.1621886209487116</v>
      </c>
      <c r="L201" s="318">
        <v>73.7516756151864</v>
      </c>
      <c r="M201" s="319">
        <v>29.669288462765596</v>
      </c>
      <c r="N201" s="319">
        <v>22.507099841816885</v>
      </c>
      <c r="O201" s="319">
        <f t="shared" si="3"/>
        <v>22.507099841816885</v>
      </c>
      <c r="P201" s="317">
        <v>5.3176962118764717</v>
      </c>
      <c r="Q201" s="315" t="s">
        <v>1148</v>
      </c>
      <c r="R201" s="318">
        <v>195</v>
      </c>
      <c r="T201" s="320">
        <v>90.555555555555557</v>
      </c>
      <c r="U201" s="318">
        <v>40.850791717417792</v>
      </c>
      <c r="V201" s="318">
        <v>80</v>
      </c>
      <c r="W201" s="318">
        <v>11</v>
      </c>
      <c r="X201" s="315">
        <v>0.17299999999999999</v>
      </c>
      <c r="Y201" s="318">
        <v>1800</v>
      </c>
      <c r="Z201" s="315">
        <v>2</v>
      </c>
      <c r="AA201" s="315" t="s">
        <v>1149</v>
      </c>
      <c r="AB201" s="315">
        <v>0</v>
      </c>
      <c r="AC201" s="315" t="s">
        <v>1157</v>
      </c>
    </row>
    <row r="202" spans="1:29">
      <c r="A202" s="315" t="s">
        <v>1145</v>
      </c>
      <c r="B202" s="315" t="s">
        <v>648</v>
      </c>
      <c r="C202" s="329">
        <v>3.6053341666666601</v>
      </c>
      <c r="D202" s="329">
        <v>112.384444</v>
      </c>
      <c r="E202" s="316" t="s">
        <v>1494</v>
      </c>
      <c r="F202" s="316" t="s">
        <v>1494</v>
      </c>
      <c r="G202" s="317">
        <v>14.99248</v>
      </c>
      <c r="H202" s="317">
        <v>0.54930000000000001</v>
      </c>
      <c r="I202" s="317">
        <v>0.54930000000000001</v>
      </c>
      <c r="J202" s="317">
        <v>0.54930000000000001</v>
      </c>
      <c r="K202" s="318">
        <v>3.6638368035174964</v>
      </c>
      <c r="L202" s="318">
        <v>52.989545028492401</v>
      </c>
      <c r="M202" s="319">
        <v>37.917677598361998</v>
      </c>
      <c r="N202" s="319">
        <v>34.2538407948445</v>
      </c>
      <c r="O202" s="319">
        <f t="shared" si="3"/>
        <v>34.2538407948445</v>
      </c>
      <c r="P202" s="317">
        <v>5.1355002303989021</v>
      </c>
      <c r="Q202" s="315" t="s">
        <v>1148</v>
      </c>
      <c r="R202" s="318">
        <v>195</v>
      </c>
      <c r="T202" s="320">
        <v>90.555555555555557</v>
      </c>
      <c r="U202" s="318">
        <v>40.850791717417792</v>
      </c>
      <c r="V202" s="318">
        <v>8.4654400642804539</v>
      </c>
      <c r="W202" s="318">
        <v>8.4649800000000006</v>
      </c>
      <c r="X202" s="315">
        <v>0.24</v>
      </c>
      <c r="Y202" s="318">
        <v>800</v>
      </c>
      <c r="Z202" s="315">
        <v>2</v>
      </c>
      <c r="AA202" s="315" t="s">
        <v>1149</v>
      </c>
      <c r="AB202" s="315">
        <v>0</v>
      </c>
      <c r="AC202" s="315" t="s">
        <v>1157</v>
      </c>
    </row>
    <row r="203" spans="1:29">
      <c r="A203" s="315" t="s">
        <v>1701</v>
      </c>
      <c r="B203" s="315" t="s">
        <v>648</v>
      </c>
      <c r="C203" s="329">
        <v>3.6057991666666598</v>
      </c>
      <c r="D203" s="329">
        <v>112.384444</v>
      </c>
      <c r="E203" s="316" t="s">
        <v>1495</v>
      </c>
      <c r="F203" s="316" t="s">
        <v>1495</v>
      </c>
      <c r="G203" s="317">
        <v>6.2831999999999999</v>
      </c>
      <c r="H203" s="317">
        <v>2.3642968999999998</v>
      </c>
      <c r="I203" s="317">
        <v>2.3750429</v>
      </c>
      <c r="J203" s="317">
        <v>2.3750429</v>
      </c>
      <c r="K203" s="318">
        <v>37.79989336643748</v>
      </c>
      <c r="L203" s="318">
        <v>52.7149769945758</v>
      </c>
      <c r="M203" s="319">
        <v>39.250278164536297</v>
      </c>
      <c r="N203" s="319">
        <v>1.4503847980988169</v>
      </c>
      <c r="O203" s="319">
        <f t="shared" si="3"/>
        <v>1.4503847980988169</v>
      </c>
      <c r="P203" s="317">
        <v>9.1130577634144866E-2</v>
      </c>
      <c r="Q203" s="315" t="s">
        <v>1148</v>
      </c>
      <c r="R203" s="318">
        <v>195</v>
      </c>
      <c r="T203" s="320">
        <v>90.555555555555557</v>
      </c>
      <c r="U203" s="318">
        <v>38.4</v>
      </c>
      <c r="V203" s="318">
        <v>17.5</v>
      </c>
      <c r="W203" s="318">
        <v>375</v>
      </c>
      <c r="X203" s="315">
        <v>0.23</v>
      </c>
      <c r="Y203" s="318">
        <v>134</v>
      </c>
      <c r="Z203" s="315">
        <v>4</v>
      </c>
      <c r="AA203" s="315" t="s">
        <v>1149</v>
      </c>
      <c r="AB203" s="315">
        <v>0</v>
      </c>
      <c r="AC203" s="315" t="s">
        <v>1150</v>
      </c>
    </row>
    <row r="204" spans="1:29">
      <c r="A204" s="315" t="s">
        <v>1145</v>
      </c>
      <c r="B204" s="315" t="s">
        <v>648</v>
      </c>
      <c r="C204" s="329">
        <v>3.6029719444444401</v>
      </c>
      <c r="D204" s="329">
        <v>112.384444</v>
      </c>
      <c r="E204" s="316" t="s">
        <v>1496</v>
      </c>
      <c r="F204" s="316" t="s">
        <v>1496</v>
      </c>
      <c r="G204" s="317">
        <v>19.587620000000001</v>
      </c>
      <c r="H204" s="317">
        <v>11.671225400000001</v>
      </c>
      <c r="I204" s="317">
        <v>12.136538692941588</v>
      </c>
      <c r="J204" s="317">
        <v>12.136538692941588</v>
      </c>
      <c r="K204" s="318">
        <v>61.960251898605279</v>
      </c>
      <c r="L204" s="318">
        <v>51.826404120811603</v>
      </c>
      <c r="M204" s="319">
        <v>39.974200671802201</v>
      </c>
      <c r="N204" s="319">
        <v>-21.986051226803077</v>
      </c>
      <c r="O204" s="319">
        <f t="shared" si="3"/>
        <v>0</v>
      </c>
      <c r="P204" s="317">
        <v>0</v>
      </c>
      <c r="Q204" s="315" t="s">
        <v>1148</v>
      </c>
      <c r="R204" s="318">
        <v>195</v>
      </c>
      <c r="T204" s="320">
        <v>90.555555555555557</v>
      </c>
      <c r="U204" s="318">
        <v>40.850791717417792</v>
      </c>
      <c r="V204" s="318">
        <v>48.6673872</v>
      </c>
      <c r="W204" s="318">
        <v>5.160012191405059</v>
      </c>
      <c r="X204" s="315">
        <v>0.24</v>
      </c>
      <c r="Y204" s="318">
        <v>786</v>
      </c>
      <c r="Z204" s="315">
        <v>3</v>
      </c>
      <c r="AA204" s="315" t="s">
        <v>1154</v>
      </c>
      <c r="AB204" s="315">
        <v>1</v>
      </c>
      <c r="AC204" s="315" t="s">
        <v>1190</v>
      </c>
    </row>
    <row r="205" spans="1:29">
      <c r="A205" s="315" t="s">
        <v>1145</v>
      </c>
      <c r="B205" s="315" t="s">
        <v>648</v>
      </c>
      <c r="C205" s="329">
        <v>3.6060220740740698</v>
      </c>
      <c r="D205" s="329">
        <v>112.384444</v>
      </c>
      <c r="E205" s="316" t="s">
        <v>1497</v>
      </c>
      <c r="F205" s="316" t="s">
        <v>1497</v>
      </c>
      <c r="G205" s="317">
        <v>28.02289</v>
      </c>
      <c r="H205" s="317">
        <v>15.1042024</v>
      </c>
      <c r="I205" s="317">
        <v>15.8465489</v>
      </c>
      <c r="J205" s="317">
        <v>15.8465489</v>
      </c>
      <c r="K205" s="318">
        <v>56.54858902846923</v>
      </c>
      <c r="L205" s="318">
        <v>70.216952774841303</v>
      </c>
      <c r="M205" s="319">
        <v>32.623390010423904</v>
      </c>
      <c r="N205" s="319">
        <v>-23.925199018045326</v>
      </c>
      <c r="O205" s="319">
        <f t="shared" si="3"/>
        <v>0</v>
      </c>
      <c r="P205" s="317">
        <v>0</v>
      </c>
      <c r="Q205" s="315" t="s">
        <v>1148</v>
      </c>
      <c r="R205" s="318">
        <v>195</v>
      </c>
      <c r="T205" s="320">
        <v>90.555555555555557</v>
      </c>
      <c r="U205" s="318">
        <v>40.850791717417792</v>
      </c>
      <c r="V205" s="318">
        <v>91</v>
      </c>
      <c r="W205" s="318">
        <v>79</v>
      </c>
      <c r="X205" s="315">
        <v>0.188</v>
      </c>
      <c r="Y205" s="318">
        <v>873</v>
      </c>
      <c r="Z205" s="315">
        <v>4</v>
      </c>
      <c r="AA205" s="315" t="s">
        <v>1154</v>
      </c>
      <c r="AB205" s="315">
        <v>1</v>
      </c>
      <c r="AC205" s="315" t="s">
        <v>1190</v>
      </c>
    </row>
    <row r="206" spans="1:29">
      <c r="A206" s="315" t="s">
        <v>1705</v>
      </c>
      <c r="B206" s="315" t="s">
        <v>648</v>
      </c>
      <c r="C206" s="329">
        <v>3.6065707486772398</v>
      </c>
      <c r="D206" s="329">
        <v>112.384444</v>
      </c>
      <c r="E206" s="316" t="s">
        <v>1498</v>
      </c>
      <c r="F206" s="316" t="s">
        <v>1498</v>
      </c>
      <c r="G206" s="317">
        <v>27.790890000000001</v>
      </c>
      <c r="H206" s="317">
        <v>7.9963335999999998</v>
      </c>
      <c r="I206" s="317">
        <v>8.685490999999999</v>
      </c>
      <c r="J206" s="317">
        <v>8.685490999999999</v>
      </c>
      <c r="K206" s="318">
        <v>31.253014926833934</v>
      </c>
      <c r="L206" s="318">
        <v>52.320704234619797</v>
      </c>
      <c r="M206" s="319">
        <v>39.716159786286795</v>
      </c>
      <c r="N206" s="319">
        <v>8.4631448594528607</v>
      </c>
      <c r="O206" s="319">
        <f t="shared" si="3"/>
        <v>8.4631448594528607</v>
      </c>
      <c r="P206" s="317">
        <v>2.3519832784311991</v>
      </c>
      <c r="Q206" s="315" t="s">
        <v>1148</v>
      </c>
      <c r="R206" s="318">
        <v>195</v>
      </c>
      <c r="T206" s="320">
        <v>90.555555555555557</v>
      </c>
      <c r="U206" s="318">
        <v>38.4</v>
      </c>
      <c r="V206" s="318">
        <v>25</v>
      </c>
      <c r="W206" s="318">
        <v>383</v>
      </c>
      <c r="X206" s="315">
        <v>0.25</v>
      </c>
      <c r="Y206" s="318">
        <v>324</v>
      </c>
      <c r="Z206" s="315">
        <v>4</v>
      </c>
      <c r="AA206" s="315" t="s">
        <v>1154</v>
      </c>
      <c r="AB206" s="315">
        <v>1</v>
      </c>
      <c r="AC206" s="315" t="s">
        <v>1157</v>
      </c>
    </row>
    <row r="207" spans="1:29">
      <c r="A207" s="315" t="s">
        <v>1707</v>
      </c>
      <c r="B207" s="315" t="s">
        <v>648</v>
      </c>
      <c r="C207" s="329">
        <v>3.60711942328042</v>
      </c>
      <c r="D207" s="329">
        <v>112.384444</v>
      </c>
      <c r="E207" s="316" t="s">
        <v>1499</v>
      </c>
      <c r="F207" s="316" t="s">
        <v>1499</v>
      </c>
      <c r="G207" s="317">
        <v>3.6811199999999999</v>
      </c>
      <c r="H207" s="317">
        <v>0</v>
      </c>
      <c r="I207" s="317">
        <v>0</v>
      </c>
      <c r="J207" s="317">
        <v>0</v>
      </c>
      <c r="K207" s="318">
        <v>0</v>
      </c>
      <c r="L207" s="318">
        <v>60.197300405751697</v>
      </c>
      <c r="M207" s="319">
        <v>36.282939682844201</v>
      </c>
      <c r="N207" s="319">
        <v>36.282939682844201</v>
      </c>
      <c r="O207" s="319">
        <f t="shared" si="3"/>
        <v>36.282939682844201</v>
      </c>
      <c r="P207" s="317">
        <v>1.3356185492531145</v>
      </c>
      <c r="Q207" s="315" t="s">
        <v>1168</v>
      </c>
      <c r="R207" s="318">
        <v>195</v>
      </c>
      <c r="T207" s="320">
        <v>90.555555555555557</v>
      </c>
      <c r="U207" s="318">
        <v>40.850791717417792</v>
      </c>
      <c r="V207" s="318">
        <v>5.9968581798995189</v>
      </c>
      <c r="W207" s="318">
        <v>21</v>
      </c>
      <c r="X207" s="315">
        <v>0.1535</v>
      </c>
      <c r="Y207" s="318">
        <v>1019</v>
      </c>
      <c r="Z207" s="315">
        <v>0</v>
      </c>
      <c r="AA207" s="315" t="s">
        <v>1149</v>
      </c>
      <c r="AB207" s="315">
        <v>0</v>
      </c>
      <c r="AC207" s="315" t="s">
        <v>1157</v>
      </c>
    </row>
    <row r="208" spans="1:29">
      <c r="A208" s="315" t="s">
        <v>1145</v>
      </c>
      <c r="B208" s="315" t="s">
        <v>648</v>
      </c>
      <c r="C208" s="329">
        <v>3.60766809788359</v>
      </c>
      <c r="D208" s="329">
        <v>112.384444</v>
      </c>
      <c r="E208" s="316" t="s">
        <v>1500</v>
      </c>
      <c r="F208" s="316" t="s">
        <v>1500</v>
      </c>
      <c r="G208" s="317">
        <v>16.01651</v>
      </c>
      <c r="H208" s="317">
        <v>0.40733760000000002</v>
      </c>
      <c r="I208" s="317">
        <v>0.41858030000000002</v>
      </c>
      <c r="J208" s="317">
        <v>0.41858030000000002</v>
      </c>
      <c r="K208" s="318">
        <v>2.6134301417724588</v>
      </c>
      <c r="L208" s="318">
        <v>52.833819064988198</v>
      </c>
      <c r="M208" s="319">
        <v>34.332349373524302</v>
      </c>
      <c r="N208" s="319">
        <v>31.718919231751844</v>
      </c>
      <c r="O208" s="319">
        <f t="shared" si="3"/>
        <v>31.718919231751844</v>
      </c>
      <c r="P208" s="317">
        <v>5.0802638706454575</v>
      </c>
      <c r="Q208" s="315" t="s">
        <v>1148</v>
      </c>
      <c r="R208" s="318">
        <v>195.50530000000001</v>
      </c>
      <c r="T208" s="320">
        <v>90.836277777777781</v>
      </c>
      <c r="U208" s="318">
        <v>38.4</v>
      </c>
      <c r="V208" s="318">
        <v>17.2</v>
      </c>
      <c r="W208" s="318">
        <v>375</v>
      </c>
      <c r="X208" s="315">
        <v>0.2</v>
      </c>
      <c r="Y208" s="318">
        <v>57</v>
      </c>
      <c r="Z208" s="315">
        <v>3</v>
      </c>
      <c r="AA208" s="315" t="s">
        <v>1149</v>
      </c>
      <c r="AB208" s="315">
        <v>0</v>
      </c>
      <c r="AC208" s="315" t="s">
        <v>1190</v>
      </c>
    </row>
    <row r="209" spans="1:29">
      <c r="A209" s="315" t="s">
        <v>1145</v>
      </c>
      <c r="B209" s="315" t="s">
        <v>648</v>
      </c>
      <c r="C209" s="329">
        <v>3.60821677248676</v>
      </c>
      <c r="D209" s="329">
        <v>112.384444</v>
      </c>
      <c r="E209" s="316" t="s">
        <v>1501</v>
      </c>
      <c r="F209" s="316" t="s">
        <v>1501</v>
      </c>
      <c r="G209" s="317">
        <v>43.393380000000001</v>
      </c>
      <c r="H209" s="317">
        <v>0</v>
      </c>
      <c r="I209" s="317">
        <v>0</v>
      </c>
      <c r="J209" s="317">
        <v>0</v>
      </c>
      <c r="K209" s="318">
        <v>0</v>
      </c>
      <c r="L209" s="318">
        <v>62.360850987276002</v>
      </c>
      <c r="M209" s="319">
        <v>36.632863927845698</v>
      </c>
      <c r="N209" s="319">
        <v>36.632863927845698</v>
      </c>
      <c r="O209" s="319">
        <f t="shared" si="3"/>
        <v>36.632863927845698</v>
      </c>
      <c r="P209" s="317">
        <v>15.89623784909301</v>
      </c>
      <c r="Q209" s="315" t="s">
        <v>1168</v>
      </c>
      <c r="R209" s="318">
        <v>197</v>
      </c>
      <c r="T209" s="320">
        <v>91.666666666666671</v>
      </c>
      <c r="U209" s="318">
        <v>38</v>
      </c>
      <c r="V209" s="318">
        <v>473</v>
      </c>
      <c r="W209" s="318">
        <v>22.5</v>
      </c>
      <c r="X209" s="315">
        <v>0.2</v>
      </c>
      <c r="Y209" s="318">
        <v>184</v>
      </c>
      <c r="Z209" s="315">
        <v>0</v>
      </c>
      <c r="AA209" s="315" t="s">
        <v>1149</v>
      </c>
      <c r="AB209" s="315">
        <v>0</v>
      </c>
      <c r="AC209" s="315" t="s">
        <v>1157</v>
      </c>
    </row>
    <row r="210" spans="1:29">
      <c r="A210" s="315" t="s">
        <v>1145</v>
      </c>
      <c r="B210" s="315" t="s">
        <v>648</v>
      </c>
      <c r="C210" s="329">
        <v>3.6087654470899402</v>
      </c>
      <c r="D210" s="329">
        <v>112.384444</v>
      </c>
      <c r="E210" s="316" t="s">
        <v>1503</v>
      </c>
      <c r="F210" s="316" t="s">
        <v>1503</v>
      </c>
      <c r="G210" s="317">
        <v>37.699199999999998</v>
      </c>
      <c r="H210" s="317">
        <v>1.7080663</v>
      </c>
      <c r="I210" s="317">
        <v>3.1925346063024467</v>
      </c>
      <c r="J210" s="317">
        <v>3.1925346063024467</v>
      </c>
      <c r="K210" s="318">
        <v>8.4684412568501379</v>
      </c>
      <c r="L210" s="318">
        <v>51.343929905935397</v>
      </c>
      <c r="M210" s="319">
        <v>40.422548820913399</v>
      </c>
      <c r="N210" s="319">
        <v>31.954107564063261</v>
      </c>
      <c r="O210" s="319">
        <f t="shared" si="3"/>
        <v>31.954107564063261</v>
      </c>
      <c r="P210" s="317">
        <v>12.046442918791335</v>
      </c>
      <c r="Q210" s="315" t="s">
        <v>1148</v>
      </c>
      <c r="R210" s="318">
        <v>197</v>
      </c>
      <c r="T210" s="320">
        <v>91.666666666666671</v>
      </c>
      <c r="U210" s="318">
        <v>38</v>
      </c>
      <c r="V210" s="318">
        <v>94</v>
      </c>
      <c r="W210" s="318">
        <v>40</v>
      </c>
      <c r="X210" s="315">
        <v>0.3</v>
      </c>
      <c r="Y210" s="318">
        <v>2836</v>
      </c>
      <c r="Z210" s="315">
        <v>0</v>
      </c>
      <c r="AA210" s="315" t="s">
        <v>1149</v>
      </c>
      <c r="AB210" s="315">
        <v>0</v>
      </c>
      <c r="AC210" s="315" t="s">
        <v>1157</v>
      </c>
    </row>
    <row r="211" spans="1:29">
      <c r="A211" s="315" t="s">
        <v>1145</v>
      </c>
      <c r="B211" s="315" t="s">
        <v>648</v>
      </c>
      <c r="C211" s="329">
        <v>3.6093141216931102</v>
      </c>
      <c r="D211" s="329">
        <v>112.384444</v>
      </c>
      <c r="E211" s="316" t="s">
        <v>1505</v>
      </c>
      <c r="F211" s="316" t="s">
        <v>1505</v>
      </c>
      <c r="G211" s="317">
        <v>39.899270000000001</v>
      </c>
      <c r="H211" s="317">
        <v>15.294478099999999</v>
      </c>
      <c r="I211" s="317">
        <v>15.564301899999998</v>
      </c>
      <c r="J211" s="317">
        <v>15.564301899999998</v>
      </c>
      <c r="K211" s="318">
        <v>39.00898913689398</v>
      </c>
      <c r="L211" s="318">
        <v>51.843355177846199</v>
      </c>
      <c r="M211" s="319">
        <v>41.312016298762799</v>
      </c>
      <c r="N211" s="319">
        <v>2.303027161868819</v>
      </c>
      <c r="O211" s="319">
        <f t="shared" si="3"/>
        <v>2.303027161868819</v>
      </c>
      <c r="P211" s="317">
        <v>0.91889102548737711</v>
      </c>
      <c r="Q211" s="315" t="s">
        <v>1148</v>
      </c>
      <c r="R211" s="318">
        <v>197.80199999999999</v>
      </c>
      <c r="T211" s="320">
        <v>92.112222222222215</v>
      </c>
      <c r="U211" s="318">
        <v>38.4</v>
      </c>
      <c r="V211" s="318">
        <v>34.200000000000003</v>
      </c>
      <c r="W211" s="318">
        <v>270</v>
      </c>
      <c r="X211" s="315">
        <v>0.2</v>
      </c>
      <c r="Y211" s="318">
        <v>555</v>
      </c>
      <c r="Z211" s="315">
        <v>4</v>
      </c>
      <c r="AA211" s="315" t="s">
        <v>1154</v>
      </c>
      <c r="AB211" s="315">
        <v>1</v>
      </c>
      <c r="AC211" s="315" t="s">
        <v>1157</v>
      </c>
    </row>
    <row r="212" spans="1:29">
      <c r="A212" s="315" t="s">
        <v>1145</v>
      </c>
      <c r="B212" s="315" t="s">
        <v>648</v>
      </c>
      <c r="C212" s="329">
        <v>3.6098627962962899</v>
      </c>
      <c r="D212" s="329">
        <v>112.384444</v>
      </c>
      <c r="E212" s="316" t="s">
        <v>1506</v>
      </c>
      <c r="F212" s="316" t="s">
        <v>1506</v>
      </c>
      <c r="G212" s="317">
        <v>8.7212800000000001</v>
      </c>
      <c r="H212" s="317">
        <v>2.3898009999999998</v>
      </c>
      <c r="I212" s="317">
        <v>2.3898009999999998</v>
      </c>
      <c r="J212" s="317">
        <v>2.3898009999999998</v>
      </c>
      <c r="K212" s="318">
        <v>27.401952465693107</v>
      </c>
      <c r="L212" s="318">
        <v>59.835469977931702</v>
      </c>
      <c r="M212" s="319">
        <v>37.7458399958199</v>
      </c>
      <c r="N212" s="319">
        <v>10.343887530126793</v>
      </c>
      <c r="O212" s="319">
        <f t="shared" si="3"/>
        <v>10.343887530126793</v>
      </c>
      <c r="P212" s="317">
        <v>0.90211939438744193</v>
      </c>
      <c r="Q212" s="315" t="s">
        <v>1148</v>
      </c>
      <c r="R212" s="318">
        <v>198.25</v>
      </c>
      <c r="T212" s="320">
        <v>92.361111111111114</v>
      </c>
      <c r="U212" s="318">
        <v>38.4</v>
      </c>
      <c r="V212" s="318">
        <v>0</v>
      </c>
      <c r="W212" s="318">
        <v>220</v>
      </c>
      <c r="X212" s="315">
        <v>0.24</v>
      </c>
      <c r="Y212" s="318">
        <v>272</v>
      </c>
      <c r="Z212" s="315">
        <v>3</v>
      </c>
      <c r="AA212" s="315" t="s">
        <v>1149</v>
      </c>
      <c r="AB212" s="315">
        <v>0</v>
      </c>
      <c r="AC212" s="315" t="s">
        <v>1157</v>
      </c>
    </row>
    <row r="213" spans="1:29">
      <c r="A213" s="315" t="s">
        <v>1145</v>
      </c>
      <c r="B213" s="315" t="s">
        <v>648</v>
      </c>
      <c r="C213" s="329">
        <v>3.6104114708994599</v>
      </c>
      <c r="D213" s="329">
        <v>112.384444</v>
      </c>
      <c r="E213" s="316" t="s">
        <v>1507</v>
      </c>
      <c r="F213" s="316" t="s">
        <v>1507</v>
      </c>
      <c r="G213" s="317">
        <v>13.53443</v>
      </c>
      <c r="H213" s="317">
        <v>6.9608306999999998</v>
      </c>
      <c r="I213" s="317">
        <v>7.2144740000000001</v>
      </c>
      <c r="J213" s="317">
        <v>7.2144740000000001</v>
      </c>
      <c r="K213" s="318">
        <v>53.304601671440906</v>
      </c>
      <c r="L213" s="318">
        <v>51.288895466031299</v>
      </c>
      <c r="M213" s="319">
        <v>40.978463445931204</v>
      </c>
      <c r="N213" s="319">
        <v>-12.326138225509702</v>
      </c>
      <c r="O213" s="319">
        <f t="shared" si="3"/>
        <v>0</v>
      </c>
      <c r="P213" s="317">
        <v>0</v>
      </c>
      <c r="Q213" s="315" t="s">
        <v>1148</v>
      </c>
      <c r="R213" s="318">
        <v>200.09870000000001</v>
      </c>
      <c r="T213" s="320">
        <v>93.388166666666677</v>
      </c>
      <c r="U213" s="318">
        <v>38.4</v>
      </c>
      <c r="V213" s="318">
        <v>47.5</v>
      </c>
      <c r="W213" s="318">
        <v>29</v>
      </c>
      <c r="X213" s="315">
        <v>0.24</v>
      </c>
      <c r="Y213" s="318">
        <v>908</v>
      </c>
      <c r="Z213" s="315">
        <v>3</v>
      </c>
      <c r="AA213" s="315" t="s">
        <v>1149</v>
      </c>
      <c r="AB213" s="315">
        <v>0</v>
      </c>
      <c r="AC213" s="315" t="s">
        <v>1157</v>
      </c>
    </row>
    <row r="214" spans="1:29">
      <c r="A214" s="315" t="s">
        <v>1808</v>
      </c>
      <c r="B214" s="315" t="s">
        <v>648</v>
      </c>
      <c r="C214" s="329">
        <v>3.6109601455026299</v>
      </c>
      <c r="D214" s="329">
        <v>112.384444</v>
      </c>
      <c r="E214" s="316" t="s">
        <v>1509</v>
      </c>
      <c r="F214" s="316" t="s">
        <v>1509</v>
      </c>
      <c r="G214" s="317">
        <v>40.170279999999998</v>
      </c>
      <c r="H214" s="317">
        <v>4.3398003000000003</v>
      </c>
      <c r="I214" s="317">
        <v>4.5439750000000005</v>
      </c>
      <c r="J214" s="317">
        <v>4.5439750000000005</v>
      </c>
      <c r="K214" s="318">
        <v>11.311783238752632</v>
      </c>
      <c r="L214" s="318">
        <v>51.848461894438898</v>
      </c>
      <c r="M214" s="319">
        <v>41.3110992394273</v>
      </c>
      <c r="N214" s="319">
        <v>29.999316000674668</v>
      </c>
      <c r="O214" s="319">
        <f t="shared" si="3"/>
        <v>29.999316000674668</v>
      </c>
      <c r="P214" s="317">
        <v>12.050809235555816</v>
      </c>
      <c r="Q214" s="315" t="s">
        <v>1148</v>
      </c>
      <c r="R214" s="318">
        <v>202.39540000000002</v>
      </c>
      <c r="T214" s="320">
        <v>94.664111111111126</v>
      </c>
      <c r="U214" s="318">
        <v>38.4</v>
      </c>
      <c r="V214" s="318">
        <v>37.299999999999997</v>
      </c>
      <c r="W214" s="318">
        <v>375</v>
      </c>
      <c r="X214" s="315">
        <v>0.25</v>
      </c>
      <c r="Y214" s="318">
        <v>558</v>
      </c>
      <c r="Z214" s="315">
        <v>5</v>
      </c>
      <c r="AA214" s="315" t="s">
        <v>1154</v>
      </c>
      <c r="AB214" s="315">
        <v>1</v>
      </c>
      <c r="AC214" s="315" t="s">
        <v>1157</v>
      </c>
    </row>
    <row r="215" spans="1:29">
      <c r="A215" s="315" t="s">
        <v>1969</v>
      </c>
      <c r="B215" s="315" t="s">
        <v>652</v>
      </c>
      <c r="C215" s="329">
        <v>3.8313230555555502</v>
      </c>
      <c r="D215" s="329">
        <v>112.45</v>
      </c>
      <c r="E215" s="316" t="s">
        <v>1510</v>
      </c>
      <c r="F215" s="316" t="s">
        <v>1510</v>
      </c>
      <c r="G215" s="317">
        <v>10.0359</v>
      </c>
      <c r="H215" s="317">
        <v>2.8505503999999999</v>
      </c>
      <c r="I215" s="317">
        <v>3.4544321</v>
      </c>
      <c r="J215" s="317">
        <v>11.460867500000001</v>
      </c>
      <c r="K215" s="318">
        <v>114.19870166103689</v>
      </c>
      <c r="L215" s="318">
        <v>66.898208929884305</v>
      </c>
      <c r="M215" s="319">
        <v>36.030160285759898</v>
      </c>
      <c r="N215" s="319">
        <v>-78.168541375276988</v>
      </c>
      <c r="O215" s="319">
        <f t="shared" si="3"/>
        <v>0</v>
      </c>
      <c r="P215" s="317">
        <v>0</v>
      </c>
      <c r="Q215" s="315" t="s">
        <v>1148</v>
      </c>
      <c r="R215" s="318">
        <v>239</v>
      </c>
      <c r="T215" s="320">
        <v>115</v>
      </c>
      <c r="U215" s="318">
        <v>35</v>
      </c>
      <c r="V215" s="318">
        <v>124</v>
      </c>
      <c r="W215" s="318">
        <v>62</v>
      </c>
      <c r="X215" s="315">
        <v>0.15</v>
      </c>
      <c r="Y215" s="318">
        <v>91</v>
      </c>
      <c r="Z215" s="315">
        <v>1</v>
      </c>
      <c r="AA215" s="315" t="s">
        <v>1149</v>
      </c>
      <c r="AB215" s="315">
        <v>0</v>
      </c>
      <c r="AC215" s="315" t="s">
        <v>1190</v>
      </c>
    </row>
    <row r="216" spans="1:29">
      <c r="A216" s="315" t="s">
        <v>1972</v>
      </c>
      <c r="B216" s="315" t="s">
        <v>652</v>
      </c>
      <c r="C216" s="329">
        <v>3.8313230555555502</v>
      </c>
      <c r="D216" s="329">
        <v>112.45</v>
      </c>
      <c r="E216" s="316" t="s">
        <v>1511</v>
      </c>
      <c r="F216" s="316" t="s">
        <v>1511</v>
      </c>
      <c r="G216" s="317">
        <v>10.902100000000001</v>
      </c>
      <c r="H216" s="317">
        <v>3.1952924</v>
      </c>
      <c r="I216" s="317">
        <v>3.6299808000000002</v>
      </c>
      <c r="J216" s="317">
        <v>4.0725088999999999</v>
      </c>
      <c r="K216" s="318">
        <v>37.355270085579839</v>
      </c>
      <c r="L216" s="318">
        <v>85.930970983236904</v>
      </c>
      <c r="M216" s="319">
        <v>25.218532647683201</v>
      </c>
      <c r="N216" s="319">
        <v>-12.136737437896638</v>
      </c>
      <c r="O216" s="319">
        <f t="shared" si="3"/>
        <v>0</v>
      </c>
      <c r="P216" s="317">
        <v>0</v>
      </c>
      <c r="Q216" s="315" t="s">
        <v>1148</v>
      </c>
      <c r="R216" s="318">
        <v>239</v>
      </c>
      <c r="T216" s="320">
        <v>115</v>
      </c>
      <c r="U216" s="318">
        <v>35</v>
      </c>
      <c r="V216" s="318">
        <v>287</v>
      </c>
      <c r="W216" s="318">
        <v>97</v>
      </c>
      <c r="X216" s="315">
        <v>0.19</v>
      </c>
      <c r="Y216" s="318">
        <v>859</v>
      </c>
      <c r="Z216" s="315">
        <v>1</v>
      </c>
      <c r="AA216" s="315" t="s">
        <v>1149</v>
      </c>
      <c r="AB216" s="315">
        <v>0</v>
      </c>
      <c r="AC216" s="315" t="s">
        <v>1190</v>
      </c>
    </row>
    <row r="217" spans="1:29">
      <c r="A217" s="315" t="s">
        <v>1145</v>
      </c>
      <c r="B217" s="315" t="s">
        <v>652</v>
      </c>
      <c r="C217" s="329">
        <v>3.8313230555555502</v>
      </c>
      <c r="D217" s="329">
        <v>112.45</v>
      </c>
      <c r="E217" s="316" t="s">
        <v>1512</v>
      </c>
      <c r="F217" s="316" t="s">
        <v>1512</v>
      </c>
      <c r="G217" s="317">
        <v>52.056199999999997</v>
      </c>
      <c r="H217" s="317">
        <v>2.2285631000000001</v>
      </c>
      <c r="I217" s="317">
        <v>2.5542855000000002</v>
      </c>
      <c r="J217" s="317">
        <v>9.4482090000000003</v>
      </c>
      <c r="K217" s="318">
        <v>18.150016712706655</v>
      </c>
      <c r="L217" s="318">
        <v>89.325830974088007</v>
      </c>
      <c r="M217" s="319">
        <v>20.858038887090601</v>
      </c>
      <c r="N217" s="319">
        <v>2.7080221743839452</v>
      </c>
      <c r="O217" s="319">
        <f t="shared" si="3"/>
        <v>2.7080221743839452</v>
      </c>
      <c r="P217" s="317">
        <v>1.4096934391416553</v>
      </c>
      <c r="Q217" s="315" t="s">
        <v>1148</v>
      </c>
      <c r="R217" s="318">
        <v>247</v>
      </c>
      <c r="T217" s="320">
        <v>119.44444444444444</v>
      </c>
      <c r="U217" s="318">
        <v>33</v>
      </c>
      <c r="V217" s="318">
        <v>356</v>
      </c>
      <c r="W217" s="318">
        <v>57</v>
      </c>
      <c r="X217" s="315">
        <v>0.2</v>
      </c>
      <c r="Y217" s="318">
        <v>352</v>
      </c>
      <c r="Z217" s="315">
        <v>2</v>
      </c>
      <c r="AA217" s="315" t="s">
        <v>1149</v>
      </c>
      <c r="AB217" s="315">
        <v>0</v>
      </c>
      <c r="AC217" s="315" t="s">
        <v>1190</v>
      </c>
    </row>
    <row r="218" spans="1:29">
      <c r="A218" s="315" t="s">
        <v>1145</v>
      </c>
      <c r="B218" s="315" t="s">
        <v>652</v>
      </c>
      <c r="C218" s="329">
        <v>3.8313230555555502</v>
      </c>
      <c r="D218" s="329">
        <v>112.45</v>
      </c>
      <c r="E218" s="316" t="s">
        <v>1513</v>
      </c>
      <c r="F218" s="316" t="s">
        <v>1513</v>
      </c>
      <c r="G218" s="317">
        <v>12.652900000000001</v>
      </c>
      <c r="H218" s="317">
        <v>0.51944170000000001</v>
      </c>
      <c r="I218" s="317">
        <v>1.5358087</v>
      </c>
      <c r="J218" s="317">
        <v>4.0863440999999998</v>
      </c>
      <c r="K218" s="318">
        <v>32.295711655035603</v>
      </c>
      <c r="L218" s="318">
        <v>86.954053270543795</v>
      </c>
      <c r="M218" s="319">
        <v>23.0237885210305</v>
      </c>
      <c r="N218" s="319">
        <v>-9.2719231340051032</v>
      </c>
      <c r="O218" s="319">
        <f t="shared" si="3"/>
        <v>0</v>
      </c>
      <c r="P218" s="317">
        <v>0</v>
      </c>
      <c r="Q218" s="315" t="s">
        <v>1148</v>
      </c>
      <c r="R218" s="318">
        <v>247</v>
      </c>
      <c r="T218" s="320">
        <v>119.44444444444444</v>
      </c>
      <c r="U218" s="318">
        <v>33</v>
      </c>
      <c r="V218" s="318">
        <v>288</v>
      </c>
      <c r="W218" s="318">
        <v>144</v>
      </c>
      <c r="X218" s="315">
        <v>0.19</v>
      </c>
      <c r="Y218" s="318">
        <v>405</v>
      </c>
      <c r="Z218" s="315">
        <v>1</v>
      </c>
      <c r="AA218" s="315" t="s">
        <v>1149</v>
      </c>
      <c r="AB218" s="315">
        <v>0</v>
      </c>
      <c r="AC218" s="315" t="s">
        <v>1190</v>
      </c>
    </row>
    <row r="219" spans="1:29">
      <c r="A219" s="315" t="s">
        <v>1145</v>
      </c>
      <c r="B219" s="315" t="s">
        <v>652</v>
      </c>
      <c r="C219" s="329">
        <v>3.8313230555555502</v>
      </c>
      <c r="D219" s="329">
        <v>112.45</v>
      </c>
      <c r="E219" s="316" t="s">
        <v>1514</v>
      </c>
      <c r="F219" s="316" t="s">
        <v>1514</v>
      </c>
      <c r="G219" s="317">
        <v>12.241199999999999</v>
      </c>
      <c r="H219" s="317">
        <v>4.6100000000000004E-3</v>
      </c>
      <c r="I219" s="317">
        <v>4.6100000000000004E-3</v>
      </c>
      <c r="J219" s="317">
        <v>1.9293651999999999</v>
      </c>
      <c r="K219" s="318">
        <v>15.761242361859948</v>
      </c>
      <c r="L219" s="318">
        <v>79.082721017948501</v>
      </c>
      <c r="M219" s="319">
        <v>30.015670896718401</v>
      </c>
      <c r="N219" s="319">
        <v>14.254428534858453</v>
      </c>
      <c r="O219" s="319">
        <f t="shared" si="3"/>
        <v>14.254428534858453</v>
      </c>
      <c r="P219" s="317">
        <v>1.744913105809093</v>
      </c>
      <c r="Q219" s="315" t="s">
        <v>1148</v>
      </c>
      <c r="R219" s="318">
        <v>260</v>
      </c>
      <c r="T219" s="320">
        <v>126.66666666666667</v>
      </c>
      <c r="U219" s="318">
        <v>33</v>
      </c>
      <c r="V219" s="318">
        <v>289</v>
      </c>
      <c r="W219" s="318">
        <v>58</v>
      </c>
      <c r="X219" s="315">
        <v>0.19</v>
      </c>
      <c r="Y219" s="318">
        <v>96.372</v>
      </c>
      <c r="Z219" s="315">
        <v>1</v>
      </c>
      <c r="AA219" s="315" t="s">
        <v>1149</v>
      </c>
      <c r="AB219" s="315">
        <v>0</v>
      </c>
      <c r="AC219" s="315" t="s">
        <v>1190</v>
      </c>
    </row>
    <row r="220" spans="1:29">
      <c r="A220" s="315" t="s">
        <v>1145</v>
      </c>
      <c r="B220" s="315" t="s">
        <v>652</v>
      </c>
      <c r="C220" s="329">
        <v>3.8313230555555502</v>
      </c>
      <c r="D220" s="329">
        <v>112.45</v>
      </c>
      <c r="E220" s="316" t="s">
        <v>1515</v>
      </c>
      <c r="F220" s="316" t="s">
        <v>1515</v>
      </c>
      <c r="G220" s="317">
        <v>16.952999999999999</v>
      </c>
      <c r="H220" s="317">
        <v>2.6881626000000001</v>
      </c>
      <c r="I220" s="317">
        <v>3.0288716</v>
      </c>
      <c r="J220" s="317">
        <v>3.0288716</v>
      </c>
      <c r="K220" s="318">
        <v>17.866286792898013</v>
      </c>
      <c r="L220" s="318">
        <v>74.779276397274799</v>
      </c>
      <c r="M220" s="319">
        <v>31.170435210053</v>
      </c>
      <c r="N220" s="319">
        <v>13.304148417154988</v>
      </c>
      <c r="O220" s="319">
        <f t="shared" si="3"/>
        <v>13.304148417154988</v>
      </c>
      <c r="P220" s="317">
        <v>2.2554522811602848</v>
      </c>
      <c r="Q220" s="315" t="s">
        <v>1148</v>
      </c>
      <c r="R220" s="318">
        <v>260</v>
      </c>
      <c r="T220" s="320">
        <v>126.66666666666667</v>
      </c>
      <c r="U220" s="318">
        <v>33</v>
      </c>
      <c r="V220" s="318">
        <v>283</v>
      </c>
      <c r="W220" s="318">
        <v>170</v>
      </c>
      <c r="X220" s="315">
        <v>0.21</v>
      </c>
      <c r="Y220" s="318">
        <v>126</v>
      </c>
      <c r="Z220" s="315">
        <v>2</v>
      </c>
      <c r="AA220" s="315" t="s">
        <v>1149</v>
      </c>
      <c r="AB220" s="315">
        <v>0</v>
      </c>
      <c r="AC220" s="315" t="s">
        <v>1190</v>
      </c>
    </row>
    <row r="221" spans="1:29">
      <c r="A221" s="315" t="s">
        <v>1596</v>
      </c>
      <c r="B221" s="315" t="s">
        <v>660</v>
      </c>
      <c r="C221" s="329">
        <v>3.56503083333333</v>
      </c>
      <c r="D221" s="329">
        <v>112.35</v>
      </c>
      <c r="E221" s="316" t="s">
        <v>1516</v>
      </c>
      <c r="F221" s="316" t="s">
        <v>1516</v>
      </c>
      <c r="G221" s="317">
        <v>34.69</v>
      </c>
      <c r="H221" s="317">
        <v>6.7205589999999997</v>
      </c>
      <c r="I221" s="317">
        <v>8.2724499999999992</v>
      </c>
      <c r="J221" s="317">
        <v>8.2724499999999992</v>
      </c>
      <c r="K221" s="318">
        <v>23.846785817238398</v>
      </c>
      <c r="L221" s="318">
        <v>55.1851656863047</v>
      </c>
      <c r="M221" s="319">
        <v>38.573043705912305</v>
      </c>
      <c r="N221" s="319">
        <v>14.726257888673906</v>
      </c>
      <c r="O221" s="319">
        <f t="shared" si="3"/>
        <v>14.726257888673906</v>
      </c>
      <c r="P221" s="317">
        <v>5.1085388615809784</v>
      </c>
      <c r="Q221" s="315" t="s">
        <v>1148</v>
      </c>
      <c r="R221" s="318">
        <v>182</v>
      </c>
      <c r="T221" s="320">
        <v>83.333333333333329</v>
      </c>
      <c r="U221" s="318">
        <v>36</v>
      </c>
      <c r="V221" s="318">
        <v>95.149000000000001</v>
      </c>
      <c r="W221" s="318">
        <v>300</v>
      </c>
      <c r="X221" s="315">
        <v>0.28000000000000003</v>
      </c>
      <c r="Y221" s="318">
        <v>4406</v>
      </c>
      <c r="Z221" s="315">
        <v>2</v>
      </c>
      <c r="AA221" s="315" t="s">
        <v>1149</v>
      </c>
      <c r="AB221" s="315">
        <v>0</v>
      </c>
      <c r="AC221" s="315" t="s">
        <v>1190</v>
      </c>
    </row>
    <row r="222" spans="1:29">
      <c r="A222" s="315" t="s">
        <v>1598</v>
      </c>
      <c r="B222" s="315" t="s">
        <v>660</v>
      </c>
      <c r="C222" s="329">
        <v>3.56503083333333</v>
      </c>
      <c r="D222" s="329">
        <v>112.35</v>
      </c>
      <c r="E222" s="316" t="s">
        <v>1518</v>
      </c>
      <c r="F222" s="316" t="s">
        <v>1518</v>
      </c>
      <c r="G222" s="317">
        <v>0</v>
      </c>
      <c r="H222" s="317">
        <v>0</v>
      </c>
      <c r="I222" s="317">
        <v>0</v>
      </c>
      <c r="J222" s="317">
        <v>0</v>
      </c>
      <c r="K222" s="318">
        <v>0</v>
      </c>
      <c r="L222" s="318">
        <v>61.657133361172498</v>
      </c>
      <c r="M222" s="319">
        <v>32.853841637349404</v>
      </c>
      <c r="N222" s="319">
        <v>0</v>
      </c>
      <c r="O222" s="319">
        <f t="shared" si="3"/>
        <v>0</v>
      </c>
      <c r="P222" s="317">
        <v>0</v>
      </c>
      <c r="Q222" s="315" t="s">
        <v>1168</v>
      </c>
      <c r="R222" s="318">
        <v>182</v>
      </c>
      <c r="T222" s="320">
        <v>83.333333333333329</v>
      </c>
      <c r="U222" s="318">
        <v>36</v>
      </c>
      <c r="V222" s="318">
        <v>31.497599999999998</v>
      </c>
      <c r="W222" s="318">
        <v>200</v>
      </c>
      <c r="X222" s="315">
        <v>0.28000000000000003</v>
      </c>
      <c r="Y222" s="318">
        <v>3448</v>
      </c>
      <c r="Z222" s="315">
        <v>2</v>
      </c>
      <c r="AA222" s="315" t="s">
        <v>1149</v>
      </c>
      <c r="AB222" s="315">
        <v>0</v>
      </c>
      <c r="AC222" s="315" t="s">
        <v>1190</v>
      </c>
    </row>
    <row r="223" spans="1:29">
      <c r="A223" s="315" t="s">
        <v>1145</v>
      </c>
      <c r="B223" s="315" t="s">
        <v>1519</v>
      </c>
      <c r="C223" s="329"/>
      <c r="D223" s="329"/>
      <c r="E223" s="316" t="s">
        <v>1520</v>
      </c>
      <c r="F223" s="316" t="s">
        <v>1520</v>
      </c>
      <c r="G223" s="317">
        <v>3.677</v>
      </c>
      <c r="H223" s="317">
        <v>0</v>
      </c>
      <c r="I223" s="317">
        <v>0</v>
      </c>
      <c r="J223" s="317">
        <v>0</v>
      </c>
      <c r="K223" s="318">
        <v>0</v>
      </c>
      <c r="L223" s="318">
        <v>72.477179663476505</v>
      </c>
      <c r="M223" s="319">
        <v>33.652371109533306</v>
      </c>
      <c r="N223" s="319">
        <v>33.652371109533306</v>
      </c>
      <c r="O223" s="319">
        <f t="shared" si="3"/>
        <v>33.652371109533306</v>
      </c>
      <c r="P223" s="317">
        <v>1.2373976856975397</v>
      </c>
      <c r="Q223" s="315" t="s">
        <v>1168</v>
      </c>
      <c r="R223" s="318">
        <v>193</v>
      </c>
      <c r="T223" s="320">
        <v>89.444444444444443</v>
      </c>
      <c r="U223" s="318">
        <v>39</v>
      </c>
      <c r="V223" s="318">
        <v>33</v>
      </c>
      <c r="W223" s="318">
        <v>273</v>
      </c>
      <c r="X223" s="315">
        <v>0.21</v>
      </c>
      <c r="Y223" s="318">
        <v>170</v>
      </c>
      <c r="Z223" s="315">
        <v>0</v>
      </c>
      <c r="AA223" s="315" t="s">
        <v>1149</v>
      </c>
      <c r="AB223" s="315">
        <v>0</v>
      </c>
      <c r="AC223" s="315" t="s">
        <v>1157</v>
      </c>
    </row>
    <row r="224" spans="1:29">
      <c r="A224" s="315" t="s">
        <v>1145</v>
      </c>
      <c r="B224" s="315" t="s">
        <v>768</v>
      </c>
      <c r="C224" s="329">
        <v>3.76273666666666</v>
      </c>
      <c r="D224" s="329">
        <v>112.06666800000001</v>
      </c>
      <c r="E224" s="316" t="s">
        <v>1522</v>
      </c>
      <c r="F224" s="316" t="s">
        <v>1522</v>
      </c>
      <c r="G224" s="317">
        <v>20.763608399999999</v>
      </c>
      <c r="H224" s="317">
        <v>8.3959083999999997</v>
      </c>
      <c r="I224" s="317">
        <v>8.7383069999999989</v>
      </c>
      <c r="J224" s="317">
        <v>8.7383069999999989</v>
      </c>
      <c r="K224" s="318">
        <v>42.084722614976691</v>
      </c>
      <c r="L224" s="318">
        <v>61.709081174776699</v>
      </c>
      <c r="M224" s="319">
        <v>37.575565180148104</v>
      </c>
      <c r="N224" s="319">
        <v>-4.5091574348285874</v>
      </c>
      <c r="O224" s="319">
        <f t="shared" si="3"/>
        <v>0</v>
      </c>
      <c r="P224" s="317">
        <v>0</v>
      </c>
      <c r="Q224" s="315" t="s">
        <v>1148</v>
      </c>
      <c r="R224" s="318">
        <v>184</v>
      </c>
      <c r="T224" s="320">
        <v>84.444444444444443</v>
      </c>
      <c r="U224" s="318">
        <v>40</v>
      </c>
      <c r="V224" s="318">
        <v>47.4</v>
      </c>
      <c r="W224" s="318">
        <v>40</v>
      </c>
      <c r="X224" s="315">
        <v>0.19600000000000001</v>
      </c>
      <c r="Y224" s="318">
        <v>310</v>
      </c>
      <c r="Z224" s="315">
        <v>3</v>
      </c>
      <c r="AA224" s="315" t="s">
        <v>1149</v>
      </c>
      <c r="AB224" s="315">
        <v>0</v>
      </c>
      <c r="AC224" s="315" t="s">
        <v>1157</v>
      </c>
    </row>
    <row r="225" spans="1:29">
      <c r="A225" s="315" t="s">
        <v>1145</v>
      </c>
      <c r="B225" s="315" t="s">
        <v>768</v>
      </c>
      <c r="C225" s="329">
        <v>3.76352111111111</v>
      </c>
      <c r="D225" s="329">
        <v>112.06666800000001</v>
      </c>
      <c r="E225" s="316" t="s">
        <v>1523</v>
      </c>
      <c r="F225" s="316" t="s">
        <v>1523</v>
      </c>
      <c r="G225" s="317">
        <v>19.0869699</v>
      </c>
      <c r="H225" s="317">
        <v>0</v>
      </c>
      <c r="I225" s="317">
        <v>0</v>
      </c>
      <c r="J225" s="317">
        <v>0</v>
      </c>
      <c r="K225" s="318">
        <v>0</v>
      </c>
      <c r="L225" s="318">
        <v>70.369153149812902</v>
      </c>
      <c r="M225" s="319">
        <v>33.045031230482202</v>
      </c>
      <c r="N225" s="319">
        <v>33.045031230482202</v>
      </c>
      <c r="O225" s="319">
        <f t="shared" si="3"/>
        <v>33.045031230482202</v>
      </c>
      <c r="P225" s="317">
        <v>6.3072951644077371</v>
      </c>
      <c r="Q225" s="315" t="s">
        <v>1168</v>
      </c>
      <c r="R225" s="318">
        <v>184</v>
      </c>
      <c r="T225" s="320">
        <v>84.444444444444443</v>
      </c>
      <c r="U225" s="318">
        <v>40</v>
      </c>
      <c r="V225" s="318">
        <v>117</v>
      </c>
      <c r="W225" s="318">
        <v>38</v>
      </c>
      <c r="X225" s="315">
        <v>0.22</v>
      </c>
      <c r="Y225" s="318">
        <v>550</v>
      </c>
      <c r="Z225" s="315">
        <v>1</v>
      </c>
      <c r="AA225" s="315" t="s">
        <v>1149</v>
      </c>
      <c r="AB225" s="315">
        <v>0</v>
      </c>
      <c r="AC225" s="315" t="s">
        <v>1157</v>
      </c>
    </row>
    <row r="226" spans="1:29">
      <c r="A226" s="315" t="s">
        <v>1615</v>
      </c>
      <c r="B226" s="315" t="s">
        <v>768</v>
      </c>
      <c r="C226" s="329">
        <v>3.77582611111111</v>
      </c>
      <c r="D226" s="329">
        <v>112.06666800000001</v>
      </c>
      <c r="E226" s="316" t="s">
        <v>1524</v>
      </c>
      <c r="F226" s="316" t="s">
        <v>1524</v>
      </c>
      <c r="G226" s="317">
        <v>55.9</v>
      </c>
      <c r="H226" s="317">
        <v>13.004777000000001</v>
      </c>
      <c r="I226" s="317">
        <v>13.004777000000001</v>
      </c>
      <c r="J226" s="317">
        <v>13.004777000000001</v>
      </c>
      <c r="K226" s="318">
        <v>23.264359570661899</v>
      </c>
      <c r="L226" s="318">
        <v>69.481321999706793</v>
      </c>
      <c r="M226" s="319">
        <v>34.418715822108794</v>
      </c>
      <c r="N226" s="319">
        <v>11.154356251446895</v>
      </c>
      <c r="O226" s="319">
        <f t="shared" si="3"/>
        <v>11.154356251446895</v>
      </c>
      <c r="P226" s="317">
        <v>6.235285144558814</v>
      </c>
      <c r="Q226" s="315" t="s">
        <v>1148</v>
      </c>
      <c r="R226" s="318">
        <v>184</v>
      </c>
      <c r="T226" s="320">
        <v>84.444444444444443</v>
      </c>
      <c r="U226" s="318">
        <v>40</v>
      </c>
      <c r="V226" s="318">
        <v>200</v>
      </c>
      <c r="W226" s="318">
        <v>40</v>
      </c>
      <c r="X226" s="315">
        <v>0.19600000000000001</v>
      </c>
      <c r="Y226" s="318">
        <v>310</v>
      </c>
      <c r="Z226" s="315">
        <v>10</v>
      </c>
      <c r="AA226" s="315" t="s">
        <v>1149</v>
      </c>
      <c r="AB226" s="315">
        <v>0</v>
      </c>
      <c r="AC226" s="315" t="s">
        <v>1157</v>
      </c>
    </row>
    <row r="227" spans="1:29">
      <c r="A227" s="315" t="s">
        <v>1615</v>
      </c>
      <c r="B227" s="315" t="s">
        <v>768</v>
      </c>
      <c r="C227" s="329">
        <v>3.7643175000000002</v>
      </c>
      <c r="D227" s="329">
        <v>112.06666800000001</v>
      </c>
      <c r="E227" s="316" t="s">
        <v>1526</v>
      </c>
      <c r="F227" s="316" t="s">
        <v>1526</v>
      </c>
      <c r="G227" s="317">
        <v>90</v>
      </c>
      <c r="H227" s="317">
        <v>17.315297000000001</v>
      </c>
      <c r="I227" s="317">
        <v>17.315297000000001</v>
      </c>
      <c r="J227" s="317">
        <v>17.315297000000001</v>
      </c>
      <c r="K227" s="318">
        <v>19.239218888888889</v>
      </c>
      <c r="L227" s="318">
        <v>66.304732146783806</v>
      </c>
      <c r="M227" s="319">
        <v>35.804453479082298</v>
      </c>
      <c r="N227" s="319">
        <v>16.565234590193409</v>
      </c>
      <c r="O227" s="319">
        <f t="shared" si="3"/>
        <v>16.565234590193409</v>
      </c>
      <c r="P227" s="317">
        <v>14.908711131174067</v>
      </c>
      <c r="Q227" s="315" t="s">
        <v>1148</v>
      </c>
      <c r="R227" s="318">
        <v>184</v>
      </c>
      <c r="T227" s="320">
        <v>84.444444444444443</v>
      </c>
      <c r="U227" s="318">
        <v>40</v>
      </c>
      <c r="V227" s="318">
        <v>200</v>
      </c>
      <c r="W227" s="318">
        <v>50</v>
      </c>
      <c r="X227" s="315">
        <v>0.19600000000000001</v>
      </c>
      <c r="Y227" s="318">
        <v>310</v>
      </c>
      <c r="Z227" s="315">
        <v>7</v>
      </c>
      <c r="AA227" s="315" t="s">
        <v>1440</v>
      </c>
      <c r="AB227" s="315">
        <v>4</v>
      </c>
      <c r="AC227" s="315" t="s">
        <v>1157</v>
      </c>
    </row>
    <row r="228" spans="1:29">
      <c r="A228" s="315" t="s">
        <v>1963</v>
      </c>
      <c r="B228" s="315" t="s">
        <v>768</v>
      </c>
      <c r="C228" s="329">
        <v>3.7927280555555498</v>
      </c>
      <c r="D228" s="329">
        <v>112.06666800000001</v>
      </c>
      <c r="E228" s="316" t="s">
        <v>1527</v>
      </c>
      <c r="F228" s="316" t="s">
        <v>1527</v>
      </c>
      <c r="G228" s="317">
        <v>19.135448699999998</v>
      </c>
      <c r="H228" s="317">
        <v>5.0380770999999998</v>
      </c>
      <c r="I228" s="317">
        <v>7.3458418999999999</v>
      </c>
      <c r="J228" s="317">
        <v>10.391889232735</v>
      </c>
      <c r="K228" s="318">
        <v>54.307005786255758</v>
      </c>
      <c r="L228" s="318">
        <v>64.790862307935697</v>
      </c>
      <c r="M228" s="319">
        <v>36.680071594680705</v>
      </c>
      <c r="N228" s="319">
        <v>-17.626934191575053</v>
      </c>
      <c r="O228" s="319">
        <f t="shared" si="3"/>
        <v>0</v>
      </c>
      <c r="P228" s="317">
        <v>0</v>
      </c>
      <c r="Q228" s="315" t="s">
        <v>1148</v>
      </c>
      <c r="R228" s="318">
        <v>235</v>
      </c>
      <c r="T228" s="320">
        <v>112.77777777777777</v>
      </c>
      <c r="U228" s="318">
        <v>34.5</v>
      </c>
      <c r="V228" s="318">
        <v>132.30000000000001</v>
      </c>
      <c r="W228" s="318">
        <v>21</v>
      </c>
      <c r="X228" s="315">
        <v>0.2</v>
      </c>
      <c r="Y228" s="318">
        <v>258</v>
      </c>
      <c r="Z228" s="315">
        <v>5</v>
      </c>
      <c r="AA228" s="315" t="s">
        <v>1149</v>
      </c>
      <c r="AB228" s="315">
        <v>0</v>
      </c>
      <c r="AC228" s="315" t="s">
        <v>1157</v>
      </c>
    </row>
    <row r="229" spans="1:29">
      <c r="A229" s="315" t="s">
        <v>1965</v>
      </c>
      <c r="B229" s="315" t="s">
        <v>768</v>
      </c>
      <c r="C229" s="329">
        <v>3.7626363888888799</v>
      </c>
      <c r="D229" s="329">
        <v>112.06666800000001</v>
      </c>
      <c r="E229" s="316" t="s">
        <v>1528</v>
      </c>
      <c r="F229" s="316" t="s">
        <v>1528</v>
      </c>
      <c r="G229" s="317">
        <v>149.5</v>
      </c>
      <c r="H229" s="317">
        <v>48.155796000000002</v>
      </c>
      <c r="I229" s="317">
        <v>48.155796000000002</v>
      </c>
      <c r="J229" s="317">
        <v>48.155796000000002</v>
      </c>
      <c r="K229" s="318">
        <v>32.211234782608699</v>
      </c>
      <c r="L229" s="318">
        <v>68.993807326029795</v>
      </c>
      <c r="M229" s="319">
        <v>34.711213467002402</v>
      </c>
      <c r="N229" s="319">
        <v>2.4999786843937031</v>
      </c>
      <c r="O229" s="319">
        <f t="shared" si="3"/>
        <v>2.4999786843937031</v>
      </c>
      <c r="P229" s="317">
        <v>3.7374681331685862</v>
      </c>
      <c r="Q229" s="315" t="s">
        <v>1148</v>
      </c>
      <c r="R229" s="318">
        <v>235</v>
      </c>
      <c r="T229" s="320">
        <v>112.77777777777777</v>
      </c>
      <c r="U229" s="318">
        <v>34.5</v>
      </c>
      <c r="V229" s="318">
        <v>200</v>
      </c>
      <c r="W229" s="318">
        <v>80</v>
      </c>
      <c r="X229" s="315">
        <v>0.19600000000000001</v>
      </c>
      <c r="Y229" s="318">
        <v>310</v>
      </c>
      <c r="Z229" s="315">
        <v>13</v>
      </c>
      <c r="AA229" s="315" t="s">
        <v>1440</v>
      </c>
      <c r="AB229" s="315">
        <v>4</v>
      </c>
      <c r="AC229" s="315" t="s">
        <v>1157</v>
      </c>
    </row>
    <row r="230" spans="1:29">
      <c r="A230" s="315" t="s">
        <v>1145</v>
      </c>
      <c r="B230" s="315" t="s">
        <v>696</v>
      </c>
      <c r="C230" s="345" t="s">
        <v>2009</v>
      </c>
      <c r="D230" s="345" t="s">
        <v>2010</v>
      </c>
      <c r="E230" s="316" t="s">
        <v>1529</v>
      </c>
      <c r="F230" s="316" t="s">
        <v>1529</v>
      </c>
      <c r="G230" s="317">
        <v>7.98</v>
      </c>
      <c r="H230" s="317">
        <v>0.37204852026601398</v>
      </c>
      <c r="I230" s="317">
        <v>0.40079127745386856</v>
      </c>
      <c r="J230" s="317">
        <v>0.40079127745386856</v>
      </c>
      <c r="K230" s="318">
        <v>5.0224470858880768</v>
      </c>
      <c r="L230" s="318">
        <v>0</v>
      </c>
      <c r="M230" s="319">
        <v>0</v>
      </c>
      <c r="N230" s="319">
        <v>-5.0224470858880768</v>
      </c>
      <c r="O230" s="319">
        <f t="shared" si="3"/>
        <v>0</v>
      </c>
      <c r="P230" s="317">
        <v>0</v>
      </c>
      <c r="Q230" s="315" t="s">
        <v>1148</v>
      </c>
      <c r="R230" s="318">
        <v>0</v>
      </c>
      <c r="T230" s="320">
        <v>96</v>
      </c>
      <c r="U230" s="318">
        <v>30</v>
      </c>
      <c r="V230" s="318">
        <v>286.5</v>
      </c>
      <c r="W230" s="318">
        <v>104</v>
      </c>
      <c r="X230" s="315">
        <v>0.01</v>
      </c>
      <c r="Y230" s="318">
        <v>0.01</v>
      </c>
      <c r="Z230" s="315">
        <v>0</v>
      </c>
      <c r="AA230" s="315" t="s">
        <v>1149</v>
      </c>
      <c r="AB230" s="315">
        <v>0</v>
      </c>
      <c r="AC230" s="315" t="s">
        <v>1435</v>
      </c>
    </row>
    <row r="231" spans="1:29">
      <c r="A231" s="315" t="s">
        <v>1145</v>
      </c>
      <c r="B231" s="315" t="s">
        <v>696</v>
      </c>
      <c r="C231" s="345" t="s">
        <v>2009</v>
      </c>
      <c r="D231" s="345" t="s">
        <v>2010</v>
      </c>
      <c r="E231" s="316" t="s">
        <v>1530</v>
      </c>
      <c r="F231" s="316" t="s">
        <v>1530</v>
      </c>
      <c r="G231" s="317">
        <v>0.9</v>
      </c>
      <c r="H231" s="317">
        <v>0</v>
      </c>
      <c r="I231" s="317">
        <v>0</v>
      </c>
      <c r="J231" s="317">
        <v>0</v>
      </c>
      <c r="K231" s="318">
        <v>0</v>
      </c>
      <c r="L231" s="318">
        <v>0</v>
      </c>
      <c r="M231" s="319">
        <v>0</v>
      </c>
      <c r="N231" s="319">
        <v>0</v>
      </c>
      <c r="O231" s="319">
        <f t="shared" si="3"/>
        <v>0</v>
      </c>
      <c r="P231" s="317">
        <v>0</v>
      </c>
      <c r="Q231" s="315" t="s">
        <v>1168</v>
      </c>
      <c r="R231" s="318">
        <v>0</v>
      </c>
      <c r="T231" s="320">
        <v>96</v>
      </c>
      <c r="U231" s="318">
        <v>30</v>
      </c>
      <c r="V231" s="318">
        <v>111</v>
      </c>
      <c r="W231" s="318">
        <v>232</v>
      </c>
      <c r="X231" s="315">
        <v>0.01</v>
      </c>
      <c r="Y231" s="318">
        <v>0.01</v>
      </c>
      <c r="Z231" s="315">
        <v>2</v>
      </c>
      <c r="AA231" s="315" t="s">
        <v>1149</v>
      </c>
      <c r="AB231" s="315">
        <v>0</v>
      </c>
      <c r="AC231" s="315" t="s">
        <v>1435</v>
      </c>
    </row>
    <row r="232" spans="1:29">
      <c r="A232" s="315" t="s">
        <v>1145</v>
      </c>
      <c r="B232" s="315" t="s">
        <v>696</v>
      </c>
      <c r="C232" s="345" t="s">
        <v>2009</v>
      </c>
      <c r="D232" s="345" t="s">
        <v>2010</v>
      </c>
      <c r="E232" s="316" t="s">
        <v>1531</v>
      </c>
      <c r="F232" s="316" t="s">
        <v>1531</v>
      </c>
      <c r="G232" s="317">
        <v>12.5</v>
      </c>
      <c r="H232" s="317">
        <v>0</v>
      </c>
      <c r="I232" s="317">
        <v>0</v>
      </c>
      <c r="J232" s="317">
        <v>0.97934705834029323</v>
      </c>
      <c r="K232" s="318">
        <v>7.8347764667223458</v>
      </c>
      <c r="L232" s="318">
        <v>68.004089065406703</v>
      </c>
      <c r="M232" s="319">
        <v>32.583711919897503</v>
      </c>
      <c r="N232" s="319">
        <v>24.748935453175157</v>
      </c>
      <c r="O232" s="319">
        <f t="shared" si="3"/>
        <v>24.748935453175157</v>
      </c>
      <c r="P232" s="317">
        <v>3.0936169316468947</v>
      </c>
      <c r="Q232" s="315" t="s">
        <v>1168</v>
      </c>
      <c r="R232" s="318">
        <v>194.7</v>
      </c>
      <c r="T232" s="320">
        <v>90.388888888888886</v>
      </c>
      <c r="U232" s="318">
        <v>36</v>
      </c>
      <c r="V232" s="318">
        <v>116</v>
      </c>
      <c r="W232" s="318">
        <v>17.716536000000001</v>
      </c>
      <c r="X232" s="315">
        <v>0.2</v>
      </c>
      <c r="Y232" s="318">
        <v>40</v>
      </c>
      <c r="Z232" s="315">
        <v>0</v>
      </c>
      <c r="AA232" s="315" t="s">
        <v>1149</v>
      </c>
      <c r="AB232" s="315">
        <v>0</v>
      </c>
      <c r="AC232" s="315" t="s">
        <v>1435</v>
      </c>
    </row>
    <row r="233" spans="1:29">
      <c r="A233" s="315" t="s">
        <v>1145</v>
      </c>
      <c r="B233" s="315" t="s">
        <v>696</v>
      </c>
      <c r="C233" s="345" t="s">
        <v>2009</v>
      </c>
      <c r="D233" s="345" t="s">
        <v>2010</v>
      </c>
      <c r="E233" s="316" t="s">
        <v>1532</v>
      </c>
      <c r="F233" s="316" t="s">
        <v>1532</v>
      </c>
      <c r="G233" s="317">
        <v>0.9</v>
      </c>
      <c r="H233" s="317">
        <v>0</v>
      </c>
      <c r="I233" s="317">
        <v>0</v>
      </c>
      <c r="J233" s="317">
        <v>0</v>
      </c>
      <c r="K233" s="318">
        <v>0</v>
      </c>
      <c r="L233" s="318">
        <v>74.723981404534996</v>
      </c>
      <c r="M233" s="319">
        <v>29.619919816731301</v>
      </c>
      <c r="N233" s="319">
        <v>29.619919816731301</v>
      </c>
      <c r="O233" s="319">
        <f t="shared" si="3"/>
        <v>29.619919816731301</v>
      </c>
      <c r="P233" s="317">
        <v>0.26657927835058171</v>
      </c>
      <c r="Q233" s="315" t="s">
        <v>1168</v>
      </c>
      <c r="R233" s="318">
        <v>196.1</v>
      </c>
      <c r="T233" s="320">
        <v>91.166666666666671</v>
      </c>
      <c r="U233" s="318">
        <v>36</v>
      </c>
      <c r="V233" s="318">
        <v>164.66666666666666</v>
      </c>
      <c r="W233" s="318">
        <v>75</v>
      </c>
      <c r="X233" s="315">
        <v>0.22</v>
      </c>
      <c r="Y233" s="318">
        <v>60</v>
      </c>
      <c r="Z233" s="315">
        <v>0</v>
      </c>
      <c r="AA233" s="315" t="s">
        <v>1149</v>
      </c>
      <c r="AB233" s="315">
        <v>0</v>
      </c>
      <c r="AC233" s="315" t="s">
        <v>1435</v>
      </c>
    </row>
    <row r="234" spans="1:29">
      <c r="A234" s="315" t="s">
        <v>1145</v>
      </c>
      <c r="B234" s="315" t="s">
        <v>696</v>
      </c>
      <c r="C234" s="345" t="s">
        <v>2009</v>
      </c>
      <c r="D234" s="345" t="s">
        <v>2010</v>
      </c>
      <c r="E234" s="316" t="s">
        <v>1533</v>
      </c>
      <c r="F234" s="316" t="s">
        <v>1533</v>
      </c>
      <c r="G234" s="317">
        <v>24.05</v>
      </c>
      <c r="H234" s="317">
        <v>8.4342824933965179</v>
      </c>
      <c r="I234" s="317">
        <v>9.0578518237438317</v>
      </c>
      <c r="J234" s="317">
        <v>9.0578518237438317</v>
      </c>
      <c r="K234" s="318">
        <v>37.662585545712396</v>
      </c>
      <c r="L234" s="318">
        <v>57.490523804396702</v>
      </c>
      <c r="M234" s="319">
        <v>36.596713166494702</v>
      </c>
      <c r="N234" s="319">
        <v>-1.0658723792176943</v>
      </c>
      <c r="O234" s="319">
        <f t="shared" si="3"/>
        <v>0</v>
      </c>
      <c r="P234" s="317">
        <v>0</v>
      </c>
      <c r="Q234" s="315" t="s">
        <v>1148</v>
      </c>
      <c r="R234" s="318">
        <v>200</v>
      </c>
      <c r="T234" s="320">
        <v>93.333333333333329</v>
      </c>
      <c r="U234" s="318">
        <v>35.49</v>
      </c>
      <c r="V234" s="318">
        <v>150</v>
      </c>
      <c r="W234" s="318">
        <v>209.5</v>
      </c>
      <c r="X234" s="315">
        <v>0.22</v>
      </c>
      <c r="Y234" s="318">
        <v>42</v>
      </c>
      <c r="Z234" s="315">
        <v>22</v>
      </c>
      <c r="AA234" s="315" t="s">
        <v>1154</v>
      </c>
      <c r="AB234" s="315">
        <v>6</v>
      </c>
      <c r="AC234" s="315" t="s">
        <v>1435</v>
      </c>
    </row>
    <row r="235" spans="1:29">
      <c r="A235" s="315" t="s">
        <v>1485</v>
      </c>
      <c r="B235" s="315" t="s">
        <v>696</v>
      </c>
      <c r="C235" s="345" t="s">
        <v>2009</v>
      </c>
      <c r="D235" s="345" t="s">
        <v>2010</v>
      </c>
      <c r="E235" s="316" t="s">
        <v>1534</v>
      </c>
      <c r="F235" s="316" t="s">
        <v>1534</v>
      </c>
      <c r="G235" s="317">
        <v>22.65</v>
      </c>
      <c r="H235" s="317">
        <v>6.1316065301300942</v>
      </c>
      <c r="I235" s="317">
        <v>6.5913170305948388</v>
      </c>
      <c r="J235" s="317">
        <v>6.5913170305948388</v>
      </c>
      <c r="K235" s="318">
        <v>29.100737441919822</v>
      </c>
      <c r="L235" s="318">
        <v>47.493139771560102</v>
      </c>
      <c r="M235" s="319">
        <v>43.730722467973202</v>
      </c>
      <c r="N235" s="319">
        <v>14.629985026053379</v>
      </c>
      <c r="O235" s="319">
        <f t="shared" si="3"/>
        <v>14.629985026053379</v>
      </c>
      <c r="P235" s="317">
        <v>3.3136916084010903</v>
      </c>
      <c r="Q235" s="315" t="s">
        <v>1148</v>
      </c>
      <c r="R235" s="318">
        <v>200</v>
      </c>
      <c r="T235" s="320">
        <v>93.333333333333329</v>
      </c>
      <c r="U235" s="318">
        <v>35</v>
      </c>
      <c r="V235" s="318">
        <v>399.33333333333331</v>
      </c>
      <c r="W235" s="318">
        <v>24</v>
      </c>
      <c r="X235" s="315">
        <v>0.24</v>
      </c>
      <c r="Y235" s="318">
        <v>80</v>
      </c>
      <c r="Z235" s="315">
        <v>10</v>
      </c>
      <c r="AA235" s="315" t="s">
        <v>1420</v>
      </c>
      <c r="AB235" s="315">
        <v>5</v>
      </c>
      <c r="AC235" s="315" t="s">
        <v>1435</v>
      </c>
    </row>
    <row r="236" spans="1:29">
      <c r="A236" s="315" t="s">
        <v>1145</v>
      </c>
      <c r="B236" s="315" t="s">
        <v>696</v>
      </c>
      <c r="C236" s="345" t="s">
        <v>2009</v>
      </c>
      <c r="D236" s="345" t="s">
        <v>2010</v>
      </c>
      <c r="E236" s="316" t="s">
        <v>1535</v>
      </c>
      <c r="F236" s="316" t="s">
        <v>1535</v>
      </c>
      <c r="G236" s="317">
        <v>7.38</v>
      </c>
      <c r="H236" s="317">
        <v>0</v>
      </c>
      <c r="I236" s="317">
        <v>0</v>
      </c>
      <c r="J236" s="317">
        <v>0.58967260484904538</v>
      </c>
      <c r="K236" s="318">
        <v>7.9901436971415372</v>
      </c>
      <c r="L236" s="318">
        <v>50.967298557669302</v>
      </c>
      <c r="M236" s="319">
        <v>43.292097158398001</v>
      </c>
      <c r="N236" s="319">
        <v>35.30195346125646</v>
      </c>
      <c r="O236" s="319">
        <f t="shared" si="3"/>
        <v>35.30195346125646</v>
      </c>
      <c r="P236" s="317">
        <v>2.6052841654407266</v>
      </c>
      <c r="Q236" s="315" t="s">
        <v>1168</v>
      </c>
      <c r="R236" s="318">
        <v>200</v>
      </c>
      <c r="T236" s="320">
        <v>93.333333333333329</v>
      </c>
      <c r="U236" s="318">
        <v>36</v>
      </c>
      <c r="V236" s="318">
        <v>213</v>
      </c>
      <c r="W236" s="318">
        <v>85</v>
      </c>
      <c r="X236" s="315">
        <v>0.24</v>
      </c>
      <c r="Y236" s="318">
        <v>90</v>
      </c>
      <c r="Z236" s="315">
        <v>4</v>
      </c>
      <c r="AA236" s="315" t="s">
        <v>1154</v>
      </c>
      <c r="AB236" s="315">
        <v>2</v>
      </c>
      <c r="AC236" s="315" t="s">
        <v>1435</v>
      </c>
    </row>
    <row r="237" spans="1:29">
      <c r="A237" s="315" t="s">
        <v>1782</v>
      </c>
      <c r="B237" s="315" t="s">
        <v>696</v>
      </c>
      <c r="C237" s="345" t="s">
        <v>2009</v>
      </c>
      <c r="D237" s="345" t="s">
        <v>2010</v>
      </c>
      <c r="E237" s="316" t="s">
        <v>1536</v>
      </c>
      <c r="F237" s="316" t="s">
        <v>1536</v>
      </c>
      <c r="G237" s="317">
        <v>5.65</v>
      </c>
      <c r="H237" s="317">
        <v>0</v>
      </c>
      <c r="I237" s="317">
        <v>0</v>
      </c>
      <c r="J237" s="317">
        <v>0.29721714315770437</v>
      </c>
      <c r="K237" s="318">
        <v>5.2604804098708735</v>
      </c>
      <c r="L237" s="318">
        <v>48.596451069716103</v>
      </c>
      <c r="M237" s="319">
        <v>43.5294159248526</v>
      </c>
      <c r="N237" s="319">
        <v>38.268935514981727</v>
      </c>
      <c r="O237" s="319">
        <f t="shared" si="3"/>
        <v>38.268935514981727</v>
      </c>
      <c r="P237" s="317">
        <v>2.1621948565964679</v>
      </c>
      <c r="Q237" s="315" t="s">
        <v>1168</v>
      </c>
      <c r="R237" s="318">
        <v>200</v>
      </c>
      <c r="T237" s="320">
        <v>93.333333333333329</v>
      </c>
      <c r="U237" s="318">
        <v>38.47</v>
      </c>
      <c r="V237" s="318">
        <v>318.33333333333331</v>
      </c>
      <c r="W237" s="318">
        <v>96</v>
      </c>
      <c r="X237" s="315">
        <v>0.23</v>
      </c>
      <c r="Y237" s="318">
        <v>100</v>
      </c>
      <c r="Z237" s="315">
        <v>0</v>
      </c>
      <c r="AA237" s="315" t="s">
        <v>1420</v>
      </c>
      <c r="AB237" s="315">
        <v>4</v>
      </c>
      <c r="AC237" s="315" t="s">
        <v>1435</v>
      </c>
    </row>
    <row r="238" spans="1:29">
      <c r="A238" s="315" t="s">
        <v>1145</v>
      </c>
      <c r="B238" s="315" t="s">
        <v>696</v>
      </c>
      <c r="C238" s="345" t="s">
        <v>2009</v>
      </c>
      <c r="D238" s="345" t="s">
        <v>2010</v>
      </c>
      <c r="E238" s="316" t="s">
        <v>1537</v>
      </c>
      <c r="F238" s="316" t="s">
        <v>1537</v>
      </c>
      <c r="G238" s="317">
        <v>20.63</v>
      </c>
      <c r="H238" s="317">
        <v>3.0305426941895299</v>
      </c>
      <c r="I238" s="317">
        <v>3.2559626982915009</v>
      </c>
      <c r="J238" s="317">
        <v>3.2559626982915009</v>
      </c>
      <c r="K238" s="318">
        <v>15.782659710574412</v>
      </c>
      <c r="L238" s="318">
        <v>48.389118761287897</v>
      </c>
      <c r="M238" s="319">
        <v>44.146613071843596</v>
      </c>
      <c r="N238" s="319">
        <v>28.363953361269182</v>
      </c>
      <c r="O238" s="319">
        <f t="shared" si="3"/>
        <v>28.363953361269182</v>
      </c>
      <c r="P238" s="317">
        <v>5.851483578429832</v>
      </c>
      <c r="Q238" s="315" t="s">
        <v>1148</v>
      </c>
      <c r="R238" s="318">
        <v>200</v>
      </c>
      <c r="T238" s="320">
        <v>93.333333333333329</v>
      </c>
      <c r="U238" s="318">
        <v>36</v>
      </c>
      <c r="V238" s="318">
        <v>908.33333333333337</v>
      </c>
      <c r="W238" s="318">
        <v>96</v>
      </c>
      <c r="X238" s="315">
        <v>0.25</v>
      </c>
      <c r="Y238" s="318">
        <v>100</v>
      </c>
      <c r="Z238" s="315">
        <v>0</v>
      </c>
      <c r="AA238" s="315" t="s">
        <v>1420</v>
      </c>
      <c r="AB238" s="315">
        <v>4</v>
      </c>
      <c r="AC238" s="315" t="s">
        <v>1435</v>
      </c>
    </row>
    <row r="239" spans="1:29">
      <c r="A239" s="315" t="s">
        <v>1145</v>
      </c>
      <c r="B239" s="315" t="s">
        <v>696</v>
      </c>
      <c r="C239" s="345" t="s">
        <v>2009</v>
      </c>
      <c r="D239" s="345" t="s">
        <v>2010</v>
      </c>
      <c r="E239" s="316" t="s">
        <v>1538</v>
      </c>
      <c r="F239" s="316" t="s">
        <v>1538</v>
      </c>
      <c r="G239" s="317">
        <v>11.07</v>
      </c>
      <c r="H239" s="317">
        <v>0</v>
      </c>
      <c r="I239" s="317">
        <v>0</v>
      </c>
      <c r="J239" s="317">
        <v>0</v>
      </c>
      <c r="K239" s="318">
        <v>0</v>
      </c>
      <c r="L239" s="318">
        <v>49.405099369565399</v>
      </c>
      <c r="M239" s="319">
        <v>43.1181481032569</v>
      </c>
      <c r="N239" s="319">
        <v>43.1181481032569</v>
      </c>
      <c r="O239" s="319">
        <f t="shared" si="3"/>
        <v>43.1181481032569</v>
      </c>
      <c r="P239" s="317">
        <v>4.7731789950305386</v>
      </c>
      <c r="Q239" s="315" t="s">
        <v>1168</v>
      </c>
      <c r="R239" s="318">
        <v>200</v>
      </c>
      <c r="T239" s="320">
        <v>93.333333333333329</v>
      </c>
      <c r="U239" s="318">
        <v>36</v>
      </c>
      <c r="V239" s="318">
        <v>472.66666666666669</v>
      </c>
      <c r="W239" s="318">
        <v>96</v>
      </c>
      <c r="X239" s="315">
        <v>0.24</v>
      </c>
      <c r="Y239" s="318">
        <v>100</v>
      </c>
      <c r="Z239" s="315">
        <v>0</v>
      </c>
      <c r="AA239" s="315" t="s">
        <v>1420</v>
      </c>
      <c r="AB239" s="315">
        <v>4</v>
      </c>
      <c r="AC239" s="315" t="s">
        <v>1435</v>
      </c>
    </row>
    <row r="240" spans="1:29">
      <c r="A240" s="315" t="s">
        <v>1145</v>
      </c>
      <c r="B240" s="315" t="s">
        <v>696</v>
      </c>
      <c r="C240" s="345" t="s">
        <v>2009</v>
      </c>
      <c r="D240" s="345" t="s">
        <v>2010</v>
      </c>
      <c r="E240" s="316" t="s">
        <v>1539</v>
      </c>
      <c r="F240" s="316" t="s">
        <v>1539</v>
      </c>
      <c r="G240" s="317">
        <v>26.97</v>
      </c>
      <c r="H240" s="317">
        <v>17.80895524353766</v>
      </c>
      <c r="I240" s="317">
        <v>19.125809829757177</v>
      </c>
      <c r="J240" s="317">
        <v>19.125809829757177</v>
      </c>
      <c r="K240" s="318">
        <v>70.915127288680679</v>
      </c>
      <c r="L240" s="318">
        <v>56.703161529337898</v>
      </c>
      <c r="M240" s="319">
        <v>39.290428412545999</v>
      </c>
      <c r="N240" s="319">
        <v>-31.62469887613468</v>
      </c>
      <c r="O240" s="319">
        <f t="shared" si="3"/>
        <v>0</v>
      </c>
      <c r="P240" s="317">
        <v>0</v>
      </c>
      <c r="Q240" s="315" t="s">
        <v>1148</v>
      </c>
      <c r="R240" s="318">
        <v>200</v>
      </c>
      <c r="T240" s="320">
        <v>93.333333333333329</v>
      </c>
      <c r="U240" s="318">
        <v>36</v>
      </c>
      <c r="V240" s="318">
        <v>672.66666666666663</v>
      </c>
      <c r="W240" s="318">
        <v>30.433333333333334</v>
      </c>
      <c r="X240" s="315">
        <v>0.25</v>
      </c>
      <c r="Y240" s="318">
        <v>54</v>
      </c>
      <c r="Z240" s="315">
        <v>21</v>
      </c>
      <c r="AA240" s="315" t="s">
        <v>1154</v>
      </c>
      <c r="AB240" s="315">
        <v>6</v>
      </c>
      <c r="AC240" s="315" t="s">
        <v>1435</v>
      </c>
    </row>
    <row r="241" spans="1:29">
      <c r="A241" s="315" t="s">
        <v>1145</v>
      </c>
      <c r="B241" s="315" t="s">
        <v>696</v>
      </c>
      <c r="C241" s="345" t="s">
        <v>2009</v>
      </c>
      <c r="D241" s="345" t="s">
        <v>2010</v>
      </c>
      <c r="E241" s="316" t="s">
        <v>1540</v>
      </c>
      <c r="F241" s="316" t="s">
        <v>1540</v>
      </c>
      <c r="G241" s="317">
        <v>0.95</v>
      </c>
      <c r="H241" s="317">
        <v>0</v>
      </c>
      <c r="I241" s="317">
        <v>0</v>
      </c>
      <c r="J241" s="317">
        <v>0</v>
      </c>
      <c r="K241" s="318">
        <v>0</v>
      </c>
      <c r="L241" s="318">
        <v>51.818645644954003</v>
      </c>
      <c r="M241" s="319">
        <v>40.2376729702356</v>
      </c>
      <c r="N241" s="319">
        <v>40.2376729702356</v>
      </c>
      <c r="O241" s="319">
        <f t="shared" si="3"/>
        <v>40.2376729702356</v>
      </c>
      <c r="P241" s="317">
        <v>0.38225789321723819</v>
      </c>
      <c r="Q241" s="315" t="s">
        <v>1168</v>
      </c>
      <c r="R241" s="318">
        <v>200</v>
      </c>
      <c r="T241" s="320">
        <v>93.333333333333329</v>
      </c>
      <c r="U241" s="318">
        <v>36</v>
      </c>
      <c r="V241" s="318">
        <v>231.66666666666666</v>
      </c>
      <c r="W241" s="318">
        <v>16</v>
      </c>
      <c r="X241" s="315">
        <v>0.25</v>
      </c>
      <c r="Y241" s="318">
        <v>70</v>
      </c>
      <c r="Z241" s="315">
        <v>3</v>
      </c>
      <c r="AA241" s="315" t="s">
        <v>1154</v>
      </c>
      <c r="AB241" s="315">
        <v>1</v>
      </c>
      <c r="AC241" s="315" t="s">
        <v>1435</v>
      </c>
    </row>
    <row r="242" spans="1:29">
      <c r="A242" s="315" t="s">
        <v>1797</v>
      </c>
      <c r="B242" s="315" t="s">
        <v>696</v>
      </c>
      <c r="C242" s="345" t="s">
        <v>2009</v>
      </c>
      <c r="D242" s="345" t="s">
        <v>2010</v>
      </c>
      <c r="E242" s="316" t="s">
        <v>1541</v>
      </c>
      <c r="F242" s="316" t="s">
        <v>1541</v>
      </c>
      <c r="G242" s="317">
        <v>3.99</v>
      </c>
      <c r="H242" s="317">
        <v>5.9986308514037416</v>
      </c>
      <c r="I242" s="317">
        <v>6.4421258634295349</v>
      </c>
      <c r="J242" s="317">
        <v>6.4421258634295349</v>
      </c>
      <c r="K242" s="318">
        <v>161.4567885571312</v>
      </c>
      <c r="L242" s="318">
        <v>50.937587379430198</v>
      </c>
      <c r="M242" s="319">
        <v>38.4329088676105</v>
      </c>
      <c r="N242" s="319">
        <v>-123.0238796895207</v>
      </c>
      <c r="O242" s="319">
        <f t="shared" si="3"/>
        <v>0</v>
      </c>
      <c r="P242" s="317">
        <v>0</v>
      </c>
      <c r="Q242" s="315" t="s">
        <v>1148</v>
      </c>
      <c r="R242" s="318">
        <v>202</v>
      </c>
      <c r="T242" s="320">
        <v>94.444444444444443</v>
      </c>
      <c r="U242" s="318">
        <v>38</v>
      </c>
      <c r="V242" s="318">
        <v>331</v>
      </c>
      <c r="W242" s="318">
        <v>372</v>
      </c>
      <c r="X242" s="315">
        <v>0.23</v>
      </c>
      <c r="Y242" s="318">
        <v>75</v>
      </c>
      <c r="Z242" s="315">
        <v>10</v>
      </c>
      <c r="AA242" s="315" t="s">
        <v>1154</v>
      </c>
      <c r="AB242" s="315">
        <v>2</v>
      </c>
      <c r="AC242" s="315" t="s">
        <v>1435</v>
      </c>
    </row>
    <row r="243" spans="1:29">
      <c r="A243" s="315" t="s">
        <v>1161</v>
      </c>
      <c r="B243" s="315" t="s">
        <v>696</v>
      </c>
      <c r="C243" s="345" t="s">
        <v>2009</v>
      </c>
      <c r="D243" s="345" t="s">
        <v>2010</v>
      </c>
      <c r="E243" s="316" t="s">
        <v>1542</v>
      </c>
      <c r="F243" s="316" t="s">
        <v>1542</v>
      </c>
      <c r="G243" s="317">
        <v>8.91</v>
      </c>
      <c r="H243" s="317">
        <v>0.90843573782640707</v>
      </c>
      <c r="I243" s="317">
        <v>0.97559877331997191</v>
      </c>
      <c r="J243" s="317">
        <v>0.97559877331997191</v>
      </c>
      <c r="K243" s="318">
        <v>10.949481182042334</v>
      </c>
      <c r="L243" s="318">
        <v>47.438900003353403</v>
      </c>
      <c r="M243" s="319">
        <v>39.119113973744703</v>
      </c>
      <c r="N243" s="319">
        <v>28.169632791702369</v>
      </c>
      <c r="O243" s="319">
        <f t="shared" si="3"/>
        <v>28.169632791702369</v>
      </c>
      <c r="P243" s="317">
        <v>2.5099142817406812</v>
      </c>
      <c r="Q243" s="315" t="s">
        <v>1148</v>
      </c>
      <c r="R243" s="318">
        <v>202</v>
      </c>
      <c r="T243" s="320">
        <v>94.444444444444443</v>
      </c>
      <c r="U243" s="318">
        <v>38.869999999999997</v>
      </c>
      <c r="V243" s="318">
        <v>205.5</v>
      </c>
      <c r="W243" s="318">
        <v>387</v>
      </c>
      <c r="X243" s="315">
        <v>0.22</v>
      </c>
      <c r="Y243" s="318">
        <v>50</v>
      </c>
      <c r="Z243" s="315">
        <v>4</v>
      </c>
      <c r="AA243" s="315" t="s">
        <v>1154</v>
      </c>
      <c r="AB243" s="315">
        <v>1</v>
      </c>
      <c r="AC243" s="315" t="s">
        <v>1435</v>
      </c>
    </row>
    <row r="244" spans="1:29">
      <c r="A244" s="315" t="s">
        <v>1161</v>
      </c>
      <c r="B244" s="315" t="s">
        <v>696</v>
      </c>
      <c r="C244" s="345" t="s">
        <v>2009</v>
      </c>
      <c r="D244" s="345" t="s">
        <v>2010</v>
      </c>
      <c r="E244" s="316" t="s">
        <v>1543</v>
      </c>
      <c r="F244" s="316" t="s">
        <v>1543</v>
      </c>
      <c r="G244" s="317">
        <v>1.83</v>
      </c>
      <c r="H244" s="317">
        <v>0</v>
      </c>
      <c r="I244" s="317">
        <v>0</v>
      </c>
      <c r="J244" s="317">
        <v>0</v>
      </c>
      <c r="K244" s="318">
        <v>0</v>
      </c>
      <c r="L244" s="318">
        <v>48.122322157975397</v>
      </c>
      <c r="M244" s="319">
        <v>42.476317743372</v>
      </c>
      <c r="N244" s="319">
        <v>42.476317743372</v>
      </c>
      <c r="O244" s="319">
        <f t="shared" si="3"/>
        <v>42.476317743372</v>
      </c>
      <c r="P244" s="317">
        <v>0.77731661470370761</v>
      </c>
      <c r="Q244" s="315" t="s">
        <v>1168</v>
      </c>
      <c r="R244" s="318">
        <v>202</v>
      </c>
      <c r="T244" s="320">
        <v>94.444444444444443</v>
      </c>
      <c r="U244" s="318">
        <v>38</v>
      </c>
      <c r="V244" s="318">
        <v>246.5</v>
      </c>
      <c r="W244" s="318">
        <v>354</v>
      </c>
      <c r="X244" s="315">
        <v>0.2</v>
      </c>
      <c r="Y244" s="318">
        <v>45</v>
      </c>
      <c r="Z244" s="315">
        <v>0</v>
      </c>
      <c r="AA244" s="315" t="s">
        <v>1154</v>
      </c>
      <c r="AB244" s="315">
        <v>2</v>
      </c>
      <c r="AC244" s="315" t="s">
        <v>1435</v>
      </c>
    </row>
    <row r="245" spans="1:29">
      <c r="A245" s="315" t="s">
        <v>1161</v>
      </c>
      <c r="B245" s="315" t="s">
        <v>696</v>
      </c>
      <c r="C245" s="345" t="s">
        <v>2009</v>
      </c>
      <c r="D245" s="345" t="s">
        <v>2010</v>
      </c>
      <c r="E245" s="316" t="s">
        <v>1544</v>
      </c>
      <c r="F245" s="316" t="s">
        <v>1544</v>
      </c>
      <c r="G245" s="317">
        <v>6.96</v>
      </c>
      <c r="H245" s="317">
        <v>0</v>
      </c>
      <c r="I245" s="317">
        <v>2.2767554435947357E-3</v>
      </c>
      <c r="J245" s="317">
        <v>2.2767554435947357E-3</v>
      </c>
      <c r="K245" s="318">
        <v>3.2712003499924362E-2</v>
      </c>
      <c r="L245" s="318">
        <v>51.939267103343198</v>
      </c>
      <c r="M245" s="319">
        <v>37.602324788540095</v>
      </c>
      <c r="N245" s="319">
        <v>37.569612785040171</v>
      </c>
      <c r="O245" s="319">
        <f t="shared" si="3"/>
        <v>37.569612785040171</v>
      </c>
      <c r="P245" s="317">
        <v>2.6148450498387956</v>
      </c>
      <c r="Q245" s="315" t="s">
        <v>1168</v>
      </c>
      <c r="R245" s="318">
        <v>202</v>
      </c>
      <c r="T245" s="320">
        <v>94.444444444444443</v>
      </c>
      <c r="U245" s="318">
        <v>38</v>
      </c>
      <c r="V245" s="318">
        <v>200</v>
      </c>
      <c r="W245" s="318">
        <v>354</v>
      </c>
      <c r="X245" s="315">
        <v>0.21</v>
      </c>
      <c r="Y245" s="318">
        <v>55</v>
      </c>
      <c r="Z245" s="315">
        <v>0</v>
      </c>
      <c r="AA245" s="315" t="s">
        <v>1154</v>
      </c>
      <c r="AB245" s="315">
        <v>2</v>
      </c>
      <c r="AC245" s="315" t="s">
        <v>1435</v>
      </c>
    </row>
    <row r="246" spans="1:29">
      <c r="A246" s="315" t="s">
        <v>1145</v>
      </c>
      <c r="B246" s="315" t="s">
        <v>696</v>
      </c>
      <c r="C246" s="345" t="s">
        <v>2009</v>
      </c>
      <c r="D246" s="345" t="s">
        <v>2010</v>
      </c>
      <c r="E246" s="316" t="s">
        <v>1545</v>
      </c>
      <c r="F246" s="316" t="s">
        <v>1545</v>
      </c>
      <c r="G246" s="317">
        <v>6.4</v>
      </c>
      <c r="H246" s="317">
        <v>1.5479719164546699</v>
      </c>
      <c r="I246" s="317">
        <v>1.6624176841093881</v>
      </c>
      <c r="J246" s="317">
        <v>1.6624176841093881</v>
      </c>
      <c r="K246" s="318">
        <v>25.975276314209189</v>
      </c>
      <c r="L246" s="318">
        <v>54.324913728831199</v>
      </c>
      <c r="M246" s="319">
        <v>37.152463206051898</v>
      </c>
      <c r="N246" s="319">
        <v>11.177186891842709</v>
      </c>
      <c r="O246" s="319">
        <f t="shared" si="3"/>
        <v>11.177186891842709</v>
      </c>
      <c r="P246" s="317">
        <v>0.71533996107793341</v>
      </c>
      <c r="Q246" s="315" t="s">
        <v>1148</v>
      </c>
      <c r="R246" s="318">
        <v>202</v>
      </c>
      <c r="T246" s="320">
        <v>94.444444444444443</v>
      </c>
      <c r="U246" s="318">
        <v>38</v>
      </c>
      <c r="V246" s="318">
        <v>150</v>
      </c>
      <c r="W246" s="318">
        <v>200</v>
      </c>
      <c r="X246" s="315">
        <v>0.2</v>
      </c>
      <c r="Y246" s="318">
        <v>20</v>
      </c>
      <c r="Z246" s="315">
        <v>0</v>
      </c>
      <c r="AA246" s="315" t="s">
        <v>1154</v>
      </c>
      <c r="AB246" s="315">
        <v>2</v>
      </c>
      <c r="AC246" s="315" t="s">
        <v>1435</v>
      </c>
    </row>
    <row r="247" spans="1:29">
      <c r="A247" s="315" t="s">
        <v>1145</v>
      </c>
      <c r="B247" s="315" t="s">
        <v>696</v>
      </c>
      <c r="C247" s="345" t="s">
        <v>2009</v>
      </c>
      <c r="D247" s="345" t="s">
        <v>2010</v>
      </c>
      <c r="E247" s="316" t="s">
        <v>1546</v>
      </c>
      <c r="F247" s="316" t="s">
        <v>1546</v>
      </c>
      <c r="G247" s="317">
        <v>2.02</v>
      </c>
      <c r="H247" s="317">
        <v>0</v>
      </c>
      <c r="I247" s="317">
        <v>0</v>
      </c>
      <c r="J247" s="317">
        <v>0</v>
      </c>
      <c r="K247" s="318">
        <v>0</v>
      </c>
      <c r="L247" s="318">
        <v>58.160264444375002</v>
      </c>
      <c r="M247" s="319">
        <v>36.478671892442101</v>
      </c>
      <c r="N247" s="319">
        <v>36.478671892442101</v>
      </c>
      <c r="O247" s="319">
        <f t="shared" si="3"/>
        <v>36.478671892442101</v>
      </c>
      <c r="P247" s="317">
        <v>0.73686917222733039</v>
      </c>
      <c r="Q247" s="315" t="s">
        <v>1168</v>
      </c>
      <c r="R247" s="318">
        <v>202</v>
      </c>
      <c r="T247" s="320">
        <v>94.444444444444443</v>
      </c>
      <c r="U247" s="318">
        <v>39</v>
      </c>
      <c r="V247" s="318">
        <v>100</v>
      </c>
      <c r="W247" s="318">
        <v>200</v>
      </c>
      <c r="X247" s="315">
        <v>0.22</v>
      </c>
      <c r="Y247" s="318">
        <v>30</v>
      </c>
      <c r="Z247" s="315">
        <v>6</v>
      </c>
      <c r="AA247" s="315" t="s">
        <v>1154</v>
      </c>
      <c r="AB247" s="315">
        <v>1</v>
      </c>
      <c r="AC247" s="315" t="s">
        <v>1435</v>
      </c>
    </row>
    <row r="248" spans="1:29">
      <c r="A248" s="315" t="s">
        <v>1806</v>
      </c>
      <c r="B248" s="315" t="s">
        <v>696</v>
      </c>
      <c r="C248" s="345" t="s">
        <v>2009</v>
      </c>
      <c r="D248" s="345" t="s">
        <v>2010</v>
      </c>
      <c r="E248" s="316" t="s">
        <v>1547</v>
      </c>
      <c r="F248" s="316" t="s">
        <v>1547</v>
      </c>
      <c r="G248" s="317">
        <v>0</v>
      </c>
      <c r="H248" s="317">
        <v>0</v>
      </c>
      <c r="I248" s="317">
        <v>0</v>
      </c>
      <c r="J248" s="317">
        <v>0</v>
      </c>
      <c r="K248" s="318">
        <v>0</v>
      </c>
      <c r="L248" s="318">
        <v>56.874527621524798</v>
      </c>
      <c r="M248" s="319">
        <v>40.192020551815098</v>
      </c>
      <c r="N248" s="319">
        <v>0</v>
      </c>
      <c r="O248" s="319">
        <f t="shared" si="3"/>
        <v>0</v>
      </c>
      <c r="P248" s="317">
        <v>0</v>
      </c>
      <c r="Q248" s="315" t="s">
        <v>1168</v>
      </c>
      <c r="R248" s="318">
        <v>202</v>
      </c>
      <c r="T248" s="320">
        <v>94.444444444444443</v>
      </c>
      <c r="U248" s="318">
        <v>38</v>
      </c>
      <c r="V248" s="318">
        <v>150</v>
      </c>
      <c r="W248" s="318">
        <v>300</v>
      </c>
      <c r="X248" s="315">
        <v>0.2</v>
      </c>
      <c r="Y248" s="318">
        <v>40</v>
      </c>
      <c r="Z248" s="315">
        <v>0</v>
      </c>
      <c r="AA248" s="315" t="s">
        <v>1149</v>
      </c>
      <c r="AB248" s="315">
        <v>0</v>
      </c>
      <c r="AC248" s="315" t="s">
        <v>1435</v>
      </c>
    </row>
    <row r="249" spans="1:29">
      <c r="A249" s="315" t="s">
        <v>1145</v>
      </c>
      <c r="B249" s="315" t="s">
        <v>696</v>
      </c>
      <c r="C249" s="345" t="s">
        <v>2009</v>
      </c>
      <c r="D249" s="345" t="s">
        <v>2010</v>
      </c>
      <c r="E249" s="316" t="s">
        <v>1548</v>
      </c>
      <c r="F249" s="316" t="s">
        <v>1548</v>
      </c>
      <c r="G249" s="317">
        <v>6.5</v>
      </c>
      <c r="H249" s="317">
        <v>0</v>
      </c>
      <c r="I249" s="317">
        <v>0</v>
      </c>
      <c r="J249" s="317">
        <v>0.52685239351215996</v>
      </c>
      <c r="K249" s="318">
        <v>8.1054214386486141</v>
      </c>
      <c r="L249" s="318">
        <v>57.684265457763203</v>
      </c>
      <c r="M249" s="319">
        <v>36.591459300856897</v>
      </c>
      <c r="N249" s="319">
        <v>28.486037862208285</v>
      </c>
      <c r="O249" s="319">
        <f t="shared" si="3"/>
        <v>28.486037862208285</v>
      </c>
      <c r="P249" s="317">
        <v>1.8515924610435386</v>
      </c>
      <c r="Q249" s="315" t="s">
        <v>1168</v>
      </c>
      <c r="R249" s="318">
        <v>202.9</v>
      </c>
      <c r="T249" s="320">
        <v>94.944444444444443</v>
      </c>
      <c r="U249" s="318">
        <v>36</v>
      </c>
      <c r="V249" s="318">
        <v>580</v>
      </c>
      <c r="W249" s="318">
        <v>88</v>
      </c>
      <c r="X249" s="315">
        <v>0.22</v>
      </c>
      <c r="Y249" s="318">
        <v>60</v>
      </c>
      <c r="Z249" s="315">
        <v>0</v>
      </c>
      <c r="AA249" s="315" t="s">
        <v>1149</v>
      </c>
      <c r="AB249" s="315">
        <v>0</v>
      </c>
      <c r="AC249" s="315" t="s">
        <v>1435</v>
      </c>
    </row>
    <row r="250" spans="1:29">
      <c r="A250" s="315" t="s">
        <v>1145</v>
      </c>
      <c r="B250" s="315" t="s">
        <v>696</v>
      </c>
      <c r="C250" s="345" t="s">
        <v>2009</v>
      </c>
      <c r="D250" s="345" t="s">
        <v>2010</v>
      </c>
      <c r="E250" s="316" t="s">
        <v>1549</v>
      </c>
      <c r="F250" s="316" t="s">
        <v>1549</v>
      </c>
      <c r="G250" s="317">
        <v>8.18</v>
      </c>
      <c r="H250" s="317">
        <v>0</v>
      </c>
      <c r="I250" s="317">
        <v>0</v>
      </c>
      <c r="J250" s="317">
        <v>0.51415259879150188</v>
      </c>
      <c r="K250" s="318">
        <v>6.2854840928056461</v>
      </c>
      <c r="L250" s="318">
        <v>56.6734451209215</v>
      </c>
      <c r="M250" s="319">
        <v>40.381519653489498</v>
      </c>
      <c r="N250" s="319">
        <v>34.096035560683852</v>
      </c>
      <c r="O250" s="319">
        <f t="shared" si="3"/>
        <v>34.096035560683852</v>
      </c>
      <c r="P250" s="317">
        <v>2.7890557088639389</v>
      </c>
      <c r="Q250" s="315" t="s">
        <v>1168</v>
      </c>
      <c r="R250" s="318">
        <v>203</v>
      </c>
      <c r="T250" s="320">
        <v>95</v>
      </c>
      <c r="U250" s="318">
        <v>37.200000000000003</v>
      </c>
      <c r="V250" s="318">
        <v>120</v>
      </c>
      <c r="W250" s="318">
        <v>240</v>
      </c>
      <c r="X250" s="315">
        <v>0.28000000000000003</v>
      </c>
      <c r="Y250" s="318">
        <v>71</v>
      </c>
      <c r="Z250" s="315">
        <v>2</v>
      </c>
      <c r="AA250" s="315" t="s">
        <v>1154</v>
      </c>
      <c r="AB250" s="315">
        <v>4</v>
      </c>
      <c r="AC250" s="315" t="s">
        <v>1435</v>
      </c>
    </row>
    <row r="251" spans="1:29">
      <c r="A251" s="315" t="s">
        <v>1145</v>
      </c>
      <c r="B251" s="315" t="s">
        <v>696</v>
      </c>
      <c r="C251" s="345" t="s">
        <v>2009</v>
      </c>
      <c r="D251" s="345" t="s">
        <v>2010</v>
      </c>
      <c r="E251" s="316" t="s">
        <v>1550</v>
      </c>
      <c r="F251" s="316" t="s">
        <v>1550</v>
      </c>
      <c r="G251" s="317">
        <v>16.417999999999999</v>
      </c>
      <c r="H251" s="317">
        <v>2.1982152014219221</v>
      </c>
      <c r="I251" s="317">
        <v>2.629874677873314</v>
      </c>
      <c r="J251" s="317">
        <v>2.629874677873314</v>
      </c>
      <c r="K251" s="318">
        <v>16.01824021119085</v>
      </c>
      <c r="L251" s="318">
        <v>56.822327529237597</v>
      </c>
      <c r="M251" s="319">
        <v>36.243458618359597</v>
      </c>
      <c r="N251" s="319">
        <v>20.225218407168747</v>
      </c>
      <c r="O251" s="319">
        <f t="shared" si="3"/>
        <v>20.225218407168747</v>
      </c>
      <c r="P251" s="317">
        <v>3.3205763580889647</v>
      </c>
      <c r="Q251" s="315" t="s">
        <v>1148</v>
      </c>
      <c r="R251" s="318">
        <v>203</v>
      </c>
      <c r="T251" s="320">
        <v>95</v>
      </c>
      <c r="U251" s="318">
        <v>34.97</v>
      </c>
      <c r="V251" s="318">
        <v>100</v>
      </c>
      <c r="W251" s="318">
        <v>120</v>
      </c>
      <c r="X251" s="315">
        <v>0.22</v>
      </c>
      <c r="Y251" s="318">
        <v>42</v>
      </c>
      <c r="Z251" s="315">
        <v>9</v>
      </c>
      <c r="AA251" s="315" t="s">
        <v>1154</v>
      </c>
      <c r="AB251" s="315">
        <v>6</v>
      </c>
      <c r="AC251" s="315" t="s">
        <v>1435</v>
      </c>
    </row>
    <row r="252" spans="1:29">
      <c r="A252" s="315" t="s">
        <v>1817</v>
      </c>
      <c r="B252" s="315" t="s">
        <v>696</v>
      </c>
      <c r="C252" s="345" t="s">
        <v>2009</v>
      </c>
      <c r="D252" s="345" t="s">
        <v>2010</v>
      </c>
      <c r="E252" s="316" t="s">
        <v>1551</v>
      </c>
      <c r="F252" s="316" t="s">
        <v>1551</v>
      </c>
      <c r="G252" s="317">
        <v>19.14</v>
      </c>
      <c r="H252" s="317">
        <v>2.1466649709023442</v>
      </c>
      <c r="I252" s="317">
        <v>2.3053737006318373</v>
      </c>
      <c r="J252" s="317">
        <v>2.4742015435123079</v>
      </c>
      <c r="K252" s="318">
        <v>12.926862818768589</v>
      </c>
      <c r="L252" s="318">
        <v>51.985032088979601</v>
      </c>
      <c r="M252" s="319">
        <v>43.535847010961298</v>
      </c>
      <c r="N252" s="319">
        <v>30.608984192192707</v>
      </c>
      <c r="O252" s="319">
        <f t="shared" si="3"/>
        <v>30.608984192192707</v>
      </c>
      <c r="P252" s="317">
        <v>5.8585595743856844</v>
      </c>
      <c r="Q252" s="315" t="s">
        <v>1148</v>
      </c>
      <c r="R252" s="318">
        <v>203</v>
      </c>
      <c r="T252" s="320">
        <v>95</v>
      </c>
      <c r="U252" s="318">
        <v>37.200000000000003</v>
      </c>
      <c r="V252" s="318">
        <v>30847.64</v>
      </c>
      <c r="W252" s="318">
        <v>66.5</v>
      </c>
      <c r="X252" s="315">
        <v>0.26</v>
      </c>
      <c r="Y252" s="318">
        <v>54</v>
      </c>
      <c r="Z252" s="315">
        <v>6</v>
      </c>
      <c r="AA252" s="315" t="s">
        <v>1149</v>
      </c>
      <c r="AB252" s="315">
        <v>0</v>
      </c>
      <c r="AC252" s="315" t="s">
        <v>1435</v>
      </c>
    </row>
    <row r="253" spans="1:29">
      <c r="A253" s="315" t="s">
        <v>1145</v>
      </c>
      <c r="B253" s="315" t="s">
        <v>696</v>
      </c>
      <c r="C253" s="345" t="s">
        <v>2009</v>
      </c>
      <c r="D253" s="345" t="s">
        <v>2010</v>
      </c>
      <c r="E253" s="316" t="s">
        <v>1553</v>
      </c>
      <c r="F253" s="316" t="s">
        <v>1553</v>
      </c>
      <c r="G253" s="317">
        <v>0.82</v>
      </c>
      <c r="H253" s="317">
        <v>0</v>
      </c>
      <c r="I253" s="317">
        <v>0</v>
      </c>
      <c r="J253" s="317">
        <v>0</v>
      </c>
      <c r="K253" s="318">
        <v>0</v>
      </c>
      <c r="L253" s="318">
        <v>52.846788604687099</v>
      </c>
      <c r="M253" s="319">
        <v>43.558531763262401</v>
      </c>
      <c r="N253" s="319">
        <v>43.558531763262401</v>
      </c>
      <c r="O253" s="319">
        <f t="shared" si="3"/>
        <v>43.558531763262401</v>
      </c>
      <c r="P253" s="317">
        <v>0.35717996045875167</v>
      </c>
      <c r="Q253" s="315" t="s">
        <v>1168</v>
      </c>
      <c r="R253" s="318">
        <v>203</v>
      </c>
      <c r="T253" s="320">
        <v>95</v>
      </c>
      <c r="U253" s="318">
        <v>36</v>
      </c>
      <c r="V253" s="318">
        <v>466</v>
      </c>
      <c r="W253" s="318">
        <v>100</v>
      </c>
      <c r="X253" s="315">
        <v>0.28000000000000003</v>
      </c>
      <c r="Y253" s="318">
        <v>363</v>
      </c>
      <c r="Z253" s="315">
        <v>1</v>
      </c>
      <c r="AA253" s="315" t="s">
        <v>1149</v>
      </c>
      <c r="AB253" s="315">
        <v>0</v>
      </c>
      <c r="AC253" s="315" t="s">
        <v>1435</v>
      </c>
    </row>
    <row r="254" spans="1:29">
      <c r="A254" s="315" t="s">
        <v>1145</v>
      </c>
      <c r="B254" s="315" t="s">
        <v>696</v>
      </c>
      <c r="C254" s="345" t="s">
        <v>2009</v>
      </c>
      <c r="D254" s="345" t="s">
        <v>2010</v>
      </c>
      <c r="E254" s="316" t="s">
        <v>1554</v>
      </c>
      <c r="F254" s="316" t="s">
        <v>1554</v>
      </c>
      <c r="G254" s="317">
        <v>9.5399999999999991</v>
      </c>
      <c r="H254" s="317">
        <v>2.1016678442624377</v>
      </c>
      <c r="I254" s="317">
        <v>2.2570498068976872</v>
      </c>
      <c r="J254" s="317">
        <v>2.2570498068976872</v>
      </c>
      <c r="K254" s="318">
        <v>23.658803007313285</v>
      </c>
      <c r="L254" s="318">
        <v>54.881952432139897</v>
      </c>
      <c r="M254" s="319">
        <v>42.515665620683698</v>
      </c>
      <c r="N254" s="319">
        <v>18.856862613370414</v>
      </c>
      <c r="O254" s="319">
        <f t="shared" si="3"/>
        <v>18.856862613370414</v>
      </c>
      <c r="P254" s="317">
        <v>1.7989446933155373</v>
      </c>
      <c r="Q254" s="315" t="s">
        <v>1148</v>
      </c>
      <c r="R254" s="318">
        <v>203</v>
      </c>
      <c r="T254" s="320">
        <v>95</v>
      </c>
      <c r="U254" s="318">
        <v>37.200000000000003</v>
      </c>
      <c r="V254" s="318">
        <v>119</v>
      </c>
      <c r="W254" s="318">
        <v>100</v>
      </c>
      <c r="X254" s="315">
        <v>0.3</v>
      </c>
      <c r="Y254" s="318">
        <v>210</v>
      </c>
      <c r="Z254" s="315">
        <v>4</v>
      </c>
      <c r="AA254" s="315" t="s">
        <v>1149</v>
      </c>
      <c r="AB254" s="315">
        <v>0</v>
      </c>
      <c r="AC254" s="315" t="s">
        <v>1435</v>
      </c>
    </row>
    <row r="255" spans="1:29">
      <c r="A255" s="315" t="s">
        <v>1145</v>
      </c>
      <c r="B255" s="315" t="s">
        <v>696</v>
      </c>
      <c r="C255" s="345" t="s">
        <v>2009</v>
      </c>
      <c r="D255" s="345" t="s">
        <v>2010</v>
      </c>
      <c r="E255" s="316" t="s">
        <v>1555</v>
      </c>
      <c r="F255" s="316" t="s">
        <v>1555</v>
      </c>
      <c r="G255" s="317">
        <v>25.61</v>
      </c>
      <c r="H255" s="317">
        <v>36.803066788730185</v>
      </c>
      <c r="I255" s="317">
        <v>39.52435388975514</v>
      </c>
      <c r="J255" s="317">
        <v>39.52435388975514</v>
      </c>
      <c r="K255" s="318">
        <v>154.33172155312434</v>
      </c>
      <c r="L255" s="318">
        <v>50.628754049846698</v>
      </c>
      <c r="M255" s="319">
        <v>44.195893221686603</v>
      </c>
      <c r="N255" s="319">
        <v>-110.13582833143774</v>
      </c>
      <c r="O255" s="319">
        <f t="shared" si="3"/>
        <v>0</v>
      </c>
      <c r="P255" s="317">
        <v>0</v>
      </c>
      <c r="Q255" s="315" t="s">
        <v>1148</v>
      </c>
      <c r="R255" s="318">
        <v>203</v>
      </c>
      <c r="T255" s="320">
        <v>95</v>
      </c>
      <c r="U255" s="318">
        <v>37.43</v>
      </c>
      <c r="V255" s="318">
        <v>700</v>
      </c>
      <c r="W255" s="318">
        <v>179.33333333333334</v>
      </c>
      <c r="X255" s="315">
        <v>0.21</v>
      </c>
      <c r="Y255" s="318">
        <v>48</v>
      </c>
      <c r="Z255" s="315">
        <v>22</v>
      </c>
      <c r="AA255" s="315" t="s">
        <v>1154</v>
      </c>
      <c r="AB255" s="315">
        <v>8</v>
      </c>
      <c r="AC255" s="315" t="s">
        <v>1435</v>
      </c>
    </row>
    <row r="256" spans="1:29">
      <c r="A256" s="315" t="s">
        <v>1145</v>
      </c>
      <c r="B256" s="315" t="s">
        <v>696</v>
      </c>
      <c r="C256" s="345" t="s">
        <v>2009</v>
      </c>
      <c r="D256" s="345" t="s">
        <v>2010</v>
      </c>
      <c r="E256" s="316" t="s">
        <v>1556</v>
      </c>
      <c r="F256" s="316" t="s">
        <v>1556</v>
      </c>
      <c r="G256" s="317">
        <v>20.7</v>
      </c>
      <c r="H256" s="317">
        <v>20.870038855808506</v>
      </c>
      <c r="I256" s="317">
        <v>22.413017389435161</v>
      </c>
      <c r="J256" s="317">
        <v>24.170237749900892</v>
      </c>
      <c r="K256" s="318">
        <v>116.76443357440046</v>
      </c>
      <c r="L256" s="318">
        <v>50.635866652591403</v>
      </c>
      <c r="M256" s="319">
        <v>44.268557159794</v>
      </c>
      <c r="N256" s="319">
        <v>-72.495876414606457</v>
      </c>
      <c r="O256" s="319">
        <f t="shared" si="3"/>
        <v>0</v>
      </c>
      <c r="P256" s="317">
        <v>0</v>
      </c>
      <c r="Q256" s="315" t="s">
        <v>1148</v>
      </c>
      <c r="R256" s="318">
        <v>203</v>
      </c>
      <c r="T256" s="320">
        <v>95</v>
      </c>
      <c r="U256" s="318">
        <v>47.65</v>
      </c>
      <c r="V256" s="318">
        <v>717.33333333333337</v>
      </c>
      <c r="W256" s="318">
        <v>92.833333333333329</v>
      </c>
      <c r="X256" s="315">
        <v>0.28000000000000003</v>
      </c>
      <c r="Y256" s="318">
        <v>60</v>
      </c>
      <c r="Z256" s="315">
        <v>8</v>
      </c>
      <c r="AA256" s="315" t="s">
        <v>1420</v>
      </c>
      <c r="AB256" s="315">
        <v>7</v>
      </c>
      <c r="AC256" s="315" t="s">
        <v>1435</v>
      </c>
    </row>
    <row r="257" spans="1:29">
      <c r="A257" s="315" t="s">
        <v>1806</v>
      </c>
      <c r="B257" s="315" t="s">
        <v>696</v>
      </c>
      <c r="C257" s="345" t="s">
        <v>2009</v>
      </c>
      <c r="D257" s="345" t="s">
        <v>2010</v>
      </c>
      <c r="E257" s="316" t="s">
        <v>1557</v>
      </c>
      <c r="F257" s="316" t="s">
        <v>1557</v>
      </c>
      <c r="G257" s="317">
        <v>17.190000000000001</v>
      </c>
      <c r="H257" s="317">
        <v>0</v>
      </c>
      <c r="I257" s="317">
        <v>0</v>
      </c>
      <c r="J257" s="317">
        <v>0</v>
      </c>
      <c r="K257" s="318">
        <v>0</v>
      </c>
      <c r="L257" s="318">
        <v>52.105303577989602</v>
      </c>
      <c r="M257" s="319">
        <v>41.981878095353196</v>
      </c>
      <c r="N257" s="319">
        <v>41.981878095353196</v>
      </c>
      <c r="O257" s="319">
        <f t="shared" si="3"/>
        <v>41.981878095353196</v>
      </c>
      <c r="P257" s="317">
        <v>7.2166848445912155</v>
      </c>
      <c r="Q257" s="315" t="s">
        <v>1168</v>
      </c>
      <c r="R257" s="318">
        <v>203</v>
      </c>
      <c r="T257" s="320">
        <v>95</v>
      </c>
      <c r="U257" s="318">
        <v>40</v>
      </c>
      <c r="V257" s="318">
        <v>288.66666666666669</v>
      </c>
      <c r="W257" s="318">
        <v>9</v>
      </c>
      <c r="X257" s="315">
        <v>0.22</v>
      </c>
      <c r="Y257" s="318">
        <v>50</v>
      </c>
      <c r="Z257" s="315">
        <v>0</v>
      </c>
      <c r="AA257" s="315" t="s">
        <v>1149</v>
      </c>
      <c r="AB257" s="315">
        <v>0</v>
      </c>
      <c r="AC257" s="315" t="s">
        <v>1435</v>
      </c>
    </row>
    <row r="258" spans="1:29">
      <c r="A258" s="315" t="s">
        <v>1161</v>
      </c>
      <c r="B258" s="315" t="s">
        <v>696</v>
      </c>
      <c r="C258" s="345" t="s">
        <v>2009</v>
      </c>
      <c r="D258" s="345" t="s">
        <v>2010</v>
      </c>
      <c r="E258" s="316" t="s">
        <v>1558</v>
      </c>
      <c r="F258" s="316" t="s">
        <v>1558</v>
      </c>
      <c r="G258" s="317">
        <v>11.563000000000001</v>
      </c>
      <c r="H258" s="317">
        <v>7.5632366777062803</v>
      </c>
      <c r="I258" s="317">
        <v>8.2573977783963191</v>
      </c>
      <c r="J258" s="317">
        <v>8.2573977783963191</v>
      </c>
      <c r="K258" s="318">
        <v>71.41224404044209</v>
      </c>
      <c r="L258" s="318">
        <v>54.001027981742403</v>
      </c>
      <c r="M258" s="319">
        <v>42.281214220214203</v>
      </c>
      <c r="N258" s="319">
        <v>-29.131029820227887</v>
      </c>
      <c r="O258" s="319">
        <f t="shared" ref="O258:O321" si="4">IF(N258&lt;0,0,N258)</f>
        <v>0</v>
      </c>
      <c r="P258" s="317">
        <v>0</v>
      </c>
      <c r="Q258" s="315" t="s">
        <v>1148</v>
      </c>
      <c r="R258" s="318">
        <v>203</v>
      </c>
      <c r="T258" s="320">
        <v>95</v>
      </c>
      <c r="U258" s="318">
        <v>40</v>
      </c>
      <c r="V258" s="318">
        <v>248.33333333333334</v>
      </c>
      <c r="W258" s="318">
        <v>69.333333333333329</v>
      </c>
      <c r="X258" s="315">
        <v>0.22</v>
      </c>
      <c r="Y258" s="318">
        <v>17</v>
      </c>
      <c r="Z258" s="315">
        <v>13</v>
      </c>
      <c r="AA258" s="315" t="s">
        <v>1149</v>
      </c>
      <c r="AB258" s="315">
        <v>0</v>
      </c>
      <c r="AC258" s="315" t="s">
        <v>1435</v>
      </c>
    </row>
    <row r="259" spans="1:29">
      <c r="A259" s="315" t="s">
        <v>1145</v>
      </c>
      <c r="B259" s="315" t="s">
        <v>696</v>
      </c>
      <c r="C259" s="345" t="s">
        <v>2009</v>
      </c>
      <c r="D259" s="345" t="s">
        <v>2010</v>
      </c>
      <c r="E259" s="316" t="s">
        <v>1559</v>
      </c>
      <c r="F259" s="316" t="s">
        <v>1559</v>
      </c>
      <c r="G259" s="317">
        <v>9.98</v>
      </c>
      <c r="H259" s="317">
        <v>6.8071858300971728</v>
      </c>
      <c r="I259" s="317">
        <v>7.3104595506709824</v>
      </c>
      <c r="J259" s="317">
        <v>7.3104595506709824</v>
      </c>
      <c r="K259" s="318">
        <v>73.251097702114052</v>
      </c>
      <c r="L259" s="318">
        <v>51.379120781453999</v>
      </c>
      <c r="M259" s="319">
        <v>43.287891074253501</v>
      </c>
      <c r="N259" s="319">
        <v>-29.963206627860551</v>
      </c>
      <c r="O259" s="319">
        <f t="shared" si="4"/>
        <v>0</v>
      </c>
      <c r="P259" s="317">
        <v>0</v>
      </c>
      <c r="Q259" s="315" t="s">
        <v>1148</v>
      </c>
      <c r="R259" s="318">
        <v>203</v>
      </c>
      <c r="T259" s="320">
        <v>95</v>
      </c>
      <c r="U259" s="318">
        <v>37.200000000000003</v>
      </c>
      <c r="V259" s="318">
        <v>1000</v>
      </c>
      <c r="W259" s="318">
        <v>15.666666666666666</v>
      </c>
      <c r="X259" s="315">
        <v>0.27</v>
      </c>
      <c r="Y259" s="318">
        <v>82</v>
      </c>
      <c r="Z259" s="315">
        <v>4</v>
      </c>
      <c r="AA259" s="315" t="s">
        <v>1420</v>
      </c>
      <c r="AB259" s="315">
        <v>3</v>
      </c>
      <c r="AC259" s="315" t="s">
        <v>1435</v>
      </c>
    </row>
    <row r="260" spans="1:29">
      <c r="A260" s="315" t="s">
        <v>1145</v>
      </c>
      <c r="B260" s="315" t="s">
        <v>696</v>
      </c>
      <c r="C260" s="345" t="s">
        <v>2009</v>
      </c>
      <c r="D260" s="345" t="s">
        <v>2010</v>
      </c>
      <c r="E260" s="316" t="s">
        <v>1560</v>
      </c>
      <c r="F260" s="316" t="s">
        <v>1560</v>
      </c>
      <c r="G260" s="317">
        <v>10.4</v>
      </c>
      <c r="H260" s="317">
        <v>0</v>
      </c>
      <c r="I260" s="317">
        <v>0</v>
      </c>
      <c r="J260" s="317">
        <v>0</v>
      </c>
      <c r="K260" s="318">
        <v>0</v>
      </c>
      <c r="L260" s="318">
        <v>55.189061176884998</v>
      </c>
      <c r="M260" s="319">
        <v>41.0321950099042</v>
      </c>
      <c r="N260" s="319">
        <v>41.0321950099042</v>
      </c>
      <c r="O260" s="319">
        <f t="shared" si="4"/>
        <v>41.0321950099042</v>
      </c>
      <c r="P260" s="317">
        <v>4.2673482810300367</v>
      </c>
      <c r="Q260" s="315" t="s">
        <v>1168</v>
      </c>
      <c r="R260" s="318">
        <v>204</v>
      </c>
      <c r="T260" s="320">
        <v>95.555555555555557</v>
      </c>
      <c r="U260" s="318">
        <v>40</v>
      </c>
      <c r="V260" s="318">
        <v>250.66666666666666</v>
      </c>
      <c r="W260" s="318">
        <v>88</v>
      </c>
      <c r="X260" s="315">
        <v>0.21</v>
      </c>
      <c r="Y260" s="318">
        <v>100</v>
      </c>
      <c r="Z260" s="315">
        <v>5</v>
      </c>
      <c r="AA260" s="315" t="s">
        <v>1154</v>
      </c>
      <c r="AB260" s="315">
        <v>1</v>
      </c>
      <c r="AC260" s="315" t="s">
        <v>1435</v>
      </c>
    </row>
    <row r="261" spans="1:29">
      <c r="A261" s="315" t="s">
        <v>1145</v>
      </c>
      <c r="B261" s="315" t="s">
        <v>696</v>
      </c>
      <c r="C261" s="345" t="s">
        <v>2009</v>
      </c>
      <c r="D261" s="345" t="s">
        <v>2010</v>
      </c>
      <c r="E261" s="316" t="s">
        <v>1561</v>
      </c>
      <c r="F261" s="316" t="s">
        <v>1561</v>
      </c>
      <c r="G261" s="317">
        <v>7.5010000000000003</v>
      </c>
      <c r="H261" s="317">
        <v>6.3403582537185716</v>
      </c>
      <c r="I261" s="317">
        <v>6.8122138289592691</v>
      </c>
      <c r="J261" s="317">
        <v>6.8122138289592691</v>
      </c>
      <c r="K261" s="318">
        <v>90.817408731626031</v>
      </c>
      <c r="L261" s="318">
        <v>50.388137409673497</v>
      </c>
      <c r="M261" s="319">
        <v>42.395389532136903</v>
      </c>
      <c r="N261" s="319">
        <v>-48.422019199489128</v>
      </c>
      <c r="O261" s="319">
        <f t="shared" si="4"/>
        <v>0</v>
      </c>
      <c r="P261" s="317">
        <v>0</v>
      </c>
      <c r="Q261" s="315" t="s">
        <v>1148</v>
      </c>
      <c r="R261" s="318">
        <v>205</v>
      </c>
      <c r="T261" s="320">
        <v>96.111111111111114</v>
      </c>
      <c r="U261" s="318">
        <v>37</v>
      </c>
      <c r="V261" s="318">
        <v>200</v>
      </c>
      <c r="W261" s="318">
        <v>100</v>
      </c>
      <c r="X261" s="315">
        <v>0.24</v>
      </c>
      <c r="Y261" s="318">
        <v>100</v>
      </c>
      <c r="Z261" s="315">
        <v>6</v>
      </c>
      <c r="AA261" s="315" t="s">
        <v>1154</v>
      </c>
      <c r="AB261" s="315">
        <v>3</v>
      </c>
      <c r="AC261" s="315" t="s">
        <v>1435</v>
      </c>
    </row>
    <row r="262" spans="1:29">
      <c r="A262" s="315" t="s">
        <v>1145</v>
      </c>
      <c r="B262" s="315" t="s">
        <v>696</v>
      </c>
      <c r="C262" s="345" t="s">
        <v>2009</v>
      </c>
      <c r="D262" s="345" t="s">
        <v>2010</v>
      </c>
      <c r="E262" s="316" t="s">
        <v>1563</v>
      </c>
      <c r="F262" s="316" t="s">
        <v>1563</v>
      </c>
      <c r="G262" s="317">
        <v>2.82</v>
      </c>
      <c r="H262" s="317">
        <v>0</v>
      </c>
      <c r="I262" s="317">
        <v>0</v>
      </c>
      <c r="J262" s="317">
        <v>0</v>
      </c>
      <c r="K262" s="318">
        <v>0</v>
      </c>
      <c r="L262" s="318">
        <v>48.872408167902002</v>
      </c>
      <c r="M262" s="319">
        <v>38.657076508573503</v>
      </c>
      <c r="N262" s="319">
        <v>38.657076508573503</v>
      </c>
      <c r="O262" s="319">
        <f t="shared" si="4"/>
        <v>38.657076508573503</v>
      </c>
      <c r="P262" s="317">
        <v>1.0901295575417727</v>
      </c>
      <c r="Q262" s="315" t="s">
        <v>1168</v>
      </c>
      <c r="R262" s="318">
        <v>205</v>
      </c>
      <c r="T262" s="320">
        <v>96.111111111111114</v>
      </c>
      <c r="U262" s="318">
        <v>39.9</v>
      </c>
      <c r="V262" s="318">
        <v>300</v>
      </c>
      <c r="W262" s="318">
        <v>342.5</v>
      </c>
      <c r="X262" s="315">
        <v>0.20619999999999997</v>
      </c>
      <c r="Y262" s="318">
        <v>25.477959999999999</v>
      </c>
      <c r="Z262" s="315">
        <v>2</v>
      </c>
      <c r="AA262" s="315" t="s">
        <v>1154</v>
      </c>
      <c r="AB262" s="315">
        <v>3</v>
      </c>
      <c r="AC262" s="315" t="s">
        <v>1435</v>
      </c>
    </row>
    <row r="263" spans="1:29">
      <c r="A263" s="315" t="s">
        <v>1145</v>
      </c>
      <c r="B263" s="315" t="s">
        <v>696</v>
      </c>
      <c r="C263" s="345" t="s">
        <v>2009</v>
      </c>
      <c r="D263" s="345" t="s">
        <v>2010</v>
      </c>
      <c r="E263" s="316" t="s">
        <v>1564</v>
      </c>
      <c r="F263" s="316" t="s">
        <v>1564</v>
      </c>
      <c r="G263" s="317">
        <v>21.16</v>
      </c>
      <c r="H263" s="317">
        <v>8.7253560657224707</v>
      </c>
      <c r="I263" s="317">
        <v>9.3704452831583431</v>
      </c>
      <c r="J263" s="317">
        <v>9.3704452831583431</v>
      </c>
      <c r="K263" s="318">
        <v>44.283767878820143</v>
      </c>
      <c r="L263" s="318">
        <v>51.518320035233501</v>
      </c>
      <c r="M263" s="319">
        <v>38.060597591367703</v>
      </c>
      <c r="N263" s="319">
        <v>-6.2231702874524402</v>
      </c>
      <c r="O263" s="319">
        <f t="shared" si="4"/>
        <v>0</v>
      </c>
      <c r="P263" s="317">
        <v>0</v>
      </c>
      <c r="Q263" s="315" t="s">
        <v>1148</v>
      </c>
      <c r="R263" s="318">
        <v>205</v>
      </c>
      <c r="T263" s="320">
        <v>96.111111111111114</v>
      </c>
      <c r="U263" s="318">
        <v>33</v>
      </c>
      <c r="V263" s="318">
        <v>355.4</v>
      </c>
      <c r="W263" s="318">
        <v>240</v>
      </c>
      <c r="X263" s="315">
        <v>0.22</v>
      </c>
      <c r="Y263" s="318">
        <v>70</v>
      </c>
      <c r="Z263" s="315">
        <v>7</v>
      </c>
      <c r="AA263" s="315" t="s">
        <v>1154</v>
      </c>
      <c r="AB263" s="315">
        <v>3</v>
      </c>
      <c r="AC263" s="315" t="s">
        <v>1435</v>
      </c>
    </row>
    <row r="264" spans="1:29">
      <c r="A264" s="315" t="s">
        <v>1145</v>
      </c>
      <c r="B264" s="315" t="s">
        <v>696</v>
      </c>
      <c r="C264" s="345" t="s">
        <v>2009</v>
      </c>
      <c r="D264" s="345" t="s">
        <v>2010</v>
      </c>
      <c r="E264" s="316" t="s">
        <v>1565</v>
      </c>
      <c r="F264" s="316" t="s">
        <v>1565</v>
      </c>
      <c r="G264" s="317">
        <v>22.1</v>
      </c>
      <c r="H264" s="317">
        <v>3.0924784308576978</v>
      </c>
      <c r="I264" s="317">
        <v>3.321113768711617</v>
      </c>
      <c r="J264" s="317">
        <v>3.321113768711617</v>
      </c>
      <c r="K264" s="318">
        <v>15.027664111817272</v>
      </c>
      <c r="L264" s="318">
        <v>56.329308811608001</v>
      </c>
      <c r="M264" s="319">
        <v>40.583728506092001</v>
      </c>
      <c r="N264" s="319">
        <v>25.556064394274728</v>
      </c>
      <c r="O264" s="319">
        <f t="shared" si="4"/>
        <v>25.556064394274728</v>
      </c>
      <c r="P264" s="317">
        <v>5.6478902311347161</v>
      </c>
      <c r="Q264" s="315" t="s">
        <v>1148</v>
      </c>
      <c r="R264" s="318">
        <v>205</v>
      </c>
      <c r="T264" s="320">
        <v>96.111111111111114</v>
      </c>
      <c r="U264" s="318">
        <v>34</v>
      </c>
      <c r="V264" s="318">
        <v>314.39999999999998</v>
      </c>
      <c r="W264" s="318">
        <v>146.80000000000001</v>
      </c>
      <c r="X264" s="315">
        <v>0.22</v>
      </c>
      <c r="Y264" s="318">
        <v>60</v>
      </c>
      <c r="Z264" s="315">
        <v>3</v>
      </c>
      <c r="AA264" s="315" t="s">
        <v>1154</v>
      </c>
      <c r="AB264" s="315">
        <v>2</v>
      </c>
      <c r="AC264" s="315" t="s">
        <v>1435</v>
      </c>
    </row>
    <row r="265" spans="1:29">
      <c r="A265" s="315" t="s">
        <v>1145</v>
      </c>
      <c r="B265" s="315" t="s">
        <v>696</v>
      </c>
      <c r="C265" s="345" t="s">
        <v>2009</v>
      </c>
      <c r="D265" s="345" t="s">
        <v>2010</v>
      </c>
      <c r="E265" s="316" t="s">
        <v>1566</v>
      </c>
      <c r="F265" s="316" t="s">
        <v>1566</v>
      </c>
      <c r="G265" s="317">
        <v>22.1</v>
      </c>
      <c r="H265" s="317">
        <v>3.0924784308576978</v>
      </c>
      <c r="I265" s="317">
        <v>3.321113768711617</v>
      </c>
      <c r="J265" s="317">
        <v>3.321113768711617</v>
      </c>
      <c r="K265" s="318">
        <v>15.027664111817272</v>
      </c>
      <c r="L265" s="318">
        <v>57.790073075332899</v>
      </c>
      <c r="M265" s="319">
        <v>39.938429114772099</v>
      </c>
      <c r="N265" s="319">
        <v>24.910765002954825</v>
      </c>
      <c r="O265" s="319">
        <f t="shared" si="4"/>
        <v>24.910765002954825</v>
      </c>
      <c r="P265" s="317">
        <v>5.5052790656530171</v>
      </c>
      <c r="Q265" s="315" t="s">
        <v>1148</v>
      </c>
      <c r="R265" s="318">
        <v>205</v>
      </c>
      <c r="T265" s="320">
        <v>96.111111111111114</v>
      </c>
      <c r="U265" s="318">
        <v>37.130000000000003</v>
      </c>
      <c r="V265" s="318">
        <v>256.8</v>
      </c>
      <c r="W265" s="318">
        <v>148.80000000000001</v>
      </c>
      <c r="X265" s="315">
        <v>0.22</v>
      </c>
      <c r="Y265" s="318">
        <v>50</v>
      </c>
      <c r="Z265" s="315">
        <v>0</v>
      </c>
      <c r="AA265" s="315" t="s">
        <v>1154</v>
      </c>
      <c r="AB265" s="315">
        <v>7</v>
      </c>
      <c r="AC265" s="315" t="s">
        <v>1435</v>
      </c>
    </row>
    <row r="266" spans="1:29">
      <c r="A266" s="315" t="s">
        <v>1145</v>
      </c>
      <c r="B266" s="315" t="s">
        <v>696</v>
      </c>
      <c r="C266" s="345" t="s">
        <v>2009</v>
      </c>
      <c r="D266" s="345" t="s">
        <v>2010</v>
      </c>
      <c r="E266" s="316" t="s">
        <v>1567</v>
      </c>
      <c r="F266" s="316" t="s">
        <v>1567</v>
      </c>
      <c r="G266" s="317">
        <v>27.79</v>
      </c>
      <c r="H266" s="317">
        <v>2.7789230452217093</v>
      </c>
      <c r="I266" s="317">
        <v>2.9848634556324294</v>
      </c>
      <c r="J266" s="317">
        <v>9.3824026283915671</v>
      </c>
      <c r="K266" s="318">
        <v>33.761794272729638</v>
      </c>
      <c r="L266" s="318">
        <v>57.374542578723798</v>
      </c>
      <c r="M266" s="319">
        <v>36.6114099116689</v>
      </c>
      <c r="N266" s="319">
        <v>2.8496156389392624</v>
      </c>
      <c r="O266" s="319">
        <f t="shared" si="4"/>
        <v>2.8496156389392624</v>
      </c>
      <c r="P266" s="317">
        <v>0.79190818606122104</v>
      </c>
      <c r="Q266" s="315" t="s">
        <v>1148</v>
      </c>
      <c r="R266" s="318">
        <v>205</v>
      </c>
      <c r="T266" s="320">
        <v>96.111111111111114</v>
      </c>
      <c r="U266" s="318">
        <v>37</v>
      </c>
      <c r="V266" s="318">
        <v>440.8</v>
      </c>
      <c r="W266" s="318">
        <v>108.8</v>
      </c>
      <c r="X266" s="315">
        <v>0.22</v>
      </c>
      <c r="Y266" s="318">
        <v>50</v>
      </c>
      <c r="Z266" s="315">
        <v>0</v>
      </c>
      <c r="AA266" s="315" t="s">
        <v>1154</v>
      </c>
      <c r="AB266" s="315">
        <v>7</v>
      </c>
      <c r="AC266" s="315" t="s">
        <v>1435</v>
      </c>
    </row>
    <row r="267" spans="1:29">
      <c r="A267" s="315" t="s">
        <v>1145</v>
      </c>
      <c r="B267" s="315" t="s">
        <v>696</v>
      </c>
      <c r="C267" s="345" t="s">
        <v>2009</v>
      </c>
      <c r="D267" s="345" t="s">
        <v>2010</v>
      </c>
      <c r="E267" s="316" t="s">
        <v>1568</v>
      </c>
      <c r="F267" s="316" t="s">
        <v>1568</v>
      </c>
      <c r="G267" s="317">
        <v>27.79</v>
      </c>
      <c r="H267" s="317">
        <v>2.7789230452217093</v>
      </c>
      <c r="I267" s="317">
        <v>2.9848634556324294</v>
      </c>
      <c r="J267" s="317">
        <v>9.3824026283915671</v>
      </c>
      <c r="K267" s="318">
        <v>33.761794272729638</v>
      </c>
      <c r="L267" s="318">
        <v>51.695728016615902</v>
      </c>
      <c r="M267" s="319">
        <v>38.280572755571804</v>
      </c>
      <c r="N267" s="319">
        <v>4.5187784828421655</v>
      </c>
      <c r="O267" s="319">
        <f t="shared" si="4"/>
        <v>4.5187784828421655</v>
      </c>
      <c r="P267" s="317">
        <v>1.2557685403818377</v>
      </c>
      <c r="Q267" s="315" t="s">
        <v>1148</v>
      </c>
      <c r="R267" s="318">
        <v>205</v>
      </c>
      <c r="T267" s="320">
        <v>96.111111111111114</v>
      </c>
      <c r="U267" s="318">
        <v>38</v>
      </c>
      <c r="V267" s="318">
        <v>381.8</v>
      </c>
      <c r="W267" s="318">
        <v>119.4</v>
      </c>
      <c r="X267" s="315">
        <v>0.22</v>
      </c>
      <c r="Y267" s="318">
        <v>60</v>
      </c>
      <c r="Z267" s="315">
        <v>0</v>
      </c>
      <c r="AA267" s="315" t="s">
        <v>1154</v>
      </c>
      <c r="AB267" s="315">
        <v>7</v>
      </c>
      <c r="AC267" s="315" t="s">
        <v>1435</v>
      </c>
    </row>
    <row r="268" spans="1:29">
      <c r="A268" s="315" t="s">
        <v>1852</v>
      </c>
      <c r="B268" s="315" t="s">
        <v>696</v>
      </c>
      <c r="C268" s="345" t="s">
        <v>2009</v>
      </c>
      <c r="D268" s="345" t="s">
        <v>2010</v>
      </c>
      <c r="E268" s="316" t="s">
        <v>1570</v>
      </c>
      <c r="F268" s="316" t="s">
        <v>1570</v>
      </c>
      <c r="G268" s="317">
        <v>12.58</v>
      </c>
      <c r="H268" s="317">
        <v>0</v>
      </c>
      <c r="I268" s="317">
        <v>0</v>
      </c>
      <c r="J268" s="317">
        <v>1.31</v>
      </c>
      <c r="K268" s="318">
        <v>10.413354531001589</v>
      </c>
      <c r="L268" s="318">
        <v>52.237509664499797</v>
      </c>
      <c r="M268" s="319">
        <v>38.167742427382301</v>
      </c>
      <c r="N268" s="319">
        <v>27.754387896380713</v>
      </c>
      <c r="O268" s="319">
        <f t="shared" si="4"/>
        <v>27.754387896380713</v>
      </c>
      <c r="P268" s="317">
        <v>3.4915019973646935</v>
      </c>
      <c r="Q268" s="315" t="s">
        <v>1168</v>
      </c>
      <c r="R268" s="318">
        <v>205</v>
      </c>
      <c r="T268" s="320">
        <v>96.111111111111114</v>
      </c>
      <c r="U268" s="318">
        <v>38</v>
      </c>
      <c r="V268" s="318">
        <v>350</v>
      </c>
      <c r="W268" s="318">
        <v>120</v>
      </c>
      <c r="X268" s="315">
        <v>0.22</v>
      </c>
      <c r="Y268" s="318">
        <v>50</v>
      </c>
      <c r="Z268" s="315">
        <v>0</v>
      </c>
      <c r="AA268" s="315" t="s">
        <v>1154</v>
      </c>
      <c r="AB268" s="315">
        <v>7</v>
      </c>
      <c r="AC268" s="315" t="s">
        <v>1435</v>
      </c>
    </row>
    <row r="269" spans="1:29">
      <c r="A269" s="315" t="s">
        <v>1145</v>
      </c>
      <c r="B269" s="315" t="s">
        <v>696</v>
      </c>
      <c r="C269" s="345" t="s">
        <v>2009</v>
      </c>
      <c r="D269" s="345" t="s">
        <v>2010</v>
      </c>
      <c r="E269" s="316" t="s">
        <v>1572</v>
      </c>
      <c r="F269" s="316" t="s">
        <v>1572</v>
      </c>
      <c r="G269" s="317">
        <v>49.94</v>
      </c>
      <c r="H269" s="317">
        <v>18.748412699730036</v>
      </c>
      <c r="I269" s="317">
        <v>20.134533685314551</v>
      </c>
      <c r="J269" s="317">
        <v>24.495662510727456</v>
      </c>
      <c r="K269" s="318">
        <v>49.050185243747414</v>
      </c>
      <c r="L269" s="318">
        <v>55.841552928803402</v>
      </c>
      <c r="M269" s="319">
        <v>42.8816612228349</v>
      </c>
      <c r="N269" s="319">
        <v>-6.1685240209125141</v>
      </c>
      <c r="O269" s="319">
        <f t="shared" si="4"/>
        <v>0</v>
      </c>
      <c r="P269" s="317">
        <v>0</v>
      </c>
      <c r="Q269" s="315" t="s">
        <v>1148</v>
      </c>
      <c r="R269" s="318">
        <v>205</v>
      </c>
      <c r="T269" s="320">
        <v>96.111111111111114</v>
      </c>
      <c r="U269" s="318">
        <v>38.1</v>
      </c>
      <c r="V269" s="318">
        <v>600</v>
      </c>
      <c r="W269" s="318">
        <v>300</v>
      </c>
      <c r="X269" s="315">
        <v>0.27</v>
      </c>
      <c r="Y269" s="318">
        <v>83</v>
      </c>
      <c r="Z269" s="315">
        <v>11</v>
      </c>
      <c r="AA269" s="315" t="s">
        <v>1154</v>
      </c>
      <c r="AB269" s="315">
        <v>6</v>
      </c>
      <c r="AC269" s="315" t="s">
        <v>1435</v>
      </c>
    </row>
    <row r="270" spans="1:29">
      <c r="A270" s="315" t="s">
        <v>1145</v>
      </c>
      <c r="B270" s="315" t="s">
        <v>696</v>
      </c>
      <c r="C270" s="345" t="s">
        <v>2009</v>
      </c>
      <c r="D270" s="345" t="s">
        <v>2010</v>
      </c>
      <c r="E270" s="316" t="s">
        <v>1573</v>
      </c>
      <c r="F270" s="316" t="s">
        <v>1573</v>
      </c>
      <c r="G270" s="317">
        <v>43.84</v>
      </c>
      <c r="H270" s="317">
        <v>20.609369801483112</v>
      </c>
      <c r="I270" s="317">
        <v>22.133076425800336</v>
      </c>
      <c r="J270" s="317">
        <v>22.133076425800336</v>
      </c>
      <c r="K270" s="318">
        <v>50.486031993157695</v>
      </c>
      <c r="L270" s="318">
        <v>46.842048799574002</v>
      </c>
      <c r="M270" s="319">
        <v>43.949357759230999</v>
      </c>
      <c r="N270" s="319">
        <v>-6.5366742339266963</v>
      </c>
      <c r="O270" s="319">
        <f t="shared" si="4"/>
        <v>0</v>
      </c>
      <c r="P270" s="317">
        <v>0</v>
      </c>
      <c r="Q270" s="315" t="s">
        <v>1148</v>
      </c>
      <c r="R270" s="318">
        <v>205</v>
      </c>
      <c r="T270" s="320">
        <v>96.111111111111114</v>
      </c>
      <c r="U270" s="318">
        <v>39.9</v>
      </c>
      <c r="V270" s="318">
        <v>300</v>
      </c>
      <c r="W270" s="318">
        <v>180</v>
      </c>
      <c r="X270" s="315">
        <v>0.23730000000000001</v>
      </c>
      <c r="Y270" s="318">
        <v>90.170231884057955</v>
      </c>
      <c r="Z270" s="315">
        <v>4</v>
      </c>
      <c r="AA270" s="315" t="s">
        <v>1154</v>
      </c>
      <c r="AB270" s="315">
        <v>4</v>
      </c>
      <c r="AC270" s="315" t="s">
        <v>1435</v>
      </c>
    </row>
    <row r="271" spans="1:29">
      <c r="A271" s="315" t="s">
        <v>1145</v>
      </c>
      <c r="B271" s="315" t="s">
        <v>696</v>
      </c>
      <c r="C271" s="345" t="s">
        <v>2009</v>
      </c>
      <c r="D271" s="345" t="s">
        <v>2010</v>
      </c>
      <c r="E271" s="316" t="s">
        <v>1574</v>
      </c>
      <c r="F271" s="316" t="s">
        <v>1574</v>
      </c>
      <c r="G271" s="317">
        <v>14.29</v>
      </c>
      <c r="H271" s="317">
        <v>3.4306753310823441</v>
      </c>
      <c r="I271" s="317">
        <v>3.6847235574358823</v>
      </c>
      <c r="J271" s="317">
        <v>5.0512013226920587</v>
      </c>
      <c r="K271" s="318">
        <v>35.347804917369203</v>
      </c>
      <c r="L271" s="318">
        <v>49.234486946012296</v>
      </c>
      <c r="M271" s="319">
        <v>42.150706320381495</v>
      </c>
      <c r="N271" s="319">
        <v>6.8029014030122923</v>
      </c>
      <c r="O271" s="319">
        <f t="shared" si="4"/>
        <v>6.8029014030122923</v>
      </c>
      <c r="P271" s="317">
        <v>0.97213461049045646</v>
      </c>
      <c r="Q271" s="315" t="s">
        <v>1148</v>
      </c>
      <c r="R271" s="318">
        <v>205</v>
      </c>
      <c r="T271" s="320">
        <v>96.111111111111114</v>
      </c>
      <c r="U271" s="318">
        <v>36</v>
      </c>
      <c r="V271" s="318">
        <v>169</v>
      </c>
      <c r="W271" s="318">
        <v>120</v>
      </c>
      <c r="X271" s="315">
        <v>0.23</v>
      </c>
      <c r="Y271" s="318">
        <v>70</v>
      </c>
      <c r="Z271" s="315">
        <v>3</v>
      </c>
      <c r="AA271" s="315" t="s">
        <v>1154</v>
      </c>
      <c r="AB271" s="315">
        <v>1</v>
      </c>
      <c r="AC271" s="315" t="s">
        <v>1435</v>
      </c>
    </row>
    <row r="272" spans="1:29">
      <c r="A272" s="315" t="s">
        <v>1145</v>
      </c>
      <c r="B272" s="315" t="s">
        <v>696</v>
      </c>
      <c r="C272" s="345" t="s">
        <v>2009</v>
      </c>
      <c r="D272" s="345" t="s">
        <v>2010</v>
      </c>
      <c r="E272" s="316" t="s">
        <v>1576</v>
      </c>
      <c r="F272" s="316" t="s">
        <v>1576</v>
      </c>
      <c r="G272" s="317">
        <v>13.1</v>
      </c>
      <c r="H272" s="317">
        <v>0.73432723474795392</v>
      </c>
      <c r="I272" s="317">
        <v>0.78861799759737505</v>
      </c>
      <c r="J272" s="317">
        <v>10.865080648302001</v>
      </c>
      <c r="K272" s="318">
        <v>82.939546933603069</v>
      </c>
      <c r="L272" s="318">
        <v>53.0863914902245</v>
      </c>
      <c r="M272" s="319">
        <v>37.7368173835169</v>
      </c>
      <c r="N272" s="319">
        <v>-45.202729550086168</v>
      </c>
      <c r="O272" s="319">
        <f t="shared" si="4"/>
        <v>0</v>
      </c>
      <c r="P272" s="317">
        <v>0</v>
      </c>
      <c r="Q272" s="315" t="s">
        <v>1148</v>
      </c>
      <c r="R272" s="318">
        <v>205</v>
      </c>
      <c r="T272" s="320">
        <v>96.111111111111114</v>
      </c>
      <c r="U272" s="318">
        <v>36</v>
      </c>
      <c r="V272" s="318">
        <v>221.4</v>
      </c>
      <c r="W272" s="318">
        <v>150</v>
      </c>
      <c r="X272" s="315">
        <v>0.23</v>
      </c>
      <c r="Y272" s="318">
        <v>60</v>
      </c>
      <c r="Z272" s="315">
        <v>3</v>
      </c>
      <c r="AA272" s="315" t="s">
        <v>1149</v>
      </c>
      <c r="AB272" s="315">
        <v>0</v>
      </c>
      <c r="AC272" s="315" t="s">
        <v>1435</v>
      </c>
    </row>
    <row r="273" spans="1:29">
      <c r="A273" s="315" t="s">
        <v>1145</v>
      </c>
      <c r="B273" s="315" t="s">
        <v>696</v>
      </c>
      <c r="C273" s="345" t="s">
        <v>2009</v>
      </c>
      <c r="D273" s="345" t="s">
        <v>2010</v>
      </c>
      <c r="E273" s="316" t="s">
        <v>1577</v>
      </c>
      <c r="F273" s="316" t="s">
        <v>1577</v>
      </c>
      <c r="G273" s="317">
        <v>3.39</v>
      </c>
      <c r="H273" s="317">
        <v>0</v>
      </c>
      <c r="I273" s="317">
        <v>0</v>
      </c>
      <c r="J273" s="317">
        <v>0</v>
      </c>
      <c r="K273" s="318">
        <v>0</v>
      </c>
      <c r="L273" s="318">
        <v>47.914041783898497</v>
      </c>
      <c r="M273" s="319">
        <v>38.734903315021</v>
      </c>
      <c r="N273" s="319">
        <v>38.734903315021</v>
      </c>
      <c r="O273" s="319">
        <f t="shared" si="4"/>
        <v>38.734903315021</v>
      </c>
      <c r="P273" s="317">
        <v>1.3131132223792119</v>
      </c>
      <c r="Q273" s="315" t="s">
        <v>1168</v>
      </c>
      <c r="R273" s="318">
        <v>205</v>
      </c>
      <c r="T273" s="320">
        <v>96.111111111111114</v>
      </c>
      <c r="U273" s="318">
        <v>39.9</v>
      </c>
      <c r="V273" s="318">
        <v>350</v>
      </c>
      <c r="W273" s="318">
        <v>226</v>
      </c>
      <c r="X273" s="315">
        <v>0.21365217391304347</v>
      </c>
      <c r="Y273" s="318">
        <v>50.231681818181819</v>
      </c>
      <c r="Z273" s="315">
        <v>1</v>
      </c>
      <c r="AA273" s="315" t="s">
        <v>1149</v>
      </c>
      <c r="AB273" s="315">
        <v>0</v>
      </c>
      <c r="AC273" s="315" t="s">
        <v>1435</v>
      </c>
    </row>
    <row r="274" spans="1:29">
      <c r="A274" s="315" t="s">
        <v>1145</v>
      </c>
      <c r="B274" s="315" t="s">
        <v>696</v>
      </c>
      <c r="C274" s="345" t="s">
        <v>2009</v>
      </c>
      <c r="D274" s="345" t="s">
        <v>2010</v>
      </c>
      <c r="E274" s="316" t="s">
        <v>1578</v>
      </c>
      <c r="F274" s="316" t="s">
        <v>1578</v>
      </c>
      <c r="G274" s="317">
        <v>1.25</v>
      </c>
      <c r="H274" s="317">
        <v>0</v>
      </c>
      <c r="I274" s="317">
        <v>0</v>
      </c>
      <c r="J274" s="317">
        <v>0</v>
      </c>
      <c r="K274" s="318">
        <v>0</v>
      </c>
      <c r="L274" s="318">
        <v>46.908099661970098</v>
      </c>
      <c r="M274" s="319">
        <v>39.136033915778398</v>
      </c>
      <c r="N274" s="319">
        <v>39.136033915778398</v>
      </c>
      <c r="O274" s="319">
        <f t="shared" si="4"/>
        <v>39.136033915778398</v>
      </c>
      <c r="P274" s="317">
        <v>0.48920042394723001</v>
      </c>
      <c r="Q274" s="315" t="s">
        <v>1168</v>
      </c>
      <c r="R274" s="318">
        <v>205</v>
      </c>
      <c r="T274" s="320">
        <v>96.111111111111114</v>
      </c>
      <c r="U274" s="318">
        <v>39.9</v>
      </c>
      <c r="V274" s="318">
        <v>500</v>
      </c>
      <c r="W274" s="318">
        <v>164</v>
      </c>
      <c r="X274" s="315">
        <v>0.21852380952380951</v>
      </c>
      <c r="Y274" s="318">
        <v>77.727857142857133</v>
      </c>
      <c r="Z274" s="315">
        <v>2</v>
      </c>
      <c r="AA274" s="315" t="s">
        <v>1149</v>
      </c>
      <c r="AB274" s="315">
        <v>0</v>
      </c>
      <c r="AC274" s="315" t="s">
        <v>1435</v>
      </c>
    </row>
    <row r="275" spans="1:29">
      <c r="A275" s="315" t="s">
        <v>1145</v>
      </c>
      <c r="B275" s="315" t="s">
        <v>696</v>
      </c>
      <c r="C275" s="345" t="s">
        <v>2009</v>
      </c>
      <c r="D275" s="345" t="s">
        <v>2010</v>
      </c>
      <c r="E275" s="316" t="s">
        <v>1579</v>
      </c>
      <c r="F275" s="316" t="s">
        <v>1579</v>
      </c>
      <c r="G275" s="317">
        <v>5.77</v>
      </c>
      <c r="H275" s="317">
        <v>0</v>
      </c>
      <c r="I275" s="317">
        <v>0</v>
      </c>
      <c r="J275" s="317">
        <v>0</v>
      </c>
      <c r="K275" s="318">
        <v>0</v>
      </c>
      <c r="L275" s="318">
        <v>46.3196986086</v>
      </c>
      <c r="M275" s="319">
        <v>44.428358140808001</v>
      </c>
      <c r="N275" s="319">
        <v>44.428358140808001</v>
      </c>
      <c r="O275" s="319">
        <f t="shared" si="4"/>
        <v>44.428358140808001</v>
      </c>
      <c r="P275" s="317">
        <v>2.5635162647246212</v>
      </c>
      <c r="Q275" s="315" t="s">
        <v>1168</v>
      </c>
      <c r="R275" s="318">
        <v>205</v>
      </c>
      <c r="T275" s="320">
        <v>96.111111111111114</v>
      </c>
      <c r="U275" s="318">
        <v>39.9</v>
      </c>
      <c r="V275" s="318">
        <v>300</v>
      </c>
      <c r="W275" s="318">
        <v>73.5</v>
      </c>
      <c r="X275" s="315">
        <v>0.2424705882352941</v>
      </c>
      <c r="Y275" s="318">
        <v>83.59258823529413</v>
      </c>
      <c r="Z275" s="315">
        <v>2</v>
      </c>
      <c r="AA275" s="315" t="s">
        <v>1149</v>
      </c>
      <c r="AB275" s="315">
        <v>0</v>
      </c>
      <c r="AC275" s="315" t="s">
        <v>1435</v>
      </c>
    </row>
    <row r="276" spans="1:29">
      <c r="A276" s="315" t="s">
        <v>1145</v>
      </c>
      <c r="B276" s="315" t="s">
        <v>696</v>
      </c>
      <c r="C276" s="345" t="s">
        <v>2009</v>
      </c>
      <c r="D276" s="345" t="s">
        <v>2010</v>
      </c>
      <c r="E276" s="316" t="s">
        <v>1580</v>
      </c>
      <c r="F276" s="316" t="s">
        <v>1580</v>
      </c>
      <c r="G276" s="317">
        <v>15.41</v>
      </c>
      <c r="H276" s="317">
        <v>4.0999411273116015</v>
      </c>
      <c r="I276" s="317">
        <v>4.4030858193480773</v>
      </c>
      <c r="J276" s="317">
        <v>4.4030858193480773</v>
      </c>
      <c r="K276" s="318">
        <v>28.572912520104332</v>
      </c>
      <c r="L276" s="318">
        <v>47.067388857759703</v>
      </c>
      <c r="M276" s="319">
        <v>43.095486307702501</v>
      </c>
      <c r="N276" s="319">
        <v>14.522573787598169</v>
      </c>
      <c r="O276" s="319">
        <f t="shared" si="4"/>
        <v>14.522573787598169</v>
      </c>
      <c r="P276" s="317">
        <v>2.2379286206688778</v>
      </c>
      <c r="Q276" s="315" t="s">
        <v>1148</v>
      </c>
      <c r="R276" s="318">
        <v>205</v>
      </c>
      <c r="T276" s="320">
        <v>96.111111111111114</v>
      </c>
      <c r="U276" s="318">
        <v>39</v>
      </c>
      <c r="V276" s="318">
        <v>719.66666666666663</v>
      </c>
      <c r="W276" s="318">
        <v>158.33333333333334</v>
      </c>
      <c r="X276" s="315">
        <v>0.23</v>
      </c>
      <c r="Y276" s="318">
        <v>90</v>
      </c>
      <c r="Z276" s="315">
        <v>0</v>
      </c>
      <c r="AA276" s="315" t="s">
        <v>1420</v>
      </c>
      <c r="AB276" s="315">
        <v>3</v>
      </c>
      <c r="AC276" s="315" t="s">
        <v>1435</v>
      </c>
    </row>
    <row r="277" spans="1:29">
      <c r="A277" s="315" t="s">
        <v>1145</v>
      </c>
      <c r="B277" s="315" t="s">
        <v>696</v>
      </c>
      <c r="C277" s="345" t="s">
        <v>2009</v>
      </c>
      <c r="D277" s="345" t="s">
        <v>2010</v>
      </c>
      <c r="E277" s="316" t="s">
        <v>1581</v>
      </c>
      <c r="F277" s="316" t="s">
        <v>1581</v>
      </c>
      <c r="G277" s="317">
        <v>8.11</v>
      </c>
      <c r="H277" s="317">
        <v>0</v>
      </c>
      <c r="I277" s="317">
        <v>0</v>
      </c>
      <c r="J277" s="317">
        <v>0</v>
      </c>
      <c r="K277" s="318">
        <v>0</v>
      </c>
      <c r="L277" s="318">
        <v>47.592195623819897</v>
      </c>
      <c r="M277" s="319">
        <v>42.785434223035601</v>
      </c>
      <c r="N277" s="319">
        <v>0</v>
      </c>
      <c r="O277" s="319">
        <f t="shared" si="4"/>
        <v>0</v>
      </c>
      <c r="P277" s="317">
        <v>0</v>
      </c>
      <c r="Q277" s="315" t="s">
        <v>1148</v>
      </c>
      <c r="R277" s="318">
        <v>205</v>
      </c>
      <c r="T277" s="320">
        <v>96.111111111111114</v>
      </c>
      <c r="U277" s="318">
        <v>40</v>
      </c>
      <c r="V277" s="318">
        <v>386.66666666666669</v>
      </c>
      <c r="W277" s="318">
        <v>158.33333333333334</v>
      </c>
      <c r="X277" s="315">
        <v>0.23</v>
      </c>
      <c r="Y277" s="318">
        <v>100</v>
      </c>
      <c r="Z277" s="315">
        <v>0</v>
      </c>
      <c r="AA277" s="315" t="s">
        <v>1420</v>
      </c>
      <c r="AB277" s="315">
        <v>3</v>
      </c>
      <c r="AC277" s="315" t="s">
        <v>1435</v>
      </c>
    </row>
    <row r="278" spans="1:29">
      <c r="A278" s="315" t="s">
        <v>1145</v>
      </c>
      <c r="B278" s="315" t="s">
        <v>696</v>
      </c>
      <c r="C278" s="345" t="s">
        <v>2009</v>
      </c>
      <c r="D278" s="345" t="s">
        <v>2010</v>
      </c>
      <c r="E278" s="316" t="s">
        <v>1582</v>
      </c>
      <c r="F278" s="316" t="s">
        <v>1582</v>
      </c>
      <c r="G278" s="317">
        <v>19.87</v>
      </c>
      <c r="H278" s="317">
        <v>5.9686161336339572</v>
      </c>
      <c r="I278" s="317">
        <v>6.4098920676151376</v>
      </c>
      <c r="J278" s="317">
        <v>8.179580379552533</v>
      </c>
      <c r="K278" s="318">
        <v>41.16547750152256</v>
      </c>
      <c r="L278" s="318">
        <v>46.655380207120899</v>
      </c>
      <c r="M278" s="319">
        <v>43.6541793673982</v>
      </c>
      <c r="N278" s="319">
        <v>2.4887018658756404</v>
      </c>
      <c r="O278" s="319">
        <f t="shared" si="4"/>
        <v>2.4887018658756404</v>
      </c>
      <c r="P278" s="317">
        <v>0.49450506074948974</v>
      </c>
      <c r="Q278" s="315" t="s">
        <v>1148</v>
      </c>
      <c r="R278" s="318">
        <v>205</v>
      </c>
      <c r="T278" s="320">
        <v>96.111111111111114</v>
      </c>
      <c r="U278" s="318">
        <v>39.9</v>
      </c>
      <c r="V278" s="318">
        <v>200</v>
      </c>
      <c r="W278" s="318">
        <v>361.66666666666669</v>
      </c>
      <c r="X278" s="315">
        <v>0.23279166666666659</v>
      </c>
      <c r="Y278" s="318">
        <v>119.71695833333331</v>
      </c>
      <c r="Z278" s="315">
        <v>4</v>
      </c>
      <c r="AA278" s="315" t="s">
        <v>1154</v>
      </c>
      <c r="AB278" s="315">
        <v>7</v>
      </c>
      <c r="AC278" s="315" t="s">
        <v>1435</v>
      </c>
    </row>
    <row r="279" spans="1:29">
      <c r="A279" s="315" t="s">
        <v>1145</v>
      </c>
      <c r="B279" s="315" t="s">
        <v>696</v>
      </c>
      <c r="C279" s="345" t="s">
        <v>2009</v>
      </c>
      <c r="D279" s="345" t="s">
        <v>2010</v>
      </c>
      <c r="E279" s="316" t="s">
        <v>1583</v>
      </c>
      <c r="F279" s="316" t="s">
        <v>1583</v>
      </c>
      <c r="G279" s="317">
        <v>1.57</v>
      </c>
      <c r="H279" s="317">
        <v>0</v>
      </c>
      <c r="I279" s="317">
        <v>0</v>
      </c>
      <c r="J279" s="317">
        <v>0</v>
      </c>
      <c r="K279" s="318">
        <v>0</v>
      </c>
      <c r="L279" s="318">
        <v>39.566902992438798</v>
      </c>
      <c r="M279" s="319">
        <v>46.081340326235697</v>
      </c>
      <c r="N279" s="319">
        <v>46.081340326235697</v>
      </c>
      <c r="O279" s="319">
        <f t="shared" si="4"/>
        <v>46.081340326235697</v>
      </c>
      <c r="P279" s="317">
        <v>0.72347704312190053</v>
      </c>
      <c r="Q279" s="315" t="s">
        <v>1168</v>
      </c>
      <c r="R279" s="318">
        <v>205</v>
      </c>
      <c r="T279" s="320">
        <v>96.111111111111114</v>
      </c>
      <c r="U279" s="318">
        <v>39.9</v>
      </c>
      <c r="V279" s="318">
        <v>4234</v>
      </c>
      <c r="W279" s="318">
        <v>20</v>
      </c>
      <c r="X279" s="315">
        <v>0.23851111111111112</v>
      </c>
      <c r="Y279" s="318">
        <v>102.22580000000002</v>
      </c>
      <c r="Z279" s="315">
        <v>0</v>
      </c>
      <c r="AA279" s="315" t="s">
        <v>1149</v>
      </c>
      <c r="AB279" s="315">
        <v>0</v>
      </c>
      <c r="AC279" s="315" t="s">
        <v>1435</v>
      </c>
    </row>
    <row r="280" spans="1:29">
      <c r="A280" s="315" t="s">
        <v>1145</v>
      </c>
      <c r="B280" s="315" t="s">
        <v>696</v>
      </c>
      <c r="C280" s="345" t="s">
        <v>2009</v>
      </c>
      <c r="D280" s="345" t="s">
        <v>2010</v>
      </c>
      <c r="E280" s="316" t="s">
        <v>1584</v>
      </c>
      <c r="F280" s="316" t="s">
        <v>1584</v>
      </c>
      <c r="G280" s="317">
        <v>51.17</v>
      </c>
      <c r="H280" s="317">
        <v>16.580530716266459</v>
      </c>
      <c r="I280" s="317">
        <v>17.80688837792135</v>
      </c>
      <c r="J280" s="317">
        <v>17.80688837792135</v>
      </c>
      <c r="K280" s="318">
        <v>34.799469177098594</v>
      </c>
      <c r="L280" s="318">
        <v>57.367195129770103</v>
      </c>
      <c r="M280" s="319">
        <v>37.048815952904505</v>
      </c>
      <c r="N280" s="319">
        <v>2.2493467758059111</v>
      </c>
      <c r="O280" s="319">
        <f t="shared" si="4"/>
        <v>2.2493467758059111</v>
      </c>
      <c r="P280" s="317">
        <v>1.1509907451798849</v>
      </c>
      <c r="Q280" s="315" t="s">
        <v>1148</v>
      </c>
      <c r="R280" s="318">
        <v>206</v>
      </c>
      <c r="T280" s="320">
        <v>96.666666666666671</v>
      </c>
      <c r="U280" s="318">
        <v>36.07</v>
      </c>
      <c r="V280" s="318">
        <v>1082</v>
      </c>
      <c r="W280" s="318">
        <v>92.8</v>
      </c>
      <c r="X280" s="315">
        <v>0.25</v>
      </c>
      <c r="Y280" s="318">
        <v>59</v>
      </c>
      <c r="Z280" s="315">
        <v>14</v>
      </c>
      <c r="AA280" s="315" t="s">
        <v>1154</v>
      </c>
      <c r="AB280" s="315">
        <v>8</v>
      </c>
      <c r="AC280" s="315" t="s">
        <v>1435</v>
      </c>
    </row>
    <row r="281" spans="1:29">
      <c r="A281" s="315" t="s">
        <v>1145</v>
      </c>
      <c r="B281" s="315" t="s">
        <v>696</v>
      </c>
      <c r="C281" s="345" t="s">
        <v>2009</v>
      </c>
      <c r="D281" s="345" t="s">
        <v>2010</v>
      </c>
      <c r="E281" s="316" t="s">
        <v>1585</v>
      </c>
      <c r="F281" s="316" t="s">
        <v>1585</v>
      </c>
      <c r="G281" s="317">
        <v>85.168999999999997</v>
      </c>
      <c r="H281" s="317">
        <v>48.693249928143345</v>
      </c>
      <c r="I281" s="317">
        <v>55.85037319104817</v>
      </c>
      <c r="J281" s="317">
        <v>55.85037319104817</v>
      </c>
      <c r="K281" s="318">
        <v>65.575941000890197</v>
      </c>
      <c r="L281" s="318">
        <v>50.388473643446801</v>
      </c>
      <c r="M281" s="319">
        <v>44.766973628785998</v>
      </c>
      <c r="N281" s="319">
        <v>-20.808967372104199</v>
      </c>
      <c r="O281" s="319">
        <f t="shared" si="4"/>
        <v>0</v>
      </c>
      <c r="P281" s="317">
        <v>0</v>
      </c>
      <c r="Q281" s="315" t="s">
        <v>1148</v>
      </c>
      <c r="R281" s="318">
        <v>206.6</v>
      </c>
      <c r="T281" s="320">
        <v>97</v>
      </c>
      <c r="U281" s="318">
        <v>33</v>
      </c>
      <c r="V281" s="318">
        <v>200</v>
      </c>
      <c r="W281" s="318">
        <v>328</v>
      </c>
      <c r="X281" s="315">
        <v>0.25</v>
      </c>
      <c r="Y281" s="318">
        <v>159</v>
      </c>
      <c r="Z281" s="315">
        <v>20</v>
      </c>
      <c r="AA281" s="315" t="s">
        <v>1154</v>
      </c>
      <c r="AB281" s="315">
        <v>9</v>
      </c>
      <c r="AC281" s="315" t="s">
        <v>1435</v>
      </c>
    </row>
    <row r="282" spans="1:29">
      <c r="A282" s="315" t="s">
        <v>1145</v>
      </c>
      <c r="B282" s="315" t="s">
        <v>696</v>
      </c>
      <c r="C282" s="345" t="s">
        <v>2009</v>
      </c>
      <c r="D282" s="345" t="s">
        <v>2010</v>
      </c>
      <c r="E282" s="316" t="s">
        <v>1586</v>
      </c>
      <c r="F282" s="316" t="s">
        <v>1586</v>
      </c>
      <c r="G282" s="317">
        <v>115.85</v>
      </c>
      <c r="H282" s="317">
        <v>40.910643820562512</v>
      </c>
      <c r="I282" s="317">
        <v>45.54504781153215</v>
      </c>
      <c r="J282" s="317">
        <v>45.54504781153215</v>
      </c>
      <c r="K282" s="318">
        <v>39.313809073398495</v>
      </c>
      <c r="L282" s="318">
        <v>51.087424695045399</v>
      </c>
      <c r="M282" s="319">
        <v>44.617278338283597</v>
      </c>
      <c r="N282" s="319">
        <v>5.3034692648851021</v>
      </c>
      <c r="O282" s="319">
        <f t="shared" si="4"/>
        <v>5.3034692648851021</v>
      </c>
      <c r="P282" s="317">
        <v>6.144069143369391</v>
      </c>
      <c r="Q282" s="315" t="s">
        <v>1148</v>
      </c>
      <c r="R282" s="318">
        <v>206.6</v>
      </c>
      <c r="T282" s="320">
        <v>97</v>
      </c>
      <c r="U282" s="318">
        <v>33</v>
      </c>
      <c r="V282" s="318">
        <v>500</v>
      </c>
      <c r="W282" s="318">
        <v>100</v>
      </c>
      <c r="X282" s="315">
        <v>0.24</v>
      </c>
      <c r="Y282" s="318">
        <v>100</v>
      </c>
      <c r="Z282" s="315">
        <v>15</v>
      </c>
      <c r="AA282" s="315" t="s">
        <v>1154</v>
      </c>
      <c r="AB282" s="315">
        <v>8</v>
      </c>
      <c r="AC282" s="315" t="s">
        <v>1435</v>
      </c>
    </row>
    <row r="283" spans="1:29">
      <c r="A283" s="315" t="s">
        <v>1145</v>
      </c>
      <c r="B283" s="315" t="s">
        <v>696</v>
      </c>
      <c r="C283" s="345" t="s">
        <v>2009</v>
      </c>
      <c r="D283" s="345" t="s">
        <v>2010</v>
      </c>
      <c r="E283" s="316" t="s">
        <v>1587</v>
      </c>
      <c r="F283" s="316" t="s">
        <v>1587</v>
      </c>
      <c r="G283" s="317">
        <v>8.4</v>
      </c>
      <c r="H283" s="317">
        <v>0</v>
      </c>
      <c r="I283" s="317">
        <v>0</v>
      </c>
      <c r="J283" s="317">
        <v>0</v>
      </c>
      <c r="K283" s="318">
        <v>0</v>
      </c>
      <c r="L283" s="318">
        <v>54.2060279429747</v>
      </c>
      <c r="M283" s="319">
        <v>37.2257492049226</v>
      </c>
      <c r="N283" s="319">
        <v>37.2257492049226</v>
      </c>
      <c r="O283" s="319">
        <f t="shared" si="4"/>
        <v>37.2257492049226</v>
      </c>
      <c r="P283" s="317">
        <v>3.1269629332134983</v>
      </c>
      <c r="Q283" s="315" t="s">
        <v>1168</v>
      </c>
      <c r="R283" s="318">
        <v>207</v>
      </c>
      <c r="T283" s="320">
        <v>97.222222222222229</v>
      </c>
      <c r="U283" s="318">
        <v>36.35</v>
      </c>
      <c r="V283" s="318">
        <v>255.5</v>
      </c>
      <c r="W283" s="318">
        <v>124.5</v>
      </c>
      <c r="X283" s="315">
        <v>0.21</v>
      </c>
      <c r="Y283" s="318">
        <v>50</v>
      </c>
      <c r="Z283" s="315">
        <v>2</v>
      </c>
      <c r="AA283" s="315" t="s">
        <v>1149</v>
      </c>
      <c r="AB283" s="315">
        <v>0</v>
      </c>
      <c r="AC283" s="315" t="s">
        <v>1435</v>
      </c>
    </row>
    <row r="284" spans="1:29">
      <c r="A284" s="315" t="s">
        <v>1145</v>
      </c>
      <c r="B284" s="315" t="s">
        <v>696</v>
      </c>
      <c r="C284" s="345" t="s">
        <v>2009</v>
      </c>
      <c r="D284" s="345" t="s">
        <v>2010</v>
      </c>
      <c r="E284" s="316" t="s">
        <v>1588</v>
      </c>
      <c r="F284" s="316" t="s">
        <v>1588</v>
      </c>
      <c r="G284" s="317">
        <v>5.8</v>
      </c>
      <c r="H284" s="317">
        <v>0</v>
      </c>
      <c r="I284" s="317">
        <v>0</v>
      </c>
      <c r="J284" s="317">
        <v>1.1643234877257378</v>
      </c>
      <c r="K284" s="318">
        <v>20.074542891823064</v>
      </c>
      <c r="L284" s="318">
        <v>58.554502947084501</v>
      </c>
      <c r="M284" s="319">
        <v>39.6028750342617</v>
      </c>
      <c r="N284" s="319">
        <v>19.528332142438636</v>
      </c>
      <c r="O284" s="319">
        <f t="shared" si="4"/>
        <v>19.528332142438636</v>
      </c>
      <c r="P284" s="317">
        <v>1.1326432642614408</v>
      </c>
      <c r="Q284" s="315" t="s">
        <v>1168</v>
      </c>
      <c r="R284" s="318">
        <v>208.7</v>
      </c>
      <c r="T284" s="320">
        <v>98.166666666666671</v>
      </c>
      <c r="U284" s="318">
        <v>36</v>
      </c>
      <c r="V284" s="318">
        <v>211</v>
      </c>
      <c r="W284" s="318">
        <v>95</v>
      </c>
      <c r="X284" s="315">
        <v>0.2</v>
      </c>
      <c r="Y284" s="318">
        <v>40</v>
      </c>
      <c r="Z284" s="315">
        <v>0</v>
      </c>
      <c r="AA284" s="315" t="s">
        <v>1149</v>
      </c>
      <c r="AB284" s="315">
        <v>0</v>
      </c>
      <c r="AC284" s="315" t="s">
        <v>1435</v>
      </c>
    </row>
    <row r="285" spans="1:29">
      <c r="A285" s="315" t="s">
        <v>1145</v>
      </c>
      <c r="B285" s="315" t="s">
        <v>696</v>
      </c>
      <c r="C285" s="345" t="s">
        <v>2009</v>
      </c>
      <c r="D285" s="345" t="s">
        <v>2010</v>
      </c>
      <c r="E285" s="316" t="s">
        <v>1589</v>
      </c>
      <c r="F285" s="316" t="s">
        <v>1589</v>
      </c>
      <c r="G285" s="317">
        <v>22.06</v>
      </c>
      <c r="H285" s="317">
        <v>1.4560350620247677</v>
      </c>
      <c r="I285" s="317">
        <v>1.5674040405801188</v>
      </c>
      <c r="J285" s="317">
        <v>1.5674040405801188</v>
      </c>
      <c r="K285" s="318">
        <v>7.1051860407077019</v>
      </c>
      <c r="L285" s="318">
        <v>56.011654546423898</v>
      </c>
      <c r="M285" s="319">
        <v>42.085093254491099</v>
      </c>
      <c r="N285" s="319">
        <v>34.979907213783399</v>
      </c>
      <c r="O285" s="319">
        <f t="shared" si="4"/>
        <v>34.979907213783399</v>
      </c>
      <c r="P285" s="317">
        <v>7.7165675313606181</v>
      </c>
      <c r="Q285" s="315" t="s">
        <v>1148</v>
      </c>
      <c r="R285" s="318">
        <v>209</v>
      </c>
      <c r="T285" s="320">
        <v>98.333333333333329</v>
      </c>
      <c r="U285" s="318">
        <v>36</v>
      </c>
      <c r="V285" s="318">
        <v>516</v>
      </c>
      <c r="W285" s="318">
        <v>118.5</v>
      </c>
      <c r="X285" s="315">
        <v>0.21</v>
      </c>
      <c r="Y285" s="318">
        <v>80</v>
      </c>
      <c r="Z285" s="315">
        <v>5</v>
      </c>
      <c r="AA285" s="315" t="s">
        <v>1149</v>
      </c>
      <c r="AB285" s="315">
        <v>0</v>
      </c>
      <c r="AC285" s="315" t="s">
        <v>1435</v>
      </c>
    </row>
    <row r="286" spans="1:29">
      <c r="A286" s="315" t="s">
        <v>1145</v>
      </c>
      <c r="B286" s="315" t="s">
        <v>696</v>
      </c>
      <c r="C286" s="345" t="s">
        <v>2009</v>
      </c>
      <c r="D286" s="345" t="s">
        <v>2010</v>
      </c>
      <c r="E286" s="316" t="s">
        <v>1590</v>
      </c>
      <c r="F286" s="316" t="s">
        <v>1590</v>
      </c>
      <c r="G286" s="317">
        <v>0.5</v>
      </c>
      <c r="H286" s="317">
        <v>1.0575190260890392</v>
      </c>
      <c r="I286" s="317">
        <v>1.1357330635258525</v>
      </c>
      <c r="J286" s="317">
        <v>2.0978152698327999</v>
      </c>
      <c r="K286" s="318">
        <v>419.56305396655995</v>
      </c>
      <c r="L286" s="318">
        <v>57.070625654708898</v>
      </c>
      <c r="M286" s="319">
        <v>40.537103815845697</v>
      </c>
      <c r="N286" s="319">
        <v>-379.02595015071427</v>
      </c>
      <c r="O286" s="319">
        <f t="shared" si="4"/>
        <v>0</v>
      </c>
      <c r="P286" s="317">
        <v>0</v>
      </c>
      <c r="Q286" s="315" t="s">
        <v>1148</v>
      </c>
      <c r="R286" s="318">
        <v>209</v>
      </c>
      <c r="T286" s="320">
        <v>98.333333333333329</v>
      </c>
      <c r="U286" s="318">
        <v>36</v>
      </c>
      <c r="V286" s="318">
        <v>217</v>
      </c>
      <c r="W286" s="318">
        <v>104</v>
      </c>
      <c r="X286" s="315">
        <v>0.21</v>
      </c>
      <c r="Y286" s="318">
        <v>50</v>
      </c>
      <c r="Z286" s="315">
        <v>5</v>
      </c>
      <c r="AA286" s="315" t="s">
        <v>1149</v>
      </c>
      <c r="AB286" s="315">
        <v>0</v>
      </c>
      <c r="AC286" s="315" t="s">
        <v>1435</v>
      </c>
    </row>
    <row r="287" spans="1:29">
      <c r="A287" s="315" t="s">
        <v>1893</v>
      </c>
      <c r="B287" s="315" t="s">
        <v>696</v>
      </c>
      <c r="C287" s="345" t="s">
        <v>2009</v>
      </c>
      <c r="D287" s="345" t="s">
        <v>2010</v>
      </c>
      <c r="E287" s="316" t="s">
        <v>1591</v>
      </c>
      <c r="F287" s="316" t="s">
        <v>1591</v>
      </c>
      <c r="G287" s="317">
        <v>14.5</v>
      </c>
      <c r="H287" s="317">
        <v>0.56067073193710115</v>
      </c>
      <c r="I287" s="317">
        <v>0.60212262179999687</v>
      </c>
      <c r="J287" s="317">
        <v>0.60212262179999687</v>
      </c>
      <c r="K287" s="318">
        <v>4.1525698055172198</v>
      </c>
      <c r="L287" s="318">
        <v>52.178209089211798</v>
      </c>
      <c r="M287" s="319">
        <v>41.864403809575002</v>
      </c>
      <c r="N287" s="319">
        <v>37.711834004057785</v>
      </c>
      <c r="O287" s="319">
        <f t="shared" si="4"/>
        <v>37.711834004057785</v>
      </c>
      <c r="P287" s="317">
        <v>5.4682159305883795</v>
      </c>
      <c r="Q287" s="315" t="s">
        <v>1148</v>
      </c>
      <c r="R287" s="318">
        <v>210</v>
      </c>
      <c r="T287" s="320">
        <v>98.888888888888886</v>
      </c>
      <c r="U287" s="318">
        <v>35</v>
      </c>
      <c r="V287" s="318">
        <v>363.5</v>
      </c>
      <c r="W287" s="318">
        <v>104.5</v>
      </c>
      <c r="X287" s="315">
        <v>0.24</v>
      </c>
      <c r="Y287" s="318">
        <v>60</v>
      </c>
      <c r="Z287" s="315">
        <v>0</v>
      </c>
      <c r="AA287" s="315" t="s">
        <v>1154</v>
      </c>
      <c r="AB287" s="315">
        <v>1</v>
      </c>
      <c r="AC287" s="315" t="s">
        <v>1435</v>
      </c>
    </row>
    <row r="288" spans="1:29">
      <c r="A288" s="315" t="s">
        <v>1895</v>
      </c>
      <c r="B288" s="315" t="s">
        <v>696</v>
      </c>
      <c r="C288" s="345" t="s">
        <v>2009</v>
      </c>
      <c r="D288" s="345" t="s">
        <v>2010</v>
      </c>
      <c r="E288" s="316" t="s">
        <v>1592</v>
      </c>
      <c r="F288" s="316" t="s">
        <v>1592</v>
      </c>
      <c r="G288" s="317">
        <v>4.68</v>
      </c>
      <c r="H288" s="317">
        <v>0.53</v>
      </c>
      <c r="I288" s="317">
        <v>0.53</v>
      </c>
      <c r="J288" s="317">
        <v>0.53</v>
      </c>
      <c r="K288" s="318">
        <v>11.324786324786325</v>
      </c>
      <c r="L288" s="318">
        <v>50.866152914297103</v>
      </c>
      <c r="M288" s="319">
        <v>44.221067896931196</v>
      </c>
      <c r="N288" s="319">
        <v>32.896281572144872</v>
      </c>
      <c r="O288" s="319">
        <f t="shared" si="4"/>
        <v>32.896281572144872</v>
      </c>
      <c r="P288" s="317">
        <v>1.5395459775763798</v>
      </c>
      <c r="Q288" s="315" t="s">
        <v>1148</v>
      </c>
      <c r="R288" s="318">
        <v>210</v>
      </c>
      <c r="T288" s="320">
        <v>98.888888888888886</v>
      </c>
      <c r="U288" s="318">
        <v>35</v>
      </c>
      <c r="V288" s="318">
        <v>300</v>
      </c>
      <c r="W288" s="318">
        <v>100</v>
      </c>
      <c r="X288" s="315">
        <v>0.25</v>
      </c>
      <c r="Y288" s="318">
        <v>86</v>
      </c>
      <c r="Z288" s="315">
        <v>1</v>
      </c>
      <c r="AA288" s="315" t="s">
        <v>1149</v>
      </c>
      <c r="AB288" s="315">
        <v>0</v>
      </c>
      <c r="AC288" s="315" t="s">
        <v>1435</v>
      </c>
    </row>
    <row r="289" spans="1:29">
      <c r="A289" s="315" t="s">
        <v>1145</v>
      </c>
      <c r="B289" s="315" t="s">
        <v>696</v>
      </c>
      <c r="C289" s="345" t="s">
        <v>2009</v>
      </c>
      <c r="D289" s="345" t="s">
        <v>2010</v>
      </c>
      <c r="E289" s="316" t="s">
        <v>1593</v>
      </c>
      <c r="F289" s="316" t="s">
        <v>1593</v>
      </c>
      <c r="G289" s="317">
        <v>8.83</v>
      </c>
      <c r="H289" s="317">
        <v>0</v>
      </c>
      <c r="I289" s="317">
        <v>0</v>
      </c>
      <c r="J289" s="317">
        <v>2.5595378486630436</v>
      </c>
      <c r="K289" s="318">
        <v>28.986838603205477</v>
      </c>
      <c r="L289" s="318">
        <v>51.626899613278802</v>
      </c>
      <c r="M289" s="319">
        <v>41.993377862537699</v>
      </c>
      <c r="N289" s="319">
        <v>13.006539259332222</v>
      </c>
      <c r="O289" s="319">
        <f t="shared" si="4"/>
        <v>13.006539259332222</v>
      </c>
      <c r="P289" s="317">
        <v>1.1484774165990352</v>
      </c>
      <c r="Q289" s="315" t="s">
        <v>1168</v>
      </c>
      <c r="R289" s="318">
        <v>210</v>
      </c>
      <c r="T289" s="320">
        <v>98.888888888888886</v>
      </c>
      <c r="U289" s="318">
        <v>35</v>
      </c>
      <c r="V289" s="318">
        <v>687</v>
      </c>
      <c r="W289" s="318">
        <v>104.5</v>
      </c>
      <c r="X289" s="315">
        <v>0.23</v>
      </c>
      <c r="Y289" s="318">
        <v>50</v>
      </c>
      <c r="Z289" s="315">
        <v>4</v>
      </c>
      <c r="AA289" s="315" t="s">
        <v>1149</v>
      </c>
      <c r="AB289" s="315">
        <v>0</v>
      </c>
      <c r="AC289" s="315" t="s">
        <v>1435</v>
      </c>
    </row>
    <row r="290" spans="1:29">
      <c r="A290" s="315" t="s">
        <v>1145</v>
      </c>
      <c r="B290" s="315" t="s">
        <v>696</v>
      </c>
      <c r="C290" s="345" t="s">
        <v>2009</v>
      </c>
      <c r="D290" s="345" t="s">
        <v>2010</v>
      </c>
      <c r="E290" s="316" t="s">
        <v>1594</v>
      </c>
      <c r="F290" s="316" t="s">
        <v>1594</v>
      </c>
      <c r="G290" s="317">
        <v>0.62</v>
      </c>
      <c r="H290" s="317">
        <v>0</v>
      </c>
      <c r="I290" s="317">
        <v>0</v>
      </c>
      <c r="J290" s="317">
        <v>0</v>
      </c>
      <c r="K290" s="318">
        <v>0</v>
      </c>
      <c r="L290" s="318">
        <v>48.788490394928097</v>
      </c>
      <c r="M290" s="319">
        <v>44.614316007308702</v>
      </c>
      <c r="N290" s="319">
        <v>44.614316007308702</v>
      </c>
      <c r="O290" s="319">
        <f t="shared" si="4"/>
        <v>44.614316007308702</v>
      </c>
      <c r="P290" s="317">
        <v>0.27660875924531397</v>
      </c>
      <c r="Q290" s="315" t="s">
        <v>1168</v>
      </c>
      <c r="R290" s="318">
        <v>210</v>
      </c>
      <c r="T290" s="320">
        <v>98.888888888888886</v>
      </c>
      <c r="U290" s="318">
        <v>39</v>
      </c>
      <c r="V290" s="318">
        <v>279.33333333333331</v>
      </c>
      <c r="W290" s="318">
        <v>194.33333333333334</v>
      </c>
      <c r="X290" s="315">
        <v>0.22</v>
      </c>
      <c r="Y290" s="318">
        <v>80</v>
      </c>
      <c r="Z290" s="315">
        <v>7</v>
      </c>
      <c r="AA290" s="315" t="s">
        <v>1154</v>
      </c>
      <c r="AB290" s="315">
        <v>3</v>
      </c>
      <c r="AC290" s="315" t="s">
        <v>1435</v>
      </c>
    </row>
    <row r="291" spans="1:29">
      <c r="A291" s="315" t="s">
        <v>1145</v>
      </c>
      <c r="B291" s="315" t="s">
        <v>696</v>
      </c>
      <c r="C291" s="345" t="s">
        <v>2009</v>
      </c>
      <c r="D291" s="345" t="s">
        <v>2010</v>
      </c>
      <c r="E291" s="316" t="s">
        <v>1595</v>
      </c>
      <c r="F291" s="316" t="s">
        <v>1595</v>
      </c>
      <c r="G291" s="317">
        <v>4.68</v>
      </c>
      <c r="H291" s="317">
        <v>0</v>
      </c>
      <c r="I291" s="317">
        <v>0</v>
      </c>
      <c r="J291" s="317">
        <v>0</v>
      </c>
      <c r="K291" s="318">
        <v>0</v>
      </c>
      <c r="L291" s="318">
        <v>48.710480154932597</v>
      </c>
      <c r="M291" s="319">
        <v>44.611265701318999</v>
      </c>
      <c r="N291" s="319">
        <v>44.611265701318999</v>
      </c>
      <c r="O291" s="319">
        <f t="shared" si="4"/>
        <v>44.611265701318999</v>
      </c>
      <c r="P291" s="317">
        <v>2.0878072348217289</v>
      </c>
      <c r="Q291" s="315" t="s">
        <v>1168</v>
      </c>
      <c r="R291" s="318">
        <v>210</v>
      </c>
      <c r="T291" s="320">
        <v>98.888888888888886</v>
      </c>
      <c r="U291" s="318">
        <v>38</v>
      </c>
      <c r="V291" s="318">
        <v>300</v>
      </c>
      <c r="W291" s="318">
        <v>195.66666666666666</v>
      </c>
      <c r="X291" s="315">
        <v>0.22</v>
      </c>
      <c r="Y291" s="318">
        <v>70</v>
      </c>
      <c r="Z291" s="315">
        <v>3</v>
      </c>
      <c r="AA291" s="315" t="s">
        <v>1149</v>
      </c>
      <c r="AB291" s="315">
        <v>0</v>
      </c>
      <c r="AC291" s="315" t="s">
        <v>1435</v>
      </c>
    </row>
    <row r="292" spans="1:29">
      <c r="A292" s="315" t="s">
        <v>1145</v>
      </c>
      <c r="B292" s="315" t="s">
        <v>696</v>
      </c>
      <c r="C292" s="345" t="s">
        <v>2009</v>
      </c>
      <c r="D292" s="345" t="s">
        <v>2010</v>
      </c>
      <c r="E292" s="316" t="s">
        <v>1597</v>
      </c>
      <c r="F292" s="316" t="s">
        <v>1597</v>
      </c>
      <c r="G292" s="317">
        <v>5.4</v>
      </c>
      <c r="H292" s="317">
        <v>0</v>
      </c>
      <c r="I292" s="317">
        <v>0</v>
      </c>
      <c r="J292" s="317">
        <v>0.38393230564094283</v>
      </c>
      <c r="K292" s="318">
        <v>7.1098575118693113</v>
      </c>
      <c r="L292" s="318">
        <v>43.166015759203503</v>
      </c>
      <c r="M292" s="319">
        <v>46.078666675226899</v>
      </c>
      <c r="N292" s="319">
        <v>38.968809163357591</v>
      </c>
      <c r="O292" s="319">
        <f t="shared" si="4"/>
        <v>38.968809163357591</v>
      </c>
      <c r="P292" s="317">
        <v>2.10431569482131</v>
      </c>
      <c r="Q292" s="315" t="s">
        <v>1168</v>
      </c>
      <c r="R292" s="318">
        <v>210</v>
      </c>
      <c r="T292" s="320">
        <v>98.888888888888886</v>
      </c>
      <c r="U292" s="318">
        <v>38</v>
      </c>
      <c r="V292" s="318">
        <v>282</v>
      </c>
      <c r="W292" s="318">
        <v>158.33333333333334</v>
      </c>
      <c r="X292" s="315">
        <v>0.22</v>
      </c>
      <c r="Y292" s="318">
        <v>80</v>
      </c>
      <c r="Z292" s="315">
        <v>0</v>
      </c>
      <c r="AA292" s="315" t="s">
        <v>1420</v>
      </c>
      <c r="AB292" s="315">
        <v>3</v>
      </c>
      <c r="AC292" s="315" t="s">
        <v>1435</v>
      </c>
    </row>
    <row r="293" spans="1:29">
      <c r="A293" s="315" t="s">
        <v>1145</v>
      </c>
      <c r="B293" s="315" t="s">
        <v>696</v>
      </c>
      <c r="C293" s="345" t="s">
        <v>2009</v>
      </c>
      <c r="D293" s="345" t="s">
        <v>2010</v>
      </c>
      <c r="E293" s="316" t="s">
        <v>1599</v>
      </c>
      <c r="F293" s="316" t="s">
        <v>1599</v>
      </c>
      <c r="G293" s="317">
        <v>1.357</v>
      </c>
      <c r="H293" s="317">
        <v>0.21491222723571543</v>
      </c>
      <c r="I293" s="317">
        <v>0.23080127002740256</v>
      </c>
      <c r="J293" s="317">
        <v>0.23080127002740256</v>
      </c>
      <c r="K293" s="318">
        <v>17.008199707251478</v>
      </c>
      <c r="L293" s="318">
        <v>49.044217209022101</v>
      </c>
      <c r="M293" s="319">
        <v>43.665451058983301</v>
      </c>
      <c r="N293" s="319">
        <v>26.657251351731823</v>
      </c>
      <c r="O293" s="319">
        <f t="shared" si="4"/>
        <v>26.657251351731823</v>
      </c>
      <c r="P293" s="317">
        <v>0.36173890084300087</v>
      </c>
      <c r="Q293" s="315" t="s">
        <v>1148</v>
      </c>
      <c r="R293" s="318">
        <v>211</v>
      </c>
      <c r="T293" s="320">
        <v>99.444444444444443</v>
      </c>
      <c r="U293" s="318">
        <v>39</v>
      </c>
      <c r="V293" s="318">
        <v>167.33333333333334</v>
      </c>
      <c r="W293" s="318">
        <v>30.333333333333332</v>
      </c>
      <c r="X293" s="315">
        <v>0.21</v>
      </c>
      <c r="Y293" s="318">
        <v>100</v>
      </c>
      <c r="Z293" s="315">
        <v>4</v>
      </c>
      <c r="AA293" s="315" t="s">
        <v>1154</v>
      </c>
      <c r="AB293" s="315">
        <v>3</v>
      </c>
      <c r="AC293" s="315" t="s">
        <v>1435</v>
      </c>
    </row>
    <row r="294" spans="1:29">
      <c r="A294" s="315" t="s">
        <v>1145</v>
      </c>
      <c r="B294" s="315" t="s">
        <v>696</v>
      </c>
      <c r="C294" s="345" t="s">
        <v>2009</v>
      </c>
      <c r="D294" s="345" t="s">
        <v>2010</v>
      </c>
      <c r="E294" s="316" t="s">
        <v>1600</v>
      </c>
      <c r="F294" s="316" t="s">
        <v>1600</v>
      </c>
      <c r="G294" s="317">
        <v>1.9</v>
      </c>
      <c r="H294" s="317">
        <v>0</v>
      </c>
      <c r="I294" s="317">
        <v>0</v>
      </c>
      <c r="J294" s="317">
        <v>0.15536306389358456</v>
      </c>
      <c r="K294" s="318">
        <v>8.1770033628202405</v>
      </c>
      <c r="L294" s="318">
        <v>58.257695815051598</v>
      </c>
      <c r="M294" s="319">
        <v>36.522785134556301</v>
      </c>
      <c r="N294" s="319">
        <v>28.345781771736061</v>
      </c>
      <c r="O294" s="319">
        <f t="shared" si="4"/>
        <v>28.345781771736061</v>
      </c>
      <c r="P294" s="317">
        <v>0.53856985366298515</v>
      </c>
      <c r="Q294" s="315" t="s">
        <v>1168</v>
      </c>
      <c r="R294" s="318">
        <v>213.9</v>
      </c>
      <c r="T294" s="320">
        <v>101.05555555555556</v>
      </c>
      <c r="U294" s="318">
        <v>36</v>
      </c>
      <c r="V294" s="318">
        <v>250</v>
      </c>
      <c r="W294" s="318">
        <v>52</v>
      </c>
      <c r="X294" s="315">
        <v>0.2</v>
      </c>
      <c r="Y294" s="318">
        <v>40</v>
      </c>
      <c r="Z294" s="315">
        <v>0</v>
      </c>
      <c r="AA294" s="315" t="s">
        <v>1149</v>
      </c>
      <c r="AB294" s="315">
        <v>0</v>
      </c>
      <c r="AC294" s="315" t="s">
        <v>1435</v>
      </c>
    </row>
    <row r="295" spans="1:29">
      <c r="A295" s="315" t="s">
        <v>1145</v>
      </c>
      <c r="B295" s="315" t="s">
        <v>696</v>
      </c>
      <c r="C295" s="345" t="s">
        <v>2009</v>
      </c>
      <c r="D295" s="345" t="s">
        <v>2010</v>
      </c>
      <c r="E295" s="316" t="s">
        <v>1601</v>
      </c>
      <c r="F295" s="316" t="s">
        <v>1601</v>
      </c>
      <c r="G295" s="317">
        <v>4.7</v>
      </c>
      <c r="H295" s="317">
        <v>0</v>
      </c>
      <c r="I295" s="317">
        <v>0</v>
      </c>
      <c r="J295" s="317">
        <v>0</v>
      </c>
      <c r="K295" s="318">
        <v>0</v>
      </c>
      <c r="L295" s="318">
        <v>58.140344781389103</v>
      </c>
      <c r="M295" s="319">
        <v>36.618446726163299</v>
      </c>
      <c r="N295" s="319">
        <v>36.618446726163299</v>
      </c>
      <c r="O295" s="319">
        <f t="shared" si="4"/>
        <v>36.618446726163299</v>
      </c>
      <c r="P295" s="317">
        <v>1.7210669961296752</v>
      </c>
      <c r="Q295" s="315" t="s">
        <v>1168</v>
      </c>
      <c r="R295" s="318">
        <v>214.1</v>
      </c>
      <c r="T295" s="320">
        <v>101.16666666666667</v>
      </c>
      <c r="U295" s="318">
        <v>36</v>
      </c>
      <c r="V295" s="318">
        <v>377</v>
      </c>
      <c r="W295" s="318">
        <v>29</v>
      </c>
      <c r="X295" s="315">
        <v>0.2</v>
      </c>
      <c r="Y295" s="318">
        <v>40</v>
      </c>
      <c r="Z295" s="315">
        <v>0</v>
      </c>
      <c r="AA295" s="315" t="s">
        <v>1149</v>
      </c>
      <c r="AB295" s="315">
        <v>0</v>
      </c>
      <c r="AC295" s="315" t="s">
        <v>1435</v>
      </c>
    </row>
    <row r="296" spans="1:29">
      <c r="A296" s="315" t="s">
        <v>1145</v>
      </c>
      <c r="B296" s="315" t="s">
        <v>696</v>
      </c>
      <c r="C296" s="345" t="s">
        <v>2009</v>
      </c>
      <c r="D296" s="345" t="s">
        <v>2010</v>
      </c>
      <c r="E296" s="316" t="s">
        <v>1602</v>
      </c>
      <c r="F296" s="316" t="s">
        <v>1602</v>
      </c>
      <c r="G296" s="317">
        <v>5.0999999999999996</v>
      </c>
      <c r="H296" s="317">
        <v>0</v>
      </c>
      <c r="I296" s="317">
        <v>0</v>
      </c>
      <c r="J296" s="317">
        <v>1.0249536612909054</v>
      </c>
      <c r="K296" s="318">
        <v>20.097130613547165</v>
      </c>
      <c r="L296" s="318">
        <v>66.684477265910203</v>
      </c>
      <c r="M296" s="319">
        <v>36.745316005542001</v>
      </c>
      <c r="N296" s="319">
        <v>16.648185391994836</v>
      </c>
      <c r="O296" s="319">
        <f t="shared" si="4"/>
        <v>16.648185391994836</v>
      </c>
      <c r="P296" s="317">
        <v>0.84905745499173657</v>
      </c>
      <c r="Q296" s="315" t="s">
        <v>1168</v>
      </c>
      <c r="R296" s="318">
        <v>216.2</v>
      </c>
      <c r="T296" s="320">
        <v>102.33333333333333</v>
      </c>
      <c r="U296" s="318">
        <v>36</v>
      </c>
      <c r="V296" s="318">
        <v>199</v>
      </c>
      <c r="W296" s="318">
        <v>72</v>
      </c>
      <c r="X296" s="315">
        <v>0.22</v>
      </c>
      <c r="Y296" s="318">
        <v>50</v>
      </c>
      <c r="Z296" s="315">
        <v>0</v>
      </c>
      <c r="AA296" s="315" t="s">
        <v>1149</v>
      </c>
      <c r="AB296" s="315">
        <v>0</v>
      </c>
      <c r="AC296" s="315" t="s">
        <v>1435</v>
      </c>
    </row>
    <row r="297" spans="1:29">
      <c r="A297" s="315" t="s">
        <v>1145</v>
      </c>
      <c r="B297" s="315" t="s">
        <v>696</v>
      </c>
      <c r="C297" s="345" t="s">
        <v>2009</v>
      </c>
      <c r="D297" s="345" t="s">
        <v>2010</v>
      </c>
      <c r="E297" s="316" t="s">
        <v>1603</v>
      </c>
      <c r="F297" s="316" t="s">
        <v>1603</v>
      </c>
      <c r="G297" s="317">
        <v>5.34</v>
      </c>
      <c r="H297" s="317">
        <v>4.6270513393796762</v>
      </c>
      <c r="I297" s="317">
        <v>4.9691418547016113</v>
      </c>
      <c r="J297" s="317">
        <v>4.9691418547016113</v>
      </c>
      <c r="K297" s="318">
        <v>93.055090912015189</v>
      </c>
      <c r="L297" s="318">
        <v>52.750174115136303</v>
      </c>
      <c r="M297" s="319">
        <v>41.651098265928802</v>
      </c>
      <c r="N297" s="319">
        <v>-51.403992646086387</v>
      </c>
      <c r="O297" s="319">
        <f t="shared" si="4"/>
        <v>0</v>
      </c>
      <c r="P297" s="317">
        <v>0</v>
      </c>
      <c r="Q297" s="315" t="s">
        <v>1148</v>
      </c>
      <c r="R297" s="318">
        <v>218</v>
      </c>
      <c r="T297" s="320">
        <v>103.33333333333333</v>
      </c>
      <c r="U297" s="318">
        <v>35</v>
      </c>
      <c r="V297" s="318">
        <v>210.5</v>
      </c>
      <c r="W297" s="318">
        <v>148</v>
      </c>
      <c r="X297" s="315">
        <v>0.22</v>
      </c>
      <c r="Y297" s="318">
        <v>50</v>
      </c>
      <c r="Z297" s="315">
        <v>3</v>
      </c>
      <c r="AA297" s="315" t="s">
        <v>1149</v>
      </c>
      <c r="AB297" s="315">
        <v>0</v>
      </c>
      <c r="AC297" s="315" t="s">
        <v>1435</v>
      </c>
    </row>
    <row r="298" spans="1:29">
      <c r="A298" s="315" t="s">
        <v>1145</v>
      </c>
      <c r="B298" s="315" t="s">
        <v>696</v>
      </c>
      <c r="C298" s="345" t="s">
        <v>2009</v>
      </c>
      <c r="D298" s="345" t="s">
        <v>2010</v>
      </c>
      <c r="E298" s="316" t="s">
        <v>1604</v>
      </c>
      <c r="F298" s="316" t="s">
        <v>1604</v>
      </c>
      <c r="G298" s="317">
        <v>15.32</v>
      </c>
      <c r="H298" s="317">
        <v>2.6342090595458605</v>
      </c>
      <c r="I298" s="317">
        <v>2.8289633326254071</v>
      </c>
      <c r="J298" s="317">
        <v>5.4733210322142627</v>
      </c>
      <c r="K298" s="318">
        <v>35.726638591476913</v>
      </c>
      <c r="L298" s="318">
        <v>52.881692623224097</v>
      </c>
      <c r="M298" s="319">
        <v>41.619233203363102</v>
      </c>
      <c r="N298" s="319">
        <v>5.8925946118861887</v>
      </c>
      <c r="O298" s="319">
        <f t="shared" si="4"/>
        <v>5.8925946118861887</v>
      </c>
      <c r="P298" s="317">
        <v>0.90274549454096409</v>
      </c>
      <c r="Q298" s="315" t="s">
        <v>1148</v>
      </c>
      <c r="R298" s="318">
        <v>218</v>
      </c>
      <c r="T298" s="320">
        <v>103.33333333333333</v>
      </c>
      <c r="U298" s="318">
        <v>35.700000000000003</v>
      </c>
      <c r="V298" s="318">
        <v>490.5</v>
      </c>
      <c r="W298" s="318">
        <v>88.5</v>
      </c>
      <c r="X298" s="315">
        <v>0.23</v>
      </c>
      <c r="Y298" s="318">
        <v>60</v>
      </c>
      <c r="Z298" s="315">
        <v>0</v>
      </c>
      <c r="AA298" s="315" t="s">
        <v>1154</v>
      </c>
      <c r="AB298" s="315">
        <v>1</v>
      </c>
      <c r="AC298" s="315" t="s">
        <v>1435</v>
      </c>
    </row>
    <row r="299" spans="1:29">
      <c r="A299" s="315" t="s">
        <v>1145</v>
      </c>
      <c r="B299" s="315" t="s">
        <v>696</v>
      </c>
      <c r="C299" s="345" t="s">
        <v>2009</v>
      </c>
      <c r="D299" s="345" t="s">
        <v>2010</v>
      </c>
      <c r="E299" s="316" t="s">
        <v>1605</v>
      </c>
      <c r="F299" s="316" t="s">
        <v>1605</v>
      </c>
      <c r="G299" s="317">
        <v>14.7</v>
      </c>
      <c r="H299" s="317">
        <v>0</v>
      </c>
      <c r="I299" s="317">
        <v>0</v>
      </c>
      <c r="J299" s="317">
        <v>1.21278462230069</v>
      </c>
      <c r="K299" s="318">
        <v>8.2502355258550342</v>
      </c>
      <c r="L299" s="318">
        <v>75.637610676981396</v>
      </c>
      <c r="M299" s="319">
        <v>33.405604815237098</v>
      </c>
      <c r="N299" s="319">
        <v>25.155369289382065</v>
      </c>
      <c r="O299" s="319">
        <f t="shared" si="4"/>
        <v>25.155369289382065</v>
      </c>
      <c r="P299" s="317">
        <v>3.697839285539164</v>
      </c>
      <c r="Q299" s="315" t="s">
        <v>1168</v>
      </c>
      <c r="R299" s="318">
        <v>220.4</v>
      </c>
      <c r="T299" s="320">
        <v>104.66666666666667</v>
      </c>
      <c r="U299" s="318">
        <v>36</v>
      </c>
      <c r="V299" s="318">
        <v>401.33333333333331</v>
      </c>
      <c r="W299" s="318">
        <v>100.66666666666667</v>
      </c>
      <c r="X299" s="315">
        <v>0.24</v>
      </c>
      <c r="Y299" s="318">
        <v>90</v>
      </c>
      <c r="Z299" s="315">
        <v>0</v>
      </c>
      <c r="AA299" s="315" t="s">
        <v>1149</v>
      </c>
      <c r="AB299" s="315">
        <v>0</v>
      </c>
      <c r="AC299" s="315" t="s">
        <v>1435</v>
      </c>
    </row>
    <row r="300" spans="1:29">
      <c r="A300" s="315" t="s">
        <v>1145</v>
      </c>
      <c r="B300" s="315" t="s">
        <v>696</v>
      </c>
      <c r="C300" s="345" t="s">
        <v>2009</v>
      </c>
      <c r="D300" s="345" t="s">
        <v>2010</v>
      </c>
      <c r="E300" s="316" t="s">
        <v>1606</v>
      </c>
      <c r="F300" s="316" t="s">
        <v>1606</v>
      </c>
      <c r="G300" s="317">
        <v>18.7</v>
      </c>
      <c r="H300" s="317">
        <v>0</v>
      </c>
      <c r="I300" s="317">
        <v>0</v>
      </c>
      <c r="J300" s="317">
        <v>2.7895586283924949</v>
      </c>
      <c r="K300" s="318">
        <v>14.917425820280721</v>
      </c>
      <c r="L300" s="318">
        <v>59.562251452543798</v>
      </c>
      <c r="M300" s="319">
        <v>41.414145201109797</v>
      </c>
      <c r="N300" s="319">
        <v>26.496719380829077</v>
      </c>
      <c r="O300" s="319">
        <f t="shared" si="4"/>
        <v>26.496719380829077</v>
      </c>
      <c r="P300" s="317">
        <v>4.9548865242150368</v>
      </c>
      <c r="Q300" s="315" t="s">
        <v>1168</v>
      </c>
      <c r="R300" s="318">
        <v>224.4</v>
      </c>
      <c r="T300" s="320">
        <v>106.88888888888889</v>
      </c>
      <c r="U300" s="318">
        <v>36</v>
      </c>
      <c r="V300" s="318">
        <v>291</v>
      </c>
      <c r="W300" s="318">
        <v>181</v>
      </c>
      <c r="X300" s="315">
        <v>0.24</v>
      </c>
      <c r="Y300" s="318">
        <v>150</v>
      </c>
      <c r="Z300" s="315">
        <v>0</v>
      </c>
      <c r="AA300" s="315" t="s">
        <v>1149</v>
      </c>
      <c r="AB300" s="315">
        <v>0</v>
      </c>
      <c r="AC300" s="315" t="s">
        <v>1435</v>
      </c>
    </row>
    <row r="301" spans="1:29">
      <c r="A301" s="315" t="s">
        <v>1145</v>
      </c>
      <c r="B301" s="315" t="s">
        <v>696</v>
      </c>
      <c r="C301" s="345" t="s">
        <v>2009</v>
      </c>
      <c r="D301" s="345" t="s">
        <v>2010</v>
      </c>
      <c r="E301" s="316" t="s">
        <v>1607</v>
      </c>
      <c r="F301" s="316" t="s">
        <v>1607</v>
      </c>
      <c r="G301" s="317">
        <v>8.98</v>
      </c>
      <c r="H301" s="317">
        <v>0</v>
      </c>
      <c r="I301" s="317">
        <v>0</v>
      </c>
      <c r="J301" s="317">
        <v>0</v>
      </c>
      <c r="K301" s="318">
        <v>0</v>
      </c>
      <c r="L301" s="318">
        <v>56.840588696459903</v>
      </c>
      <c r="M301" s="319">
        <v>40.535936435035502</v>
      </c>
      <c r="N301" s="319">
        <v>40.535936435035502</v>
      </c>
      <c r="O301" s="319">
        <f t="shared" si="4"/>
        <v>40.535936435035502</v>
      </c>
      <c r="P301" s="317">
        <v>3.6401270918661881</v>
      </c>
      <c r="Q301" s="315" t="s">
        <v>1168</v>
      </c>
      <c r="R301" s="318">
        <v>225</v>
      </c>
      <c r="T301" s="320">
        <v>107.22222222222223</v>
      </c>
      <c r="U301" s="318">
        <v>36</v>
      </c>
      <c r="V301" s="318">
        <v>212</v>
      </c>
      <c r="W301" s="318">
        <v>239</v>
      </c>
      <c r="X301" s="315">
        <v>0.25</v>
      </c>
      <c r="Y301" s="318">
        <v>80</v>
      </c>
      <c r="Z301" s="315">
        <v>0</v>
      </c>
      <c r="AA301" s="315" t="s">
        <v>1149</v>
      </c>
      <c r="AB301" s="315">
        <v>0</v>
      </c>
      <c r="AC301" s="315" t="s">
        <v>1435</v>
      </c>
    </row>
    <row r="302" spans="1:29">
      <c r="A302" s="315" t="s">
        <v>1145</v>
      </c>
      <c r="B302" s="315" t="s">
        <v>696</v>
      </c>
      <c r="C302" s="345" t="s">
        <v>2009</v>
      </c>
      <c r="D302" s="345" t="s">
        <v>2010</v>
      </c>
      <c r="E302" s="316" t="s">
        <v>1608</v>
      </c>
      <c r="F302" s="316" t="s">
        <v>1608</v>
      </c>
      <c r="G302" s="317">
        <v>6</v>
      </c>
      <c r="H302" s="317">
        <v>0</v>
      </c>
      <c r="I302" s="317">
        <v>0</v>
      </c>
      <c r="J302" s="317">
        <v>0</v>
      </c>
      <c r="K302" s="318">
        <v>0</v>
      </c>
      <c r="L302" s="318">
        <v>0</v>
      </c>
      <c r="M302" s="319">
        <v>0</v>
      </c>
      <c r="N302" s="319">
        <v>0</v>
      </c>
      <c r="O302" s="319">
        <f t="shared" si="4"/>
        <v>0</v>
      </c>
      <c r="P302" s="317">
        <v>0</v>
      </c>
      <c r="Q302" s="315" t="s">
        <v>1168</v>
      </c>
      <c r="R302" s="318">
        <v>225</v>
      </c>
      <c r="T302" s="320">
        <v>107.22222222222223</v>
      </c>
      <c r="U302" s="318">
        <v>36</v>
      </c>
      <c r="V302" s="318">
        <v>85</v>
      </c>
      <c r="W302" s="318">
        <v>150</v>
      </c>
      <c r="X302" s="315">
        <v>0.25</v>
      </c>
      <c r="Y302" s="318">
        <v>100</v>
      </c>
      <c r="Z302" s="315">
        <v>0</v>
      </c>
      <c r="AA302" s="315" t="s">
        <v>1149</v>
      </c>
      <c r="AB302" s="315">
        <v>0</v>
      </c>
      <c r="AC302" s="315" t="s">
        <v>1435</v>
      </c>
    </row>
    <row r="303" spans="1:29">
      <c r="A303" s="315" t="s">
        <v>1145</v>
      </c>
      <c r="B303" s="315" t="s">
        <v>696</v>
      </c>
      <c r="C303" s="345" t="s">
        <v>2009</v>
      </c>
      <c r="D303" s="345" t="s">
        <v>2010</v>
      </c>
      <c r="E303" s="316" t="s">
        <v>1609</v>
      </c>
      <c r="F303" s="316" t="s">
        <v>1609</v>
      </c>
      <c r="G303" s="317">
        <v>8.1</v>
      </c>
      <c r="H303" s="317">
        <v>0</v>
      </c>
      <c r="I303" s="317">
        <v>0</v>
      </c>
      <c r="J303" s="317">
        <v>0.67797356180913426</v>
      </c>
      <c r="K303" s="318">
        <v>8.3700439729522742</v>
      </c>
      <c r="L303" s="318">
        <v>73.287054600279106</v>
      </c>
      <c r="M303" s="319">
        <v>34.965140085319405</v>
      </c>
      <c r="N303" s="319">
        <v>26.595096112367131</v>
      </c>
      <c r="O303" s="319">
        <f t="shared" si="4"/>
        <v>26.595096112367131</v>
      </c>
      <c r="P303" s="317">
        <v>2.1542027851017371</v>
      </c>
      <c r="Q303" s="315" t="s">
        <v>1168</v>
      </c>
      <c r="R303" s="318">
        <v>229.6</v>
      </c>
      <c r="T303" s="320">
        <v>109.77777777777777</v>
      </c>
      <c r="U303" s="318">
        <v>36</v>
      </c>
      <c r="V303" s="318">
        <v>284.45</v>
      </c>
      <c r="W303" s="318">
        <v>136</v>
      </c>
      <c r="X303" s="315">
        <v>0.24</v>
      </c>
      <c r="Y303" s="318">
        <v>200</v>
      </c>
      <c r="Z303" s="315">
        <v>0</v>
      </c>
      <c r="AA303" s="315" t="s">
        <v>1149</v>
      </c>
      <c r="AB303" s="315">
        <v>0</v>
      </c>
      <c r="AC303" s="315" t="s">
        <v>1435</v>
      </c>
    </row>
    <row r="304" spans="1:29">
      <c r="A304" s="315" t="s">
        <v>1575</v>
      </c>
      <c r="B304" s="315" t="s">
        <v>1610</v>
      </c>
      <c r="C304" s="329" t="s">
        <v>2011</v>
      </c>
      <c r="D304" s="329" t="s">
        <v>2012</v>
      </c>
      <c r="E304" s="316" t="s">
        <v>1611</v>
      </c>
      <c r="F304" s="316" t="s">
        <v>1611</v>
      </c>
      <c r="G304" s="317">
        <v>28.58</v>
      </c>
      <c r="H304" s="317">
        <v>11.605791999999999</v>
      </c>
      <c r="I304" s="317">
        <v>11.605791999999999</v>
      </c>
      <c r="J304" s="317">
        <v>11.605791999999999</v>
      </c>
      <c r="K304" s="318">
        <v>40.608089573128062</v>
      </c>
      <c r="L304" s="318">
        <v>45.375587951553698</v>
      </c>
      <c r="M304" s="319">
        <v>43.398288079265001</v>
      </c>
      <c r="N304" s="319">
        <v>2.7901985061369388</v>
      </c>
      <c r="O304" s="319">
        <f t="shared" si="4"/>
        <v>2.7901985061369388</v>
      </c>
      <c r="P304" s="317">
        <v>0.79743873305393698</v>
      </c>
      <c r="Q304" s="315" t="s">
        <v>1148</v>
      </c>
      <c r="R304" s="318">
        <v>180</v>
      </c>
      <c r="T304" s="320">
        <v>82.222222222222229</v>
      </c>
      <c r="U304" s="318">
        <v>35</v>
      </c>
      <c r="V304" s="318">
        <v>65</v>
      </c>
      <c r="W304" s="318">
        <v>137</v>
      </c>
      <c r="X304" s="315">
        <v>0.21</v>
      </c>
      <c r="Y304" s="318">
        <v>500</v>
      </c>
      <c r="Z304" s="315">
        <v>2</v>
      </c>
      <c r="AA304" s="315" t="s">
        <v>1149</v>
      </c>
      <c r="AB304" s="315">
        <v>0</v>
      </c>
      <c r="AC304" s="315" t="s">
        <v>1157</v>
      </c>
    </row>
    <row r="305" spans="1:29">
      <c r="A305" s="315" t="s">
        <v>1575</v>
      </c>
      <c r="B305" s="315" t="s">
        <v>1610</v>
      </c>
      <c r="C305" s="329" t="s">
        <v>2011</v>
      </c>
      <c r="D305" s="329" t="s">
        <v>2012</v>
      </c>
      <c r="E305" s="316" t="s">
        <v>1612</v>
      </c>
      <c r="F305" s="316" t="s">
        <v>1612</v>
      </c>
      <c r="G305" s="317">
        <v>4.71</v>
      </c>
      <c r="H305" s="317">
        <v>1.2435510000000001</v>
      </c>
      <c r="I305" s="317">
        <v>1.2435510000000001</v>
      </c>
      <c r="J305" s="317">
        <v>1.2435510000000001</v>
      </c>
      <c r="K305" s="318">
        <v>26.402356687898092</v>
      </c>
      <c r="L305" s="318">
        <v>45.5732382486947</v>
      </c>
      <c r="M305" s="319">
        <v>43.038739111987802</v>
      </c>
      <c r="N305" s="319">
        <v>16.63638242408971</v>
      </c>
      <c r="O305" s="319">
        <f t="shared" si="4"/>
        <v>16.63638242408971</v>
      </c>
      <c r="P305" s="317">
        <v>0.78357361217462529</v>
      </c>
      <c r="Q305" s="315" t="s">
        <v>1148</v>
      </c>
      <c r="R305" s="318">
        <v>180</v>
      </c>
      <c r="T305" s="320">
        <v>82.222222222222229</v>
      </c>
      <c r="U305" s="318">
        <v>35</v>
      </c>
      <c r="V305" s="318">
        <v>48</v>
      </c>
      <c r="W305" s="318">
        <v>137</v>
      </c>
      <c r="X305" s="315">
        <v>0.21</v>
      </c>
      <c r="Y305" s="318">
        <v>500</v>
      </c>
      <c r="Z305" s="315">
        <v>1</v>
      </c>
      <c r="AA305" s="315" t="s">
        <v>1149</v>
      </c>
      <c r="AB305" s="315">
        <v>0</v>
      </c>
      <c r="AC305" s="315" t="s">
        <v>1157</v>
      </c>
    </row>
    <row r="306" spans="1:29">
      <c r="A306" s="315" t="s">
        <v>1575</v>
      </c>
      <c r="B306" s="315" t="s">
        <v>1610</v>
      </c>
      <c r="C306" s="329" t="s">
        <v>2011</v>
      </c>
      <c r="D306" s="329" t="s">
        <v>2012</v>
      </c>
      <c r="E306" s="316" t="s">
        <v>1613</v>
      </c>
      <c r="F306" s="316" t="s">
        <v>1613</v>
      </c>
      <c r="G306" s="317">
        <v>2.92</v>
      </c>
      <c r="H306" s="317">
        <v>1.0206010000000001</v>
      </c>
      <c r="I306" s="317">
        <v>1.0206010000000001</v>
      </c>
      <c r="J306" s="317">
        <v>1.0206010000000001</v>
      </c>
      <c r="K306" s="318">
        <v>34.952089041095896</v>
      </c>
      <c r="L306" s="318">
        <v>45.5732382486947</v>
      </c>
      <c r="M306" s="319">
        <v>43.445525112446397</v>
      </c>
      <c r="N306" s="319">
        <v>8.4934360713505015</v>
      </c>
      <c r="O306" s="319">
        <f t="shared" si="4"/>
        <v>8.4934360713505015</v>
      </c>
      <c r="P306" s="317">
        <v>0.24800833328343466</v>
      </c>
      <c r="Q306" s="315" t="s">
        <v>1148</v>
      </c>
      <c r="R306" s="318">
        <v>180</v>
      </c>
      <c r="T306" s="320">
        <v>82.222222222222229</v>
      </c>
      <c r="U306" s="318">
        <v>35</v>
      </c>
      <c r="V306" s="318">
        <v>38</v>
      </c>
      <c r="W306" s="318">
        <v>137</v>
      </c>
      <c r="X306" s="315">
        <v>0.21</v>
      </c>
      <c r="Y306" s="318">
        <v>500</v>
      </c>
      <c r="Z306" s="315">
        <v>1</v>
      </c>
      <c r="AA306" s="315" t="s">
        <v>1149</v>
      </c>
      <c r="AB306" s="315">
        <v>0</v>
      </c>
      <c r="AC306" s="315" t="s">
        <v>1157</v>
      </c>
    </row>
    <row r="307" spans="1:29">
      <c r="A307" s="315" t="s">
        <v>1575</v>
      </c>
      <c r="B307" s="315" t="s">
        <v>1610</v>
      </c>
      <c r="C307" s="329" t="s">
        <v>2011</v>
      </c>
      <c r="D307" s="329" t="s">
        <v>2012</v>
      </c>
      <c r="E307" s="316" t="s">
        <v>1614</v>
      </c>
      <c r="F307" s="316" t="s">
        <v>1614</v>
      </c>
      <c r="G307" s="317">
        <v>0.75</v>
      </c>
      <c r="H307" s="317">
        <v>0</v>
      </c>
      <c r="I307" s="317">
        <v>0</v>
      </c>
      <c r="J307" s="317">
        <v>0</v>
      </c>
      <c r="K307" s="318">
        <v>0</v>
      </c>
      <c r="L307" s="318">
        <v>45.5732382486947</v>
      </c>
      <c r="M307" s="319">
        <v>43.038739111987802</v>
      </c>
      <c r="N307" s="319">
        <v>43.038739111987802</v>
      </c>
      <c r="O307" s="319">
        <f t="shared" si="4"/>
        <v>43.038739111987802</v>
      </c>
      <c r="P307" s="317">
        <v>0.32279054333990853</v>
      </c>
      <c r="Q307" s="315" t="s">
        <v>1168</v>
      </c>
      <c r="R307" s="318">
        <v>180</v>
      </c>
      <c r="T307" s="320">
        <v>82.222222222222229</v>
      </c>
      <c r="U307" s="318">
        <v>35</v>
      </c>
      <c r="V307" s="318">
        <v>36</v>
      </c>
      <c r="W307" s="318">
        <v>137</v>
      </c>
      <c r="X307" s="315">
        <v>0.21</v>
      </c>
      <c r="Y307" s="318">
        <v>500</v>
      </c>
      <c r="Z307" s="315">
        <v>1</v>
      </c>
      <c r="AA307" s="315" t="s">
        <v>1149</v>
      </c>
      <c r="AB307" s="315">
        <v>0</v>
      </c>
      <c r="AC307" s="315" t="s">
        <v>1157</v>
      </c>
    </row>
    <row r="308" spans="1:29">
      <c r="A308" s="315" t="s">
        <v>1575</v>
      </c>
      <c r="B308" s="315" t="s">
        <v>1610</v>
      </c>
      <c r="C308" s="329" t="s">
        <v>2011</v>
      </c>
      <c r="D308" s="329" t="s">
        <v>2012</v>
      </c>
      <c r="E308" s="316" t="s">
        <v>1616</v>
      </c>
      <c r="F308" s="316" t="s">
        <v>1616</v>
      </c>
      <c r="G308" s="317">
        <v>202.76</v>
      </c>
      <c r="H308" s="317">
        <v>104.811348</v>
      </c>
      <c r="I308" s="317">
        <v>104.811348</v>
      </c>
      <c r="J308" s="317">
        <v>104.811348</v>
      </c>
      <c r="K308" s="318">
        <v>51.692319984217797</v>
      </c>
      <c r="L308" s="318">
        <v>42.7902029335986</v>
      </c>
      <c r="M308" s="319">
        <v>45.952986214716702</v>
      </c>
      <c r="N308" s="319">
        <v>-5.7393337695010942</v>
      </c>
      <c r="O308" s="319">
        <f t="shared" si="4"/>
        <v>0</v>
      </c>
      <c r="P308" s="317">
        <v>0</v>
      </c>
      <c r="Q308" s="315" t="s">
        <v>1148</v>
      </c>
      <c r="R308" s="318">
        <v>180</v>
      </c>
      <c r="T308" s="320">
        <v>82.222222222222229</v>
      </c>
      <c r="U308" s="318">
        <v>35</v>
      </c>
      <c r="V308" s="318">
        <v>488</v>
      </c>
      <c r="W308" s="318">
        <v>137</v>
      </c>
      <c r="X308" s="315">
        <v>0.21</v>
      </c>
      <c r="Y308" s="318">
        <v>1000</v>
      </c>
      <c r="Z308" s="315">
        <v>9</v>
      </c>
      <c r="AA308" s="315" t="s">
        <v>1440</v>
      </c>
      <c r="AB308" s="315">
        <v>2</v>
      </c>
      <c r="AC308" s="315" t="s">
        <v>1157</v>
      </c>
    </row>
    <row r="309" spans="1:29">
      <c r="A309" s="315" t="s">
        <v>1575</v>
      </c>
      <c r="B309" s="315" t="s">
        <v>1610</v>
      </c>
      <c r="C309" s="329" t="s">
        <v>2011</v>
      </c>
      <c r="D309" s="329" t="s">
        <v>2012</v>
      </c>
      <c r="E309" s="316" t="s">
        <v>1617</v>
      </c>
      <c r="F309" s="316" t="s">
        <v>1617</v>
      </c>
      <c r="G309" s="317">
        <v>45.93</v>
      </c>
      <c r="H309" s="317">
        <v>6.7283169999999997</v>
      </c>
      <c r="I309" s="317">
        <v>6.7283169999999997</v>
      </c>
      <c r="J309" s="317">
        <v>6.7283169999999997</v>
      </c>
      <c r="K309" s="318">
        <v>14.649068147180492</v>
      </c>
      <c r="L309" s="318">
        <v>44.306615050333697</v>
      </c>
      <c r="M309" s="319">
        <v>43.954561897268505</v>
      </c>
      <c r="N309" s="319">
        <v>29.305493750088011</v>
      </c>
      <c r="O309" s="319">
        <f t="shared" si="4"/>
        <v>29.305493750088011</v>
      </c>
      <c r="P309" s="317">
        <v>13.460013279415424</v>
      </c>
      <c r="Q309" s="315" t="s">
        <v>1148</v>
      </c>
      <c r="R309" s="318">
        <v>180</v>
      </c>
      <c r="T309" s="320">
        <v>82.222222222222229</v>
      </c>
      <c r="U309" s="318">
        <v>35</v>
      </c>
      <c r="V309" s="318">
        <v>360</v>
      </c>
      <c r="W309" s="318">
        <v>137</v>
      </c>
      <c r="X309" s="315">
        <v>0.21</v>
      </c>
      <c r="Y309" s="318">
        <v>1000</v>
      </c>
      <c r="Z309" s="315">
        <v>4</v>
      </c>
      <c r="AA309" s="315" t="s">
        <v>1149</v>
      </c>
      <c r="AB309" s="315">
        <v>0</v>
      </c>
      <c r="AC309" s="315" t="s">
        <v>1157</v>
      </c>
    </row>
    <row r="310" spans="1:29">
      <c r="A310" s="315" t="s">
        <v>1575</v>
      </c>
      <c r="B310" s="315" t="s">
        <v>1610</v>
      </c>
      <c r="C310" s="329" t="s">
        <v>2011</v>
      </c>
      <c r="D310" s="329" t="s">
        <v>2012</v>
      </c>
      <c r="E310" s="316" t="s">
        <v>1619</v>
      </c>
      <c r="F310" s="316" t="s">
        <v>1619</v>
      </c>
      <c r="G310" s="317">
        <v>33.880000000000003</v>
      </c>
      <c r="H310" s="317">
        <v>10.894485</v>
      </c>
      <c r="I310" s="317">
        <v>10.894485</v>
      </c>
      <c r="J310" s="317">
        <v>10.894485</v>
      </c>
      <c r="K310" s="318">
        <v>32.15609504132231</v>
      </c>
      <c r="L310" s="318">
        <v>44.306615050333697</v>
      </c>
      <c r="M310" s="319">
        <v>43.954561897268505</v>
      </c>
      <c r="N310" s="319">
        <v>11.798466855946195</v>
      </c>
      <c r="O310" s="319">
        <f t="shared" si="4"/>
        <v>11.798466855946195</v>
      </c>
      <c r="P310" s="317">
        <v>3.9973205707945714</v>
      </c>
      <c r="Q310" s="315" t="s">
        <v>1148</v>
      </c>
      <c r="R310" s="318">
        <v>180</v>
      </c>
      <c r="T310" s="320">
        <v>82.222222222222229</v>
      </c>
      <c r="U310" s="318">
        <v>35</v>
      </c>
      <c r="V310" s="318">
        <v>321</v>
      </c>
      <c r="W310" s="318">
        <v>137</v>
      </c>
      <c r="X310" s="315">
        <v>0.21</v>
      </c>
      <c r="Y310" s="318">
        <v>1000</v>
      </c>
      <c r="Z310" s="315">
        <v>5</v>
      </c>
      <c r="AA310" s="315" t="s">
        <v>1149</v>
      </c>
      <c r="AB310" s="315">
        <v>0</v>
      </c>
      <c r="AC310" s="315" t="s">
        <v>1157</v>
      </c>
    </row>
    <row r="311" spans="1:29">
      <c r="A311" s="315" t="s">
        <v>1575</v>
      </c>
      <c r="B311" s="315" t="s">
        <v>1610</v>
      </c>
      <c r="C311" s="329" t="s">
        <v>2011</v>
      </c>
      <c r="D311" s="329" t="s">
        <v>2012</v>
      </c>
      <c r="E311" s="316" t="s">
        <v>1620</v>
      </c>
      <c r="F311" s="316" t="s">
        <v>1620</v>
      </c>
      <c r="G311" s="317">
        <v>23.95</v>
      </c>
      <c r="H311" s="317">
        <v>2.8388610000000001</v>
      </c>
      <c r="I311" s="317">
        <v>2.8388610000000001</v>
      </c>
      <c r="J311" s="317">
        <v>2.8388610000000001</v>
      </c>
      <c r="K311" s="318">
        <v>11.853281837160752</v>
      </c>
      <c r="L311" s="318">
        <v>44.306615050333697</v>
      </c>
      <c r="M311" s="319">
        <v>43.954561897268505</v>
      </c>
      <c r="N311" s="319">
        <v>32.101280060107754</v>
      </c>
      <c r="O311" s="319">
        <f t="shared" si="4"/>
        <v>32.101280060107754</v>
      </c>
      <c r="P311" s="317">
        <v>7.6882565743958073</v>
      </c>
      <c r="Q311" s="315" t="s">
        <v>1148</v>
      </c>
      <c r="R311" s="318">
        <v>180</v>
      </c>
      <c r="T311" s="320">
        <v>82.222222222222229</v>
      </c>
      <c r="U311" s="318">
        <v>35</v>
      </c>
      <c r="V311" s="318">
        <v>342</v>
      </c>
      <c r="W311" s="318">
        <v>137</v>
      </c>
      <c r="X311" s="315">
        <v>0.21</v>
      </c>
      <c r="Y311" s="318">
        <v>1000</v>
      </c>
      <c r="Z311" s="315">
        <v>2</v>
      </c>
      <c r="AA311" s="315" t="s">
        <v>1149</v>
      </c>
      <c r="AB311" s="315">
        <v>0</v>
      </c>
      <c r="AC311" s="315" t="s">
        <v>1157</v>
      </c>
    </row>
    <row r="312" spans="1:29">
      <c r="A312" s="315" t="s">
        <v>1575</v>
      </c>
      <c r="B312" s="315" t="s">
        <v>1610</v>
      </c>
      <c r="C312" s="329" t="s">
        <v>2011</v>
      </c>
      <c r="D312" s="329" t="s">
        <v>2012</v>
      </c>
      <c r="E312" s="316" t="s">
        <v>1621</v>
      </c>
      <c r="F312" s="316" t="s">
        <v>1621</v>
      </c>
      <c r="G312" s="317">
        <v>6.16</v>
      </c>
      <c r="H312" s="317">
        <v>1.2811730000000001</v>
      </c>
      <c r="I312" s="317">
        <v>1.2811730000000001</v>
      </c>
      <c r="J312" s="317">
        <v>1.2811730000000001</v>
      </c>
      <c r="K312" s="318">
        <v>20.79826298701299</v>
      </c>
      <c r="L312" s="318">
        <v>71.459646644162902</v>
      </c>
      <c r="M312" s="319">
        <v>35.740907639910901</v>
      </c>
      <c r="N312" s="319">
        <v>14.942644652897911</v>
      </c>
      <c r="O312" s="319">
        <f t="shared" si="4"/>
        <v>14.942644652897911</v>
      </c>
      <c r="P312" s="317">
        <v>0.92046691061851127</v>
      </c>
      <c r="Q312" s="315" t="s">
        <v>1148</v>
      </c>
      <c r="R312" s="318">
        <v>181</v>
      </c>
      <c r="T312" s="320">
        <v>82.777777777777771</v>
      </c>
      <c r="U312" s="318">
        <v>41</v>
      </c>
      <c r="V312" s="318">
        <v>45</v>
      </c>
      <c r="W312" s="318">
        <v>169</v>
      </c>
      <c r="X312" s="315">
        <v>0.21199999999999999</v>
      </c>
      <c r="Y312" s="318">
        <v>140</v>
      </c>
      <c r="Z312" s="315">
        <v>1</v>
      </c>
      <c r="AA312" s="315" t="s">
        <v>1149</v>
      </c>
      <c r="AB312" s="315">
        <v>0</v>
      </c>
      <c r="AC312" s="315" t="s">
        <v>1157</v>
      </c>
    </row>
    <row r="313" spans="1:29">
      <c r="A313" s="315" t="s">
        <v>1575</v>
      </c>
      <c r="B313" s="315" t="s">
        <v>1610</v>
      </c>
      <c r="C313" s="329" t="s">
        <v>2011</v>
      </c>
      <c r="D313" s="329" t="s">
        <v>2012</v>
      </c>
      <c r="E313" s="316" t="s">
        <v>1622</v>
      </c>
      <c r="F313" s="316" t="s">
        <v>1622</v>
      </c>
      <c r="G313" s="317">
        <v>14.190000000000001</v>
      </c>
      <c r="H313" s="317">
        <v>1.4919889999999998</v>
      </c>
      <c r="I313" s="317">
        <v>1.4919889999999998</v>
      </c>
      <c r="J313" s="317">
        <v>1.4919889999999998</v>
      </c>
      <c r="K313" s="318">
        <v>10.514369274136714</v>
      </c>
      <c r="L313" s="318">
        <v>71.459646644162902</v>
      </c>
      <c r="M313" s="319">
        <v>35.429522752696101</v>
      </c>
      <c r="N313" s="319">
        <v>24.91515347855939</v>
      </c>
      <c r="O313" s="319">
        <f t="shared" si="4"/>
        <v>24.91515347855939</v>
      </c>
      <c r="P313" s="317">
        <v>3.5354602786075779</v>
      </c>
      <c r="Q313" s="315" t="s">
        <v>1148</v>
      </c>
      <c r="R313" s="318">
        <v>181</v>
      </c>
      <c r="T313" s="320">
        <v>82.777777777777771</v>
      </c>
      <c r="U313" s="318">
        <v>41</v>
      </c>
      <c r="V313" s="318">
        <v>27</v>
      </c>
      <c r="W313" s="318">
        <v>169</v>
      </c>
      <c r="X313" s="315">
        <v>0.21199999999999999</v>
      </c>
      <c r="Y313" s="318">
        <v>140</v>
      </c>
      <c r="Z313" s="315">
        <v>1</v>
      </c>
      <c r="AA313" s="315" t="s">
        <v>1149</v>
      </c>
      <c r="AB313" s="315">
        <v>0</v>
      </c>
      <c r="AC313" s="315" t="s">
        <v>1157</v>
      </c>
    </row>
    <row r="314" spans="1:29">
      <c r="A314" s="315" t="s">
        <v>1575</v>
      </c>
      <c r="B314" s="315" t="s">
        <v>1610</v>
      </c>
      <c r="C314" s="329" t="s">
        <v>2011</v>
      </c>
      <c r="D314" s="329" t="s">
        <v>2012</v>
      </c>
      <c r="E314" s="316" t="s">
        <v>1623</v>
      </c>
      <c r="F314" s="316" t="s">
        <v>1623</v>
      </c>
      <c r="G314" s="317">
        <v>5.09</v>
      </c>
      <c r="H314" s="317">
        <v>1.6632830000000001</v>
      </c>
      <c r="I314" s="317">
        <v>1.6632830000000001</v>
      </c>
      <c r="J314" s="317">
        <v>1.6632830000000001</v>
      </c>
      <c r="K314" s="318">
        <v>32.677465618860509</v>
      </c>
      <c r="L314" s="318">
        <v>71.520028419345707</v>
      </c>
      <c r="M314" s="319">
        <v>36.066574682970696</v>
      </c>
      <c r="N314" s="319">
        <v>3.3891090641101869</v>
      </c>
      <c r="O314" s="319">
        <f t="shared" si="4"/>
        <v>3.3891090641101869</v>
      </c>
      <c r="P314" s="317">
        <v>0.17250565136320853</v>
      </c>
      <c r="Q314" s="315" t="s">
        <v>1148</v>
      </c>
      <c r="R314" s="318">
        <v>181</v>
      </c>
      <c r="T314" s="320">
        <v>82.777777777777771</v>
      </c>
      <c r="U314" s="318">
        <v>41</v>
      </c>
      <c r="V314" s="318">
        <v>23</v>
      </c>
      <c r="W314" s="318">
        <v>169</v>
      </c>
      <c r="X314" s="315">
        <v>0.21199999999999999</v>
      </c>
      <c r="Y314" s="318">
        <v>140</v>
      </c>
      <c r="Z314" s="315">
        <v>1</v>
      </c>
      <c r="AA314" s="315" t="s">
        <v>1149</v>
      </c>
      <c r="AB314" s="315">
        <v>0</v>
      </c>
      <c r="AC314" s="315" t="s">
        <v>1157</v>
      </c>
    </row>
    <row r="315" spans="1:29">
      <c r="A315" s="315" t="s">
        <v>1145</v>
      </c>
      <c r="B315" s="315" t="s">
        <v>1624</v>
      </c>
      <c r="C315" s="329">
        <v>4.8033811111111104</v>
      </c>
      <c r="D315" s="329">
        <v>114.09</v>
      </c>
      <c r="E315" s="316" t="s">
        <v>1625</v>
      </c>
      <c r="F315" s="316" t="s">
        <v>1625</v>
      </c>
      <c r="G315" s="317">
        <v>7.3098295035089658</v>
      </c>
      <c r="H315" s="317">
        <v>2.9711934000000002</v>
      </c>
      <c r="I315" s="317">
        <v>3.0984657000000002</v>
      </c>
      <c r="J315" s="317">
        <v>3.0984657000000002</v>
      </c>
      <c r="K315" s="318">
        <v>42.38766032111463</v>
      </c>
      <c r="L315" s="318">
        <v>51.261623940177401</v>
      </c>
      <c r="M315" s="319">
        <v>44.654791072895001</v>
      </c>
      <c r="N315" s="319">
        <v>2.2671307517803712</v>
      </c>
      <c r="O315" s="319">
        <f t="shared" si="4"/>
        <v>2.2671307517803712</v>
      </c>
      <c r="P315" s="317">
        <v>0.16572339257676619</v>
      </c>
      <c r="Q315" s="315" t="s">
        <v>1148</v>
      </c>
      <c r="R315" s="318">
        <v>152.4</v>
      </c>
      <c r="T315" s="320">
        <v>66.888888888888886</v>
      </c>
      <c r="U315" s="318">
        <v>40.1</v>
      </c>
      <c r="V315" s="318">
        <v>56</v>
      </c>
      <c r="W315" s="318">
        <v>157</v>
      </c>
      <c r="X315" s="315">
        <v>0.28999999999999998</v>
      </c>
      <c r="Y315" s="318">
        <v>6600</v>
      </c>
      <c r="Z315" s="315">
        <v>2</v>
      </c>
      <c r="AA315" s="315" t="s">
        <v>1149</v>
      </c>
      <c r="AB315" s="315">
        <v>0</v>
      </c>
      <c r="AC315" s="315" t="s">
        <v>1157</v>
      </c>
    </row>
    <row r="316" spans="1:29">
      <c r="A316" s="315" t="s">
        <v>1145</v>
      </c>
      <c r="B316" s="315" t="s">
        <v>1624</v>
      </c>
      <c r="C316" s="329">
        <v>4.8139583333333302</v>
      </c>
      <c r="D316" s="329">
        <v>114.09</v>
      </c>
      <c r="E316" s="316" t="s">
        <v>1626</v>
      </c>
      <c r="F316" s="316" t="s">
        <v>1626</v>
      </c>
      <c r="G316" s="317">
        <v>2.9222593445830425</v>
      </c>
      <c r="H316" s="317">
        <v>1.3802057999999999</v>
      </c>
      <c r="I316" s="317">
        <v>1.3802057999999999</v>
      </c>
      <c r="J316" s="317">
        <v>1.3802057999999999</v>
      </c>
      <c r="K316" s="318">
        <v>47.230777191575108</v>
      </c>
      <c r="L316" s="318">
        <v>47.482761912781001</v>
      </c>
      <c r="M316" s="319">
        <v>45.091095087267902</v>
      </c>
      <c r="N316" s="319">
        <v>-2.1396821043072052</v>
      </c>
      <c r="O316" s="319">
        <f t="shared" si="4"/>
        <v>0</v>
      </c>
      <c r="P316" s="317">
        <v>0</v>
      </c>
      <c r="Q316" s="315" t="s">
        <v>1148</v>
      </c>
      <c r="R316" s="318">
        <v>172.15200000000002</v>
      </c>
      <c r="T316" s="320">
        <v>77.862222222222229</v>
      </c>
      <c r="U316" s="318">
        <v>40</v>
      </c>
      <c r="V316" s="318">
        <v>31</v>
      </c>
      <c r="W316" s="318">
        <v>95</v>
      </c>
      <c r="X316" s="315">
        <v>0.25</v>
      </c>
      <c r="Y316" s="318">
        <v>2000</v>
      </c>
      <c r="Z316" s="315">
        <v>2</v>
      </c>
      <c r="AA316" s="315" t="s">
        <v>1149</v>
      </c>
      <c r="AB316" s="315">
        <v>0</v>
      </c>
      <c r="AC316" s="315" t="s">
        <v>1157</v>
      </c>
    </row>
    <row r="317" spans="1:29">
      <c r="A317" s="315" t="s">
        <v>1145</v>
      </c>
      <c r="B317" s="315" t="s">
        <v>1624</v>
      </c>
      <c r="C317" s="329">
        <v>4.80008416666666</v>
      </c>
      <c r="D317" s="329">
        <v>114.09</v>
      </c>
      <c r="E317" s="316" t="s">
        <v>1627</v>
      </c>
      <c r="F317" s="316" t="s">
        <v>1627</v>
      </c>
      <c r="G317" s="317">
        <v>3.2576249070299323</v>
      </c>
      <c r="H317" s="317">
        <v>0</v>
      </c>
      <c r="I317" s="317">
        <v>0.55913310000000005</v>
      </c>
      <c r="J317" s="317">
        <v>0.55913310000000005</v>
      </c>
      <c r="K317" s="318">
        <v>17.163826897117428</v>
      </c>
      <c r="L317" s="318">
        <v>49.681230881313198</v>
      </c>
      <c r="M317" s="319">
        <v>38.895165089143504</v>
      </c>
      <c r="N317" s="319">
        <v>21.731338192026076</v>
      </c>
      <c r="O317" s="319">
        <f t="shared" si="4"/>
        <v>21.731338192026076</v>
      </c>
      <c r="P317" s="317">
        <v>0.70792548557434964</v>
      </c>
      <c r="Q317" s="315" t="s">
        <v>1168</v>
      </c>
      <c r="R317" s="318">
        <v>180.48</v>
      </c>
      <c r="T317" s="320">
        <v>82.48888888888888</v>
      </c>
      <c r="U317" s="318">
        <v>39.9</v>
      </c>
      <c r="V317" s="318">
        <v>41</v>
      </c>
      <c r="W317" s="318">
        <v>52</v>
      </c>
      <c r="X317" s="315">
        <v>0.22</v>
      </c>
      <c r="Y317" s="318">
        <v>600</v>
      </c>
      <c r="Z317" s="315">
        <v>2</v>
      </c>
      <c r="AA317" s="315" t="s">
        <v>1149</v>
      </c>
      <c r="AB317" s="315">
        <v>0</v>
      </c>
      <c r="AC317" s="315" t="s">
        <v>1157</v>
      </c>
    </row>
    <row r="318" spans="1:29">
      <c r="A318" s="315" t="s">
        <v>1145</v>
      </c>
      <c r="B318" s="315" t="s">
        <v>1624</v>
      </c>
      <c r="C318" s="329">
        <v>4.8037061111111097</v>
      </c>
      <c r="D318" s="329">
        <v>114.09</v>
      </c>
      <c r="E318" s="316" t="s">
        <v>1628</v>
      </c>
      <c r="F318" s="316" t="s">
        <v>1628</v>
      </c>
      <c r="G318" s="317">
        <v>0.14559702320999737</v>
      </c>
      <c r="H318" s="317">
        <v>0.13788400000000001</v>
      </c>
      <c r="I318" s="317">
        <v>0.1391878</v>
      </c>
      <c r="J318" s="317">
        <v>0.1391878</v>
      </c>
      <c r="K318" s="318">
        <v>95.59797098272179</v>
      </c>
      <c r="L318" s="318">
        <v>48.005183277037503</v>
      </c>
      <c r="M318" s="319">
        <v>44.160885044207596</v>
      </c>
      <c r="N318" s="319">
        <v>-51.437085938514194</v>
      </c>
      <c r="O318" s="319">
        <f t="shared" si="4"/>
        <v>0</v>
      </c>
      <c r="P318" s="317">
        <v>0</v>
      </c>
      <c r="Q318" s="315" t="s">
        <v>1148</v>
      </c>
      <c r="R318" s="318">
        <v>183.21600000000001</v>
      </c>
      <c r="T318" s="320">
        <v>84.00888888888889</v>
      </c>
      <c r="U318" s="318">
        <v>39.9</v>
      </c>
      <c r="V318" s="318">
        <v>14</v>
      </c>
      <c r="W318" s="318">
        <v>54</v>
      </c>
      <c r="X318" s="315">
        <v>0.24</v>
      </c>
      <c r="Y318" s="318">
        <v>1000</v>
      </c>
      <c r="Z318" s="315">
        <v>1</v>
      </c>
      <c r="AA318" s="315" t="s">
        <v>1149</v>
      </c>
      <c r="AB318" s="315">
        <v>0</v>
      </c>
      <c r="AC318" s="315" t="s">
        <v>1157</v>
      </c>
    </row>
    <row r="319" spans="1:29">
      <c r="A319" s="315" t="s">
        <v>1145</v>
      </c>
      <c r="B319" s="315" t="s">
        <v>1624</v>
      </c>
      <c r="C319" s="329">
        <v>4.8018413888888798</v>
      </c>
      <c r="D319" s="329">
        <v>114.09</v>
      </c>
      <c r="E319" s="316" t="s">
        <v>1629</v>
      </c>
      <c r="F319" s="316" t="s">
        <v>1629</v>
      </c>
      <c r="G319" s="317">
        <v>5.170685470169599</v>
      </c>
      <c r="H319" s="317">
        <v>1.2370683</v>
      </c>
      <c r="I319" s="317">
        <v>1.5092732</v>
      </c>
      <c r="J319" s="317">
        <v>1.5628815542272725</v>
      </c>
      <c r="K319" s="318">
        <v>30.225809774037749</v>
      </c>
      <c r="L319" s="318">
        <v>47.234096304432903</v>
      </c>
      <c r="M319" s="319">
        <v>44.499612827671399</v>
      </c>
      <c r="N319" s="319">
        <v>14.27380305363365</v>
      </c>
      <c r="O319" s="319">
        <f t="shared" si="4"/>
        <v>14.27380305363365</v>
      </c>
      <c r="P319" s="317">
        <v>0.73805346053485965</v>
      </c>
      <c r="Q319" s="315" t="s">
        <v>1148</v>
      </c>
      <c r="R319" s="318">
        <v>184.24799999999999</v>
      </c>
      <c r="T319" s="320">
        <v>84.582222222222228</v>
      </c>
      <c r="U319" s="318">
        <v>39.9</v>
      </c>
      <c r="V319" s="318">
        <v>16</v>
      </c>
      <c r="W319" s="318">
        <v>87</v>
      </c>
      <c r="X319" s="315">
        <v>0.22</v>
      </c>
      <c r="Y319" s="318">
        <v>750</v>
      </c>
      <c r="Z319" s="315">
        <v>5</v>
      </c>
      <c r="AA319" s="315" t="s">
        <v>1149</v>
      </c>
      <c r="AB319" s="315">
        <v>0</v>
      </c>
      <c r="AC319" s="315" t="s">
        <v>1157</v>
      </c>
    </row>
    <row r="320" spans="1:29">
      <c r="A320" s="315" t="s">
        <v>1145</v>
      </c>
      <c r="B320" s="315" t="s">
        <v>1624</v>
      </c>
      <c r="C320" s="329">
        <v>4.8064524999999998</v>
      </c>
      <c r="D320" s="329">
        <v>114.09</v>
      </c>
      <c r="E320" s="316" t="s">
        <v>1630</v>
      </c>
      <c r="F320" s="316" t="s">
        <v>1630</v>
      </c>
      <c r="G320" s="317">
        <v>0.33405056494679136</v>
      </c>
      <c r="H320" s="317">
        <v>0.13404170000000001</v>
      </c>
      <c r="I320" s="317">
        <v>0.13530040000000002</v>
      </c>
      <c r="J320" s="317">
        <v>0.13530040000000002</v>
      </c>
      <c r="K320" s="318">
        <v>40.502969968498959</v>
      </c>
      <c r="L320" s="318">
        <v>60.440327725601101</v>
      </c>
      <c r="M320" s="319">
        <v>40.834400988163097</v>
      </c>
      <c r="N320" s="319">
        <v>0.33143101966413724</v>
      </c>
      <c r="O320" s="319">
        <f t="shared" si="4"/>
        <v>0.33143101966413724</v>
      </c>
      <c r="P320" s="317">
        <v>1.1071471935969615E-3</v>
      </c>
      <c r="Q320" s="315" t="s">
        <v>1148</v>
      </c>
      <c r="R320" s="318">
        <v>184.8</v>
      </c>
      <c r="T320" s="320">
        <v>84.888888888888886</v>
      </c>
      <c r="U320" s="318">
        <v>39.9</v>
      </c>
      <c r="V320" s="318">
        <v>17</v>
      </c>
      <c r="W320" s="318">
        <v>52</v>
      </c>
      <c r="X320" s="315">
        <v>0.22</v>
      </c>
      <c r="Y320" s="318">
        <v>800</v>
      </c>
      <c r="Z320" s="315">
        <v>1</v>
      </c>
      <c r="AA320" s="315" t="s">
        <v>1149</v>
      </c>
      <c r="AB320" s="315">
        <v>0</v>
      </c>
      <c r="AC320" s="315" t="s">
        <v>1157</v>
      </c>
    </row>
    <row r="321" spans="1:29">
      <c r="A321" s="315" t="s">
        <v>1145</v>
      </c>
      <c r="B321" s="315" t="s">
        <v>1624</v>
      </c>
      <c r="C321" s="329">
        <v>4.8031667407407399</v>
      </c>
      <c r="D321" s="329">
        <v>114.09</v>
      </c>
      <c r="E321" s="316" t="s">
        <v>1631</v>
      </c>
      <c r="F321" s="316" t="s">
        <v>1631</v>
      </c>
      <c r="G321" s="317">
        <v>0.35148303180646723</v>
      </c>
      <c r="H321" s="317">
        <v>7.2786000000000003E-2</v>
      </c>
      <c r="I321" s="317">
        <v>8.3272800000000008E-2</v>
      </c>
      <c r="J321" s="317">
        <v>0.40492292536363561</v>
      </c>
      <c r="K321" s="318">
        <v>115.20411761629316</v>
      </c>
      <c r="L321" s="318">
        <v>60.372133259761902</v>
      </c>
      <c r="M321" s="319">
        <v>40.859535313983194</v>
      </c>
      <c r="N321" s="319">
        <v>-74.344582302309959</v>
      </c>
      <c r="O321" s="319">
        <f t="shared" si="4"/>
        <v>0</v>
      </c>
      <c r="P321" s="317">
        <v>0</v>
      </c>
      <c r="Q321" s="315" t="s">
        <v>1148</v>
      </c>
      <c r="R321" s="318">
        <v>184.8</v>
      </c>
      <c r="T321" s="320">
        <v>84.888888888888886</v>
      </c>
      <c r="U321" s="318">
        <v>39.9</v>
      </c>
      <c r="V321" s="318">
        <v>18</v>
      </c>
      <c r="W321" s="318">
        <v>15</v>
      </c>
      <c r="X321" s="315">
        <v>0.2</v>
      </c>
      <c r="Y321" s="318">
        <v>370</v>
      </c>
      <c r="Z321" s="315">
        <v>1</v>
      </c>
      <c r="AA321" s="315" t="s">
        <v>1149</v>
      </c>
      <c r="AB321" s="315">
        <v>0</v>
      </c>
      <c r="AC321" s="315" t="s">
        <v>1157</v>
      </c>
    </row>
    <row r="322" spans="1:29">
      <c r="A322" s="315" t="s">
        <v>1145</v>
      </c>
      <c r="B322" s="315" t="s">
        <v>1624</v>
      </c>
      <c r="C322" s="329">
        <v>4.8026703994708901</v>
      </c>
      <c r="D322" s="329">
        <v>114.09</v>
      </c>
      <c r="E322" s="316" t="s">
        <v>1632</v>
      </c>
      <c r="F322" s="316" t="s">
        <v>1632</v>
      </c>
      <c r="G322" s="317">
        <v>0.62076011989211421</v>
      </c>
      <c r="H322" s="317">
        <v>5.2033099999999999E-2</v>
      </c>
      <c r="I322" s="317">
        <v>5.2297999999999997E-2</v>
      </c>
      <c r="J322" s="317">
        <v>0.26673141690909036</v>
      </c>
      <c r="K322" s="318">
        <v>42.96851688144001</v>
      </c>
      <c r="L322" s="318">
        <v>49.746612285817903</v>
      </c>
      <c r="M322" s="319">
        <v>42.473978383212199</v>
      </c>
      <c r="N322" s="319">
        <v>-0.49453849822781137</v>
      </c>
      <c r="O322" s="319">
        <f t="shared" ref="O322:O385" si="5">IF(N322&lt;0,0,N322)</f>
        <v>0</v>
      </c>
      <c r="P322" s="317">
        <v>0</v>
      </c>
      <c r="Q322" s="315" t="s">
        <v>1148</v>
      </c>
      <c r="R322" s="318">
        <v>185</v>
      </c>
      <c r="T322" s="320">
        <v>85</v>
      </c>
      <c r="U322" s="318">
        <v>39.9</v>
      </c>
      <c r="V322" s="318">
        <v>40</v>
      </c>
      <c r="W322" s="318">
        <v>77</v>
      </c>
      <c r="X322" s="315">
        <v>0.21</v>
      </c>
      <c r="Y322" s="318">
        <v>450</v>
      </c>
      <c r="Z322" s="315">
        <v>1</v>
      </c>
      <c r="AA322" s="315" t="s">
        <v>1149</v>
      </c>
      <c r="AB322" s="315">
        <v>0</v>
      </c>
      <c r="AC322" s="315" t="s">
        <v>1157</v>
      </c>
    </row>
    <row r="323" spans="1:29">
      <c r="A323" s="315" t="s">
        <v>1145</v>
      </c>
      <c r="B323" s="315" t="s">
        <v>1624</v>
      </c>
      <c r="C323" s="329">
        <v>4.8021740582010501</v>
      </c>
      <c r="D323" s="329">
        <v>114.09</v>
      </c>
      <c r="E323" s="316" t="s">
        <v>1634</v>
      </c>
      <c r="F323" s="316" t="s">
        <v>1634</v>
      </c>
      <c r="G323" s="317">
        <v>0.30926731206146774</v>
      </c>
      <c r="H323" s="317">
        <v>0.11712069999999999</v>
      </c>
      <c r="I323" s="317">
        <v>0.15377949999999999</v>
      </c>
      <c r="J323" s="317">
        <v>0.15377949999999999</v>
      </c>
      <c r="K323" s="318">
        <v>49.723813026006411</v>
      </c>
      <c r="L323" s="318">
        <v>48.294848355695699</v>
      </c>
      <c r="M323" s="319">
        <v>44.238047471620298</v>
      </c>
      <c r="N323" s="319">
        <v>-5.4857655543861128</v>
      </c>
      <c r="O323" s="319">
        <f t="shared" si="5"/>
        <v>0</v>
      </c>
      <c r="P323" s="317">
        <v>0</v>
      </c>
      <c r="Q323" s="315" t="s">
        <v>1148</v>
      </c>
      <c r="R323" s="318">
        <v>186.12</v>
      </c>
      <c r="T323" s="320">
        <v>85.62222222222222</v>
      </c>
      <c r="U323" s="318">
        <v>39.9</v>
      </c>
      <c r="V323" s="318">
        <v>16</v>
      </c>
      <c r="W323" s="318">
        <v>75</v>
      </c>
      <c r="X323" s="315">
        <v>0.21</v>
      </c>
      <c r="Y323" s="318">
        <v>300</v>
      </c>
      <c r="Z323" s="315">
        <v>1</v>
      </c>
      <c r="AA323" s="315" t="s">
        <v>1149</v>
      </c>
      <c r="AB323" s="315">
        <v>0</v>
      </c>
      <c r="AC323" s="315" t="s">
        <v>1157</v>
      </c>
    </row>
    <row r="324" spans="1:29">
      <c r="A324" s="315" t="s">
        <v>1145</v>
      </c>
      <c r="B324" s="315" t="s">
        <v>1624</v>
      </c>
      <c r="C324" s="329">
        <v>4.8016777169312101</v>
      </c>
      <c r="D324" s="329">
        <v>114.09</v>
      </c>
      <c r="E324" s="316" t="s">
        <v>1635</v>
      </c>
      <c r="F324" s="316" t="s">
        <v>1635</v>
      </c>
      <c r="G324" s="317">
        <v>4.3832204671949881</v>
      </c>
      <c r="H324" s="317">
        <v>1.3316918</v>
      </c>
      <c r="I324" s="317">
        <v>1.4742367000000001</v>
      </c>
      <c r="J324" s="317">
        <v>1.4742367000000001</v>
      </c>
      <c r="K324" s="318">
        <v>33.633642456123766</v>
      </c>
      <c r="L324" s="318">
        <v>48.874936383144799</v>
      </c>
      <c r="M324" s="319">
        <v>43.855935450337903</v>
      </c>
      <c r="N324" s="319">
        <v>10.222292994214136</v>
      </c>
      <c r="O324" s="319">
        <f t="shared" si="5"/>
        <v>10.222292994214136</v>
      </c>
      <c r="P324" s="317">
        <v>0.44806563873903343</v>
      </c>
      <c r="Q324" s="315" t="s">
        <v>1148</v>
      </c>
      <c r="R324" s="318">
        <v>187.20000000000002</v>
      </c>
      <c r="T324" s="320">
        <v>86.222222222222229</v>
      </c>
      <c r="U324" s="318">
        <v>39.9</v>
      </c>
      <c r="V324" s="318">
        <v>17</v>
      </c>
      <c r="W324" s="318">
        <v>81</v>
      </c>
      <c r="X324" s="315">
        <v>0.21</v>
      </c>
      <c r="Y324" s="318">
        <v>250</v>
      </c>
      <c r="Z324" s="315">
        <v>5</v>
      </c>
      <c r="AA324" s="315" t="s">
        <v>1149</v>
      </c>
      <c r="AB324" s="315">
        <v>0</v>
      </c>
      <c r="AC324" s="315" t="s">
        <v>1157</v>
      </c>
    </row>
    <row r="325" spans="1:29">
      <c r="A325" s="315" t="s">
        <v>1145</v>
      </c>
      <c r="B325" s="315" t="s">
        <v>1624</v>
      </c>
      <c r="C325" s="329">
        <v>4.8011813756613702</v>
      </c>
      <c r="D325" s="329">
        <v>114.09</v>
      </c>
      <c r="E325" s="316" t="s">
        <v>1636</v>
      </c>
      <c r="F325" s="316" t="s">
        <v>1636</v>
      </c>
      <c r="G325" s="317">
        <v>1.0311496397132771</v>
      </c>
      <c r="H325" s="317">
        <v>0.50718859999999999</v>
      </c>
      <c r="I325" s="317">
        <v>0.51138949999999994</v>
      </c>
      <c r="J325" s="317">
        <v>0.51138949999999994</v>
      </c>
      <c r="K325" s="318">
        <v>49.59411130107145</v>
      </c>
      <c r="L325" s="318">
        <v>51.838038780633298</v>
      </c>
      <c r="M325" s="319">
        <v>43.670434059763501</v>
      </c>
      <c r="N325" s="319">
        <v>-5.9236772413079493</v>
      </c>
      <c r="O325" s="319">
        <f t="shared" si="5"/>
        <v>0</v>
      </c>
      <c r="P325" s="317">
        <v>0</v>
      </c>
      <c r="Q325" s="315" t="s">
        <v>1148</v>
      </c>
      <c r="R325" s="318">
        <v>188.59200000000001</v>
      </c>
      <c r="T325" s="320">
        <v>86.995555555555555</v>
      </c>
      <c r="U325" s="318">
        <v>39.9</v>
      </c>
      <c r="V325" s="318">
        <v>40</v>
      </c>
      <c r="W325" s="318">
        <v>99</v>
      </c>
      <c r="X325" s="315">
        <v>0.2</v>
      </c>
      <c r="Y325" s="318">
        <v>500</v>
      </c>
      <c r="Z325" s="315">
        <v>2</v>
      </c>
      <c r="AA325" s="315" t="s">
        <v>1149</v>
      </c>
      <c r="AB325" s="315">
        <v>0</v>
      </c>
      <c r="AC325" s="315" t="s">
        <v>1157</v>
      </c>
    </row>
    <row r="326" spans="1:29">
      <c r="A326" s="315" t="s">
        <v>1145</v>
      </c>
      <c r="B326" s="315" t="s">
        <v>1624</v>
      </c>
      <c r="C326" s="329">
        <v>4.8006850343915302</v>
      </c>
      <c r="D326" s="329">
        <v>114.09</v>
      </c>
      <c r="E326" s="316" t="s">
        <v>1637</v>
      </c>
      <c r="F326" s="316" t="s">
        <v>1637</v>
      </c>
      <c r="G326" s="317">
        <v>2.5955594656620891</v>
      </c>
      <c r="H326" s="317">
        <v>0.4600071</v>
      </c>
      <c r="I326" s="317">
        <v>0.60455959999999997</v>
      </c>
      <c r="J326" s="317">
        <v>0.65816795422727259</v>
      </c>
      <c r="K326" s="318">
        <v>25.357460036438951</v>
      </c>
      <c r="L326" s="318">
        <v>52.141785735661202</v>
      </c>
      <c r="M326" s="319">
        <v>43.426429005616498</v>
      </c>
      <c r="N326" s="319">
        <v>18.068968969177547</v>
      </c>
      <c r="O326" s="319">
        <f t="shared" si="5"/>
        <v>18.068968969177547</v>
      </c>
      <c r="P326" s="317">
        <v>0.46899083442703338</v>
      </c>
      <c r="Q326" s="315" t="s">
        <v>1148</v>
      </c>
      <c r="R326" s="318">
        <v>188.59200000000001</v>
      </c>
      <c r="T326" s="320">
        <v>86.995555555555555</v>
      </c>
      <c r="U326" s="318">
        <v>39.9</v>
      </c>
      <c r="V326" s="318">
        <v>38</v>
      </c>
      <c r="W326" s="318">
        <v>57</v>
      </c>
      <c r="X326" s="315">
        <v>0.21</v>
      </c>
      <c r="Y326" s="318">
        <v>300</v>
      </c>
      <c r="Z326" s="315">
        <v>5</v>
      </c>
      <c r="AA326" s="315" t="s">
        <v>1149</v>
      </c>
      <c r="AB326" s="315">
        <v>0</v>
      </c>
      <c r="AC326" s="315" t="s">
        <v>1157</v>
      </c>
    </row>
    <row r="327" spans="1:29">
      <c r="A327" s="315" t="s">
        <v>1145</v>
      </c>
      <c r="B327" s="315" t="s">
        <v>1624</v>
      </c>
      <c r="C327" s="329">
        <v>4.8001886931216902</v>
      </c>
      <c r="D327" s="329">
        <v>114.09</v>
      </c>
      <c r="E327" s="316" t="s">
        <v>1638</v>
      </c>
      <c r="F327" s="316" t="s">
        <v>1638</v>
      </c>
      <c r="G327" s="317">
        <v>0.94452640439003355</v>
      </c>
      <c r="H327" s="317">
        <v>0.71634739999999997</v>
      </c>
      <c r="I327" s="317">
        <v>0.72110239999999992</v>
      </c>
      <c r="J327" s="317">
        <v>0.72110239999999992</v>
      </c>
      <c r="K327" s="318">
        <v>76.345393484863052</v>
      </c>
      <c r="L327" s="318">
        <v>56.571521176932997</v>
      </c>
      <c r="M327" s="319">
        <v>42.505933873061004</v>
      </c>
      <c r="N327" s="319">
        <v>-33.839459611802049</v>
      </c>
      <c r="O327" s="319">
        <f t="shared" si="5"/>
        <v>0</v>
      </c>
      <c r="P327" s="317">
        <v>0</v>
      </c>
      <c r="Q327" s="315" t="s">
        <v>1148</v>
      </c>
      <c r="R327" s="318">
        <v>188.59200000000001</v>
      </c>
      <c r="T327" s="320">
        <v>86.995555555555555</v>
      </c>
      <c r="U327" s="318">
        <v>39.9</v>
      </c>
      <c r="V327" s="318">
        <v>15</v>
      </c>
      <c r="W327" s="318">
        <v>109</v>
      </c>
      <c r="X327" s="315">
        <v>0.21</v>
      </c>
      <c r="Y327" s="318">
        <v>500</v>
      </c>
      <c r="Z327" s="315">
        <v>2</v>
      </c>
      <c r="AA327" s="315" t="s">
        <v>1149</v>
      </c>
      <c r="AB327" s="315">
        <v>0</v>
      </c>
      <c r="AC327" s="315" t="s">
        <v>1157</v>
      </c>
    </row>
    <row r="328" spans="1:29">
      <c r="A328" s="315" t="s">
        <v>1145</v>
      </c>
      <c r="B328" s="315" t="s">
        <v>1624</v>
      </c>
      <c r="C328" s="329">
        <v>4.7996923518518404</v>
      </c>
      <c r="D328" s="329">
        <v>114.09</v>
      </c>
      <c r="E328" s="316" t="s">
        <v>1639</v>
      </c>
      <c r="F328" s="316" t="s">
        <v>1639</v>
      </c>
      <c r="G328" s="317">
        <v>0.39872284200032354</v>
      </c>
      <c r="H328" s="317">
        <v>9.5474900000000001E-2</v>
      </c>
      <c r="I328" s="317">
        <v>9.6256800000000003E-2</v>
      </c>
      <c r="J328" s="317">
        <v>0.52512363381818072</v>
      </c>
      <c r="K328" s="318">
        <v>131.70141725107251</v>
      </c>
      <c r="L328" s="318">
        <v>56.306700662101797</v>
      </c>
      <c r="M328" s="319">
        <v>42.441347572562997</v>
      </c>
      <c r="N328" s="319">
        <v>-89.260069678509524</v>
      </c>
      <c r="O328" s="319">
        <f t="shared" si="5"/>
        <v>0</v>
      </c>
      <c r="P328" s="317">
        <v>0</v>
      </c>
      <c r="Q328" s="315" t="s">
        <v>1148</v>
      </c>
      <c r="R328" s="318">
        <v>193.99199999999999</v>
      </c>
      <c r="T328" s="320">
        <v>89.995555555555541</v>
      </c>
      <c r="U328" s="318">
        <v>39.700000000000003</v>
      </c>
      <c r="V328" s="318">
        <v>24</v>
      </c>
      <c r="W328" s="318">
        <v>59</v>
      </c>
      <c r="X328" s="315">
        <v>0.2</v>
      </c>
      <c r="Y328" s="318">
        <v>400</v>
      </c>
      <c r="Z328" s="315">
        <v>1</v>
      </c>
      <c r="AA328" s="315" t="s">
        <v>1149</v>
      </c>
      <c r="AB328" s="315">
        <v>0</v>
      </c>
      <c r="AC328" s="315" t="s">
        <v>1157</v>
      </c>
    </row>
    <row r="329" spans="1:29">
      <c r="A329" s="315" t="s">
        <v>1145</v>
      </c>
      <c r="B329" s="315" t="s">
        <v>1624</v>
      </c>
      <c r="C329" s="329">
        <v>4.7991960105820004</v>
      </c>
      <c r="D329" s="329">
        <v>114.09</v>
      </c>
      <c r="E329" s="316" t="s">
        <v>1640</v>
      </c>
      <c r="F329" s="316" t="s">
        <v>1640</v>
      </c>
      <c r="G329" s="317">
        <v>12.649243052914827</v>
      </c>
      <c r="H329" s="317">
        <v>2.8347642999999998</v>
      </c>
      <c r="I329" s="317">
        <v>3.1359301999999998</v>
      </c>
      <c r="J329" s="317">
        <v>3.1359301999999998</v>
      </c>
      <c r="K329" s="318">
        <v>24.79144551876859</v>
      </c>
      <c r="L329" s="318">
        <v>48.223147746737602</v>
      </c>
      <c r="M329" s="319">
        <v>44.530402873673204</v>
      </c>
      <c r="N329" s="319">
        <v>19.738957354904613</v>
      </c>
      <c r="O329" s="319">
        <f t="shared" si="5"/>
        <v>19.738957354904613</v>
      </c>
      <c r="P329" s="317">
        <v>2.496828691933092</v>
      </c>
      <c r="Q329" s="315" t="s">
        <v>1148</v>
      </c>
      <c r="R329" s="318">
        <v>195</v>
      </c>
      <c r="T329" s="320">
        <v>90.555555555555557</v>
      </c>
      <c r="U329" s="318">
        <v>39.700000000000003</v>
      </c>
      <c r="V329" s="318">
        <v>55</v>
      </c>
      <c r="W329" s="318">
        <v>195</v>
      </c>
      <c r="X329" s="315">
        <v>0.22</v>
      </c>
      <c r="Y329" s="318">
        <v>1000</v>
      </c>
      <c r="Z329" s="315">
        <v>3</v>
      </c>
      <c r="AA329" s="315" t="s">
        <v>1149</v>
      </c>
      <c r="AB329" s="315">
        <v>0</v>
      </c>
      <c r="AC329" s="315" t="s">
        <v>1157</v>
      </c>
    </row>
    <row r="330" spans="1:29">
      <c r="A330" s="315" t="s">
        <v>1145</v>
      </c>
      <c r="B330" s="315" t="s">
        <v>1624</v>
      </c>
      <c r="C330" s="329">
        <v>4.7986996693121604</v>
      </c>
      <c r="D330" s="329">
        <v>114.09</v>
      </c>
      <c r="E330" s="316" t="s">
        <v>1641</v>
      </c>
      <c r="F330" s="316" t="s">
        <v>1641</v>
      </c>
      <c r="G330" s="317">
        <v>36.533891846546915</v>
      </c>
      <c r="H330" s="317">
        <v>14.7765041</v>
      </c>
      <c r="I330" s="317">
        <v>15.5673133</v>
      </c>
      <c r="J330" s="317">
        <v>15.5673133</v>
      </c>
      <c r="K330" s="318">
        <v>42.610607611659042</v>
      </c>
      <c r="L330" s="318">
        <v>44.147731100082801</v>
      </c>
      <c r="M330" s="319">
        <v>45.8595329749472</v>
      </c>
      <c r="N330" s="319">
        <v>3.2489253632881585</v>
      </c>
      <c r="O330" s="319">
        <f t="shared" si="5"/>
        <v>3.2489253632881585</v>
      </c>
      <c r="P330" s="317">
        <v>1.1869588783987273</v>
      </c>
      <c r="Q330" s="315" t="s">
        <v>1148</v>
      </c>
      <c r="R330" s="318">
        <v>200</v>
      </c>
      <c r="T330" s="320">
        <v>93.333333333333329</v>
      </c>
      <c r="U330" s="318">
        <v>39.700000000000003</v>
      </c>
      <c r="V330" s="318">
        <v>45</v>
      </c>
      <c r="W330" s="318">
        <v>0</v>
      </c>
      <c r="X330" s="315">
        <v>0.21</v>
      </c>
      <c r="Y330" s="318">
        <v>500</v>
      </c>
      <c r="Z330" s="315">
        <v>0</v>
      </c>
      <c r="AA330" s="315" t="s">
        <v>1149</v>
      </c>
      <c r="AB330" s="315">
        <v>0</v>
      </c>
      <c r="AC330" s="315" t="s">
        <v>1157</v>
      </c>
    </row>
    <row r="331" spans="1:29">
      <c r="A331" s="315" t="s">
        <v>1145</v>
      </c>
      <c r="B331" s="315" t="s">
        <v>1642</v>
      </c>
      <c r="C331" s="329">
        <v>3.7580227777777702</v>
      </c>
      <c r="D331" s="329">
        <v>112.1</v>
      </c>
      <c r="E331" s="316" t="s">
        <v>1643</v>
      </c>
      <c r="F331" s="316" t="s">
        <v>1643</v>
      </c>
      <c r="G331" s="317">
        <v>50.9244895</v>
      </c>
      <c r="H331" s="317">
        <v>12.470132974578288</v>
      </c>
      <c r="I331" s="317">
        <v>13.344124074578287</v>
      </c>
      <c r="J331" s="317">
        <v>14.278385674578288</v>
      </c>
      <c r="K331" s="318">
        <v>28.038348179373084</v>
      </c>
      <c r="L331" s="318">
        <v>68.589110775062196</v>
      </c>
      <c r="M331" s="319">
        <v>33.321858032740799</v>
      </c>
      <c r="N331" s="319">
        <v>5.2835098533677147</v>
      </c>
      <c r="O331" s="319">
        <f t="shared" si="5"/>
        <v>5.2835098533677147</v>
      </c>
      <c r="P331" s="317">
        <v>2.6906004205097074</v>
      </c>
      <c r="Q331" s="315" t="s">
        <v>1148</v>
      </c>
      <c r="R331" s="318">
        <v>198</v>
      </c>
      <c r="T331" s="320">
        <v>92.222222222222229</v>
      </c>
      <c r="U331" s="318">
        <v>40.299999999999997</v>
      </c>
      <c r="V331" s="318">
        <v>89</v>
      </c>
      <c r="W331" s="318">
        <v>194</v>
      </c>
      <c r="X331" s="315">
        <v>0.24</v>
      </c>
      <c r="Y331" s="318">
        <v>852</v>
      </c>
      <c r="Z331" s="315">
        <v>2</v>
      </c>
      <c r="AA331" s="315" t="s">
        <v>1149</v>
      </c>
      <c r="AB331" s="315">
        <v>0</v>
      </c>
      <c r="AC331" s="315" t="s">
        <v>1157</v>
      </c>
    </row>
    <row r="332" spans="1:29">
      <c r="A332" s="315" t="s">
        <v>1145</v>
      </c>
      <c r="B332" s="315" t="s">
        <v>1642</v>
      </c>
      <c r="C332" s="329">
        <v>3.7580227777777702</v>
      </c>
      <c r="D332" s="329">
        <v>112.1</v>
      </c>
      <c r="E332" s="316" t="s">
        <v>1644</v>
      </c>
      <c r="F332" s="316" t="s">
        <v>1644</v>
      </c>
      <c r="G332" s="317">
        <v>41.2788945</v>
      </c>
      <c r="H332" s="317">
        <v>4.5871420386535222</v>
      </c>
      <c r="I332" s="317">
        <v>4.5871420386535222</v>
      </c>
      <c r="J332" s="317">
        <v>4.9955018386535226</v>
      </c>
      <c r="K332" s="318">
        <v>12.101830485439775</v>
      </c>
      <c r="L332" s="318">
        <v>70.165666521661905</v>
      </c>
      <c r="M332" s="319">
        <v>33.163000983025199</v>
      </c>
      <c r="N332" s="319">
        <v>21.061170497585422</v>
      </c>
      <c r="O332" s="319">
        <f t="shared" si="5"/>
        <v>21.061170497585422</v>
      </c>
      <c r="P332" s="317">
        <v>8.6938183501634114</v>
      </c>
      <c r="Q332" s="315" t="s">
        <v>1148</v>
      </c>
      <c r="R332" s="318">
        <v>198</v>
      </c>
      <c r="T332" s="320">
        <v>92.222222222222229</v>
      </c>
      <c r="U332" s="318">
        <v>40.299999999999997</v>
      </c>
      <c r="V332" s="318">
        <v>138</v>
      </c>
      <c r="W332" s="318">
        <v>106.5</v>
      </c>
      <c r="X332" s="315">
        <v>0.22</v>
      </c>
      <c r="Y332" s="318">
        <v>1000</v>
      </c>
      <c r="Z332" s="315">
        <v>8</v>
      </c>
      <c r="AA332" s="315" t="s">
        <v>1149</v>
      </c>
      <c r="AB332" s="315">
        <v>0</v>
      </c>
      <c r="AC332" s="315" t="s">
        <v>1157</v>
      </c>
    </row>
    <row r="333" spans="1:29">
      <c r="A333" s="315" t="s">
        <v>1145</v>
      </c>
      <c r="B333" s="315" t="s">
        <v>1642</v>
      </c>
      <c r="C333" s="329">
        <v>3.7580227777777702</v>
      </c>
      <c r="D333" s="329">
        <v>112.1</v>
      </c>
      <c r="E333" s="316" t="s">
        <v>1645</v>
      </c>
      <c r="F333" s="316" t="s">
        <v>1645</v>
      </c>
      <c r="G333" s="317">
        <v>15.396225400000001</v>
      </c>
      <c r="H333" s="317">
        <v>3.5251064660481464</v>
      </c>
      <c r="I333" s="317">
        <v>3.6430579660481466</v>
      </c>
      <c r="J333" s="317">
        <v>3.9347438660481466</v>
      </c>
      <c r="K333" s="318">
        <v>25.556548854163609</v>
      </c>
      <c r="L333" s="318">
        <v>71.574671820540004</v>
      </c>
      <c r="M333" s="319">
        <v>32.078500301417399</v>
      </c>
      <c r="N333" s="319">
        <v>6.5219514472537909</v>
      </c>
      <c r="O333" s="319">
        <f t="shared" si="5"/>
        <v>6.5219514472537909</v>
      </c>
      <c r="P333" s="317">
        <v>1.0041343452977558</v>
      </c>
      <c r="Q333" s="315" t="s">
        <v>1148</v>
      </c>
      <c r="R333" s="318">
        <v>198</v>
      </c>
      <c r="T333" s="320">
        <v>92.222222222222229</v>
      </c>
      <c r="U333" s="318">
        <v>40.299999999999997</v>
      </c>
      <c r="V333" s="318">
        <v>150</v>
      </c>
      <c r="W333" s="318">
        <v>22</v>
      </c>
      <c r="X333" s="315">
        <v>0.24</v>
      </c>
      <c r="Y333" s="318">
        <v>700</v>
      </c>
      <c r="Z333" s="315">
        <v>4</v>
      </c>
      <c r="AA333" s="315" t="s">
        <v>1149</v>
      </c>
      <c r="AB333" s="315">
        <v>0</v>
      </c>
      <c r="AC333" s="315" t="s">
        <v>1157</v>
      </c>
    </row>
    <row r="334" spans="1:29">
      <c r="A334" s="315" t="s">
        <v>1222</v>
      </c>
      <c r="B334" s="315" t="s">
        <v>1647</v>
      </c>
      <c r="C334" s="329"/>
      <c r="D334" s="329"/>
      <c r="E334" s="316" t="s">
        <v>1648</v>
      </c>
      <c r="F334" s="316" t="s">
        <v>1648</v>
      </c>
      <c r="G334" s="317">
        <v>79.5</v>
      </c>
      <c r="H334" s="317">
        <v>0</v>
      </c>
      <c r="I334" s="317">
        <v>0</v>
      </c>
      <c r="J334" s="317">
        <v>0</v>
      </c>
      <c r="K334" s="318">
        <v>0</v>
      </c>
      <c r="L334" s="318">
        <v>49.945682484710098</v>
      </c>
      <c r="M334" s="319">
        <v>40.964125959821203</v>
      </c>
      <c r="N334" s="319">
        <v>40.964125959821203</v>
      </c>
      <c r="O334" s="319">
        <f t="shared" si="5"/>
        <v>40.964125959821203</v>
      </c>
      <c r="P334" s="317">
        <v>32.566480138057855</v>
      </c>
      <c r="Q334" s="315" t="s">
        <v>1168</v>
      </c>
      <c r="R334" s="318">
        <v>141</v>
      </c>
      <c r="T334" s="320">
        <v>60.555555555555557</v>
      </c>
      <c r="U334" s="318">
        <v>30.6</v>
      </c>
      <c r="V334" s="318">
        <v>185.69554400000001</v>
      </c>
      <c r="W334" s="318">
        <v>45.603676</v>
      </c>
      <c r="X334" s="315">
        <v>0.28000000000000003</v>
      </c>
      <c r="Y334" s="318">
        <v>2250</v>
      </c>
      <c r="Z334" s="315">
        <v>10</v>
      </c>
      <c r="AA334" s="315" t="s">
        <v>1440</v>
      </c>
      <c r="AB334" s="315">
        <v>3</v>
      </c>
      <c r="AC334" s="315" t="s">
        <v>1157</v>
      </c>
    </row>
    <row r="335" spans="1:29">
      <c r="A335" s="315" t="s">
        <v>1222</v>
      </c>
      <c r="B335" s="315" t="s">
        <v>1647</v>
      </c>
      <c r="C335" s="329"/>
      <c r="D335" s="329"/>
      <c r="E335" s="316" t="s">
        <v>1650</v>
      </c>
      <c r="F335" s="316" t="s">
        <v>1650</v>
      </c>
      <c r="G335" s="317">
        <v>62.85</v>
      </c>
      <c r="H335" s="317">
        <v>0</v>
      </c>
      <c r="I335" s="317">
        <v>0</v>
      </c>
      <c r="J335" s="317">
        <v>0</v>
      </c>
      <c r="K335" s="318">
        <v>0</v>
      </c>
      <c r="L335" s="318">
        <v>47.9449597859684</v>
      </c>
      <c r="M335" s="319">
        <v>40.436755648615502</v>
      </c>
      <c r="N335" s="319">
        <v>40.436755648615502</v>
      </c>
      <c r="O335" s="319">
        <f t="shared" si="5"/>
        <v>40.436755648615502</v>
      </c>
      <c r="P335" s="317">
        <v>25.414500925154844</v>
      </c>
      <c r="Q335" s="315" t="s">
        <v>1168</v>
      </c>
      <c r="R335" s="318">
        <v>143</v>
      </c>
      <c r="T335" s="320">
        <v>61.666666666666664</v>
      </c>
      <c r="U335" s="318">
        <v>30.6</v>
      </c>
      <c r="V335" s="318">
        <v>134.51444000000001</v>
      </c>
      <c r="W335" s="318">
        <v>52.821524000000004</v>
      </c>
      <c r="X335" s="315">
        <v>0.28000000000000003</v>
      </c>
      <c r="Y335" s="318">
        <v>1660</v>
      </c>
      <c r="Z335" s="315">
        <v>10</v>
      </c>
      <c r="AA335" s="315" t="s">
        <v>1440</v>
      </c>
      <c r="AB335" s="315">
        <v>3</v>
      </c>
      <c r="AC335" s="315" t="s">
        <v>1157</v>
      </c>
    </row>
    <row r="336" spans="1:29">
      <c r="A336" s="315" t="s">
        <v>1222</v>
      </c>
      <c r="B336" s="315" t="s">
        <v>1647</v>
      </c>
      <c r="C336" s="329"/>
      <c r="D336" s="329"/>
      <c r="E336" s="316" t="s">
        <v>1651</v>
      </c>
      <c r="F336" s="316" t="s">
        <v>1651</v>
      </c>
      <c r="G336" s="317">
        <v>14.51</v>
      </c>
      <c r="H336" s="317">
        <v>0</v>
      </c>
      <c r="I336" s="317">
        <v>0</v>
      </c>
      <c r="J336" s="317">
        <v>0</v>
      </c>
      <c r="K336" s="318">
        <v>0</v>
      </c>
      <c r="L336" s="318">
        <v>50.035215389736003</v>
      </c>
      <c r="M336" s="319">
        <v>39.2832484736429</v>
      </c>
      <c r="N336" s="319">
        <v>39.2832484736429</v>
      </c>
      <c r="O336" s="319">
        <f t="shared" si="5"/>
        <v>39.2832484736429</v>
      </c>
      <c r="P336" s="317">
        <v>5.6999993535255848</v>
      </c>
      <c r="Q336" s="315" t="s">
        <v>1168</v>
      </c>
      <c r="R336" s="318">
        <v>144</v>
      </c>
      <c r="T336" s="320">
        <v>62.222222222222221</v>
      </c>
      <c r="U336" s="318">
        <v>30.6</v>
      </c>
      <c r="V336" s="318">
        <v>52.165356000000003</v>
      </c>
      <c r="W336" s="318">
        <v>11.811024</v>
      </c>
      <c r="X336" s="315">
        <v>0.27</v>
      </c>
      <c r="Y336" s="318">
        <v>1120</v>
      </c>
      <c r="Z336" s="315">
        <v>10</v>
      </c>
      <c r="AA336" s="315" t="s">
        <v>1440</v>
      </c>
      <c r="AB336" s="315">
        <v>3</v>
      </c>
      <c r="AC336" s="315" t="s">
        <v>1157</v>
      </c>
    </row>
    <row r="337" spans="1:29">
      <c r="A337" s="315" t="s">
        <v>1222</v>
      </c>
      <c r="B337" s="315" t="s">
        <v>1647</v>
      </c>
      <c r="C337" s="329"/>
      <c r="D337" s="329"/>
      <c r="E337" s="316" t="s">
        <v>1652</v>
      </c>
      <c r="F337" s="316" t="s">
        <v>1652</v>
      </c>
      <c r="G337" s="317">
        <v>86.2</v>
      </c>
      <c r="H337" s="317">
        <v>0</v>
      </c>
      <c r="I337" s="317">
        <v>0</v>
      </c>
      <c r="J337" s="317">
        <v>0</v>
      </c>
      <c r="K337" s="318">
        <v>0</v>
      </c>
      <c r="L337" s="318">
        <v>54.674557853337497</v>
      </c>
      <c r="M337" s="319">
        <v>39.446112209329002</v>
      </c>
      <c r="N337" s="319">
        <v>39.446112209329002</v>
      </c>
      <c r="O337" s="319">
        <f t="shared" si="5"/>
        <v>39.446112209329002</v>
      </c>
      <c r="P337" s="317">
        <v>34.002548724441603</v>
      </c>
      <c r="Q337" s="315" t="s">
        <v>1168</v>
      </c>
      <c r="R337" s="318">
        <v>145</v>
      </c>
      <c r="T337" s="320">
        <v>62.777777777777779</v>
      </c>
      <c r="U337" s="318">
        <v>30</v>
      </c>
      <c r="V337" s="318">
        <v>323.16273999999999</v>
      </c>
      <c r="W337" s="318">
        <v>23.950132</v>
      </c>
      <c r="X337" s="315">
        <v>0.26</v>
      </c>
      <c r="Y337" s="318">
        <v>760</v>
      </c>
      <c r="Z337" s="315">
        <v>10</v>
      </c>
      <c r="AA337" s="315" t="s">
        <v>1440</v>
      </c>
      <c r="AB337" s="315">
        <v>3</v>
      </c>
      <c r="AC337" s="315" t="s">
        <v>1157</v>
      </c>
    </row>
    <row r="338" spans="1:29">
      <c r="A338" s="315" t="s">
        <v>1222</v>
      </c>
      <c r="B338" s="315" t="s">
        <v>1647</v>
      </c>
      <c r="C338" s="329"/>
      <c r="D338" s="329"/>
      <c r="E338" s="316" t="s">
        <v>1653</v>
      </c>
      <c r="F338" s="316" t="s">
        <v>1653</v>
      </c>
      <c r="G338" s="317">
        <v>60.47</v>
      </c>
      <c r="H338" s="317">
        <v>0</v>
      </c>
      <c r="I338" s="317">
        <v>0</v>
      </c>
      <c r="J338" s="317">
        <v>0</v>
      </c>
      <c r="K338" s="318">
        <v>0</v>
      </c>
      <c r="L338" s="318">
        <v>46.224129375787903</v>
      </c>
      <c r="M338" s="319">
        <v>42.636375178047096</v>
      </c>
      <c r="N338" s="319">
        <v>42.636375178047096</v>
      </c>
      <c r="O338" s="319">
        <f t="shared" si="5"/>
        <v>42.636375178047096</v>
      </c>
      <c r="P338" s="317">
        <v>25.782216070165081</v>
      </c>
      <c r="Q338" s="315" t="s">
        <v>1168</v>
      </c>
      <c r="R338" s="318">
        <v>148</v>
      </c>
      <c r="T338" s="320">
        <v>64.444444444444443</v>
      </c>
      <c r="U338" s="318">
        <v>30</v>
      </c>
      <c r="V338" s="318">
        <v>241.79790800000001</v>
      </c>
      <c r="W338" s="318">
        <v>33.792652000000004</v>
      </c>
      <c r="X338" s="315">
        <v>0.26</v>
      </c>
      <c r="Y338" s="318">
        <v>730</v>
      </c>
      <c r="Z338" s="315">
        <v>10</v>
      </c>
      <c r="AA338" s="315" t="s">
        <v>1440</v>
      </c>
      <c r="AB338" s="315">
        <v>3</v>
      </c>
      <c r="AC338" s="315" t="s">
        <v>1157</v>
      </c>
    </row>
    <row r="339" spans="1:29">
      <c r="A339" s="315" t="s">
        <v>1222</v>
      </c>
      <c r="B339" s="315" t="s">
        <v>1647</v>
      </c>
      <c r="C339" s="329"/>
      <c r="D339" s="329"/>
      <c r="E339" s="316" t="s">
        <v>1654</v>
      </c>
      <c r="F339" s="316" t="s">
        <v>1654</v>
      </c>
      <c r="G339" s="317">
        <v>10.06</v>
      </c>
      <c r="H339" s="317">
        <v>0</v>
      </c>
      <c r="I339" s="317">
        <v>0</v>
      </c>
      <c r="J339" s="317">
        <v>0</v>
      </c>
      <c r="K339" s="318">
        <v>0</v>
      </c>
      <c r="L339" s="318">
        <v>50.9639827667147</v>
      </c>
      <c r="M339" s="319">
        <v>38.622132560089398</v>
      </c>
      <c r="N339" s="319">
        <v>38.622132560089398</v>
      </c>
      <c r="O339" s="319">
        <f t="shared" si="5"/>
        <v>38.622132560089398</v>
      </c>
      <c r="P339" s="317">
        <v>3.8853865355449932</v>
      </c>
      <c r="Q339" s="315" t="s">
        <v>1168</v>
      </c>
      <c r="R339" s="318">
        <v>151</v>
      </c>
      <c r="T339" s="320">
        <v>66.111111111111114</v>
      </c>
      <c r="U339" s="318">
        <v>30</v>
      </c>
      <c r="V339" s="318">
        <v>58.727035999999998</v>
      </c>
      <c r="W339" s="318">
        <v>6.8897640000000004</v>
      </c>
      <c r="X339" s="315">
        <v>0.23</v>
      </c>
      <c r="Y339" s="318">
        <v>150</v>
      </c>
      <c r="Z339" s="315">
        <v>10</v>
      </c>
      <c r="AA339" s="315" t="s">
        <v>1440</v>
      </c>
      <c r="AB339" s="315">
        <v>3</v>
      </c>
      <c r="AC339" s="315" t="s">
        <v>1157</v>
      </c>
    </row>
    <row r="340" spans="1:29">
      <c r="A340" s="315" t="s">
        <v>1222</v>
      </c>
      <c r="B340" s="315" t="s">
        <v>1647</v>
      </c>
      <c r="C340" s="329"/>
      <c r="D340" s="329"/>
      <c r="E340" s="316" t="s">
        <v>1655</v>
      </c>
      <c r="F340" s="316" t="s">
        <v>1655</v>
      </c>
      <c r="G340" s="317">
        <v>23.8</v>
      </c>
      <c r="H340" s="317">
        <v>0</v>
      </c>
      <c r="I340" s="317">
        <v>0</v>
      </c>
      <c r="J340" s="317">
        <v>0</v>
      </c>
      <c r="K340" s="318">
        <v>0</v>
      </c>
      <c r="L340" s="318">
        <v>49.703104517957797</v>
      </c>
      <c r="M340" s="319">
        <v>39.852426837633296</v>
      </c>
      <c r="N340" s="319">
        <v>39.852426837633296</v>
      </c>
      <c r="O340" s="319">
        <f t="shared" si="5"/>
        <v>39.852426837633296</v>
      </c>
      <c r="P340" s="317">
        <v>9.4848775873567259</v>
      </c>
      <c r="Q340" s="315" t="s">
        <v>1168</v>
      </c>
      <c r="R340" s="318">
        <v>151</v>
      </c>
      <c r="T340" s="320">
        <v>66.111111111111114</v>
      </c>
      <c r="U340" s="318">
        <v>30</v>
      </c>
      <c r="V340" s="318">
        <v>187.66404800000001</v>
      </c>
      <c r="W340" s="318">
        <v>12.467191999999999</v>
      </c>
      <c r="X340" s="315">
        <v>0.22</v>
      </c>
      <c r="Y340" s="318">
        <v>100</v>
      </c>
      <c r="Z340" s="315">
        <v>10</v>
      </c>
      <c r="AA340" s="315" t="s">
        <v>1440</v>
      </c>
      <c r="AB340" s="315">
        <v>3</v>
      </c>
      <c r="AC340" s="315" t="s">
        <v>1157</v>
      </c>
    </row>
    <row r="341" spans="1:29">
      <c r="A341" s="315" t="s">
        <v>1222</v>
      </c>
      <c r="B341" s="315" t="s">
        <v>1647</v>
      </c>
      <c r="C341" s="329"/>
      <c r="D341" s="329"/>
      <c r="E341" s="316" t="s">
        <v>1656</v>
      </c>
      <c r="F341" s="316" t="s">
        <v>1656</v>
      </c>
      <c r="G341" s="317">
        <v>5.57</v>
      </c>
      <c r="H341" s="317">
        <v>0</v>
      </c>
      <c r="I341" s="317">
        <v>0</v>
      </c>
      <c r="J341" s="317">
        <v>0</v>
      </c>
      <c r="K341" s="318">
        <v>0</v>
      </c>
      <c r="L341" s="318">
        <v>47.429280114298201</v>
      </c>
      <c r="M341" s="319">
        <v>40.093418916398896</v>
      </c>
      <c r="N341" s="319">
        <v>40.093418916398896</v>
      </c>
      <c r="O341" s="319">
        <f t="shared" si="5"/>
        <v>40.093418916398896</v>
      </c>
      <c r="P341" s="317">
        <v>2.2332034336434186</v>
      </c>
      <c r="Q341" s="315" t="s">
        <v>1168</v>
      </c>
      <c r="R341" s="318">
        <v>154</v>
      </c>
      <c r="T341" s="320">
        <v>67.777777777777771</v>
      </c>
      <c r="U341" s="318">
        <v>30</v>
      </c>
      <c r="V341" s="318">
        <v>68.241472000000002</v>
      </c>
      <c r="W341" s="318">
        <v>2.9527559999999999</v>
      </c>
      <c r="X341" s="315">
        <v>0.19</v>
      </c>
      <c r="Y341" s="318">
        <v>15</v>
      </c>
      <c r="Z341" s="315">
        <v>10</v>
      </c>
      <c r="AA341" s="315" t="s">
        <v>1440</v>
      </c>
      <c r="AB341" s="315">
        <v>3</v>
      </c>
      <c r="AC341" s="315" t="s">
        <v>1157</v>
      </c>
    </row>
    <row r="342" spans="1:29">
      <c r="A342" s="315" t="s">
        <v>1222</v>
      </c>
      <c r="B342" s="315" t="s">
        <v>1647</v>
      </c>
      <c r="C342" s="329"/>
      <c r="D342" s="329"/>
      <c r="E342" s="316" t="s">
        <v>1657</v>
      </c>
      <c r="F342" s="316" t="s">
        <v>1657</v>
      </c>
      <c r="G342" s="317">
        <v>16.399999999999999</v>
      </c>
      <c r="H342" s="317">
        <v>0</v>
      </c>
      <c r="I342" s="317">
        <v>0</v>
      </c>
      <c r="J342" s="317">
        <v>0</v>
      </c>
      <c r="K342" s="318">
        <v>0</v>
      </c>
      <c r="L342" s="318">
        <v>54.3522445171972</v>
      </c>
      <c r="M342" s="319">
        <v>38.1494480392521</v>
      </c>
      <c r="N342" s="319">
        <v>38.1494480392521</v>
      </c>
      <c r="O342" s="319">
        <f t="shared" si="5"/>
        <v>38.1494480392521</v>
      </c>
      <c r="P342" s="317">
        <v>6.2565094784373434</v>
      </c>
      <c r="Q342" s="315" t="s">
        <v>1168</v>
      </c>
      <c r="R342" s="318">
        <v>154</v>
      </c>
      <c r="T342" s="320">
        <v>67.777777777777771</v>
      </c>
      <c r="U342" s="318">
        <v>30</v>
      </c>
      <c r="V342" s="318">
        <v>157.15223599999999</v>
      </c>
      <c r="W342" s="318">
        <v>5.9055119999999999</v>
      </c>
      <c r="X342" s="315">
        <v>0.2</v>
      </c>
      <c r="Y342" s="318">
        <v>60</v>
      </c>
      <c r="Z342" s="315">
        <v>10</v>
      </c>
      <c r="AA342" s="315" t="s">
        <v>1440</v>
      </c>
      <c r="AB342" s="315">
        <v>3</v>
      </c>
      <c r="AC342" s="315" t="s">
        <v>1157</v>
      </c>
    </row>
    <row r="343" spans="1:29">
      <c r="A343" s="315" t="s">
        <v>1222</v>
      </c>
      <c r="B343" s="315" t="s">
        <v>1647</v>
      </c>
      <c r="C343" s="329"/>
      <c r="D343" s="329"/>
      <c r="E343" s="316" t="s">
        <v>1658</v>
      </c>
      <c r="F343" s="316" t="s">
        <v>1658</v>
      </c>
      <c r="G343" s="317">
        <v>0.02</v>
      </c>
      <c r="H343" s="317">
        <v>0</v>
      </c>
      <c r="I343" s="317">
        <v>0</v>
      </c>
      <c r="J343" s="317">
        <v>0</v>
      </c>
      <c r="K343" s="318">
        <v>0</v>
      </c>
      <c r="L343" s="318">
        <v>51.4580941005512</v>
      </c>
      <c r="M343" s="319">
        <v>38.691470039909198</v>
      </c>
      <c r="N343" s="319">
        <v>38.691470039909198</v>
      </c>
      <c r="O343" s="319">
        <f t="shared" si="5"/>
        <v>38.691470039909198</v>
      </c>
      <c r="P343" s="317">
        <v>7.7382940079818397E-3</v>
      </c>
      <c r="Q343" s="315" t="s">
        <v>1168</v>
      </c>
      <c r="R343" s="318">
        <v>156</v>
      </c>
      <c r="T343" s="320">
        <v>68.888888888888886</v>
      </c>
      <c r="U343" s="318">
        <v>30</v>
      </c>
      <c r="V343" s="318">
        <v>131.2336</v>
      </c>
      <c r="W343" s="318">
        <v>10.498688000000001</v>
      </c>
      <c r="X343" s="315">
        <v>0.19</v>
      </c>
      <c r="Y343" s="318">
        <v>20</v>
      </c>
      <c r="Z343" s="315">
        <v>10</v>
      </c>
      <c r="AA343" s="315" t="s">
        <v>1440</v>
      </c>
      <c r="AB343" s="315">
        <v>3</v>
      </c>
      <c r="AC343" s="315" t="s">
        <v>1157</v>
      </c>
    </row>
    <row r="344" spans="1:29">
      <c r="A344" s="315" t="s">
        <v>1158</v>
      </c>
      <c r="B344" s="315" t="s">
        <v>1659</v>
      </c>
      <c r="C344" s="329"/>
      <c r="D344" s="329"/>
      <c r="E344" s="316" t="s">
        <v>1660</v>
      </c>
      <c r="F344" s="316" t="s">
        <v>1660</v>
      </c>
      <c r="G344" s="317">
        <v>21.9</v>
      </c>
      <c r="H344" s="317">
        <v>0</v>
      </c>
      <c r="I344" s="317">
        <v>0</v>
      </c>
      <c r="J344" s="317">
        <v>0</v>
      </c>
      <c r="K344" s="318">
        <v>0</v>
      </c>
      <c r="L344" s="318">
        <v>45.696002228166797</v>
      </c>
      <c r="M344" s="319">
        <v>41.490896200704405</v>
      </c>
      <c r="N344" s="319">
        <v>41.490896200704405</v>
      </c>
      <c r="O344" s="319">
        <f t="shared" si="5"/>
        <v>41.490896200704405</v>
      </c>
      <c r="P344" s="317">
        <v>9.086506267954265</v>
      </c>
      <c r="Q344" s="315" t="s">
        <v>1168</v>
      </c>
      <c r="R344" s="318">
        <v>117.45</v>
      </c>
      <c r="T344" s="320">
        <v>47.472222222222221</v>
      </c>
      <c r="U344" s="318">
        <v>29.8</v>
      </c>
      <c r="V344" s="318">
        <v>111.85257100000001</v>
      </c>
      <c r="W344" s="318">
        <v>40.461292000000007</v>
      </c>
      <c r="X344" s="315">
        <v>0.312</v>
      </c>
      <c r="Y344" s="318">
        <v>460.16300000000001</v>
      </c>
      <c r="Z344" s="315">
        <v>3</v>
      </c>
      <c r="AA344" s="315" t="s">
        <v>1149</v>
      </c>
      <c r="AB344" s="315">
        <v>0</v>
      </c>
      <c r="AC344" s="315" t="s">
        <v>1157</v>
      </c>
    </row>
    <row r="345" spans="1:29">
      <c r="A345" s="315" t="s">
        <v>1158</v>
      </c>
      <c r="B345" s="315" t="s">
        <v>1659</v>
      </c>
      <c r="C345" s="329"/>
      <c r="D345" s="329"/>
      <c r="E345" s="316" t="s">
        <v>1661</v>
      </c>
      <c r="F345" s="316" t="s">
        <v>1661</v>
      </c>
      <c r="G345" s="317">
        <v>42.79</v>
      </c>
      <c r="H345" s="317">
        <v>0</v>
      </c>
      <c r="I345" s="317">
        <v>0</v>
      </c>
      <c r="J345" s="317">
        <v>0</v>
      </c>
      <c r="K345" s="318">
        <v>0</v>
      </c>
      <c r="L345" s="318">
        <v>46.264026145952101</v>
      </c>
      <c r="M345" s="319">
        <v>42.001351956610399</v>
      </c>
      <c r="N345" s="319">
        <v>42.001351956610399</v>
      </c>
      <c r="O345" s="319">
        <f t="shared" si="5"/>
        <v>42.001351956610399</v>
      </c>
      <c r="P345" s="317">
        <v>17.972378502233589</v>
      </c>
      <c r="Q345" s="315" t="s">
        <v>1168</v>
      </c>
      <c r="R345" s="318">
        <v>120.13</v>
      </c>
      <c r="T345" s="320">
        <v>48.961111111111109</v>
      </c>
      <c r="U345" s="318">
        <v>29.8</v>
      </c>
      <c r="V345" s="318">
        <v>216.51318999999998</v>
      </c>
      <c r="W345" s="318">
        <v>73.061308000000011</v>
      </c>
      <c r="X345" s="315">
        <v>0.28499999999999998</v>
      </c>
      <c r="Y345" s="318">
        <v>258.01600000000002</v>
      </c>
      <c r="Z345" s="315">
        <v>3</v>
      </c>
      <c r="AA345" s="315" t="s">
        <v>1149</v>
      </c>
      <c r="AB345" s="315">
        <v>0</v>
      </c>
      <c r="AC345" s="315" t="s">
        <v>1157</v>
      </c>
    </row>
    <row r="346" spans="1:29">
      <c r="A346" s="315" t="s">
        <v>1158</v>
      </c>
      <c r="B346" s="315" t="s">
        <v>1659</v>
      </c>
      <c r="C346" s="329"/>
      <c r="D346" s="329"/>
      <c r="E346" s="316" t="s">
        <v>1662</v>
      </c>
      <c r="F346" s="316" t="s">
        <v>1662</v>
      </c>
      <c r="G346" s="317">
        <v>3.3</v>
      </c>
      <c r="H346" s="317">
        <v>0</v>
      </c>
      <c r="I346" s="317">
        <v>0</v>
      </c>
      <c r="J346" s="317">
        <v>0</v>
      </c>
      <c r="K346" s="318">
        <v>0</v>
      </c>
      <c r="L346" s="318">
        <v>51.497875049626899</v>
      </c>
      <c r="M346" s="319">
        <v>38.482686566502601</v>
      </c>
      <c r="N346" s="319">
        <v>38.482686566502601</v>
      </c>
      <c r="O346" s="319">
        <f t="shared" si="5"/>
        <v>38.482686566502601</v>
      </c>
      <c r="P346" s="317">
        <v>1.2699286566945858</v>
      </c>
      <c r="Q346" s="315" t="s">
        <v>1168</v>
      </c>
      <c r="R346" s="318">
        <v>159.75</v>
      </c>
      <c r="T346" s="320">
        <v>70.972222222222229</v>
      </c>
      <c r="U346" s="318">
        <v>31.6</v>
      </c>
      <c r="V346" s="318">
        <v>62.240569999999998</v>
      </c>
      <c r="W346" s="318">
        <v>8.3927979999999991</v>
      </c>
      <c r="X346" s="315">
        <v>0.185</v>
      </c>
      <c r="Y346" s="318">
        <v>23.465</v>
      </c>
      <c r="Z346" s="315">
        <v>3</v>
      </c>
      <c r="AA346" s="315" t="s">
        <v>1149</v>
      </c>
      <c r="AB346" s="315">
        <v>0</v>
      </c>
      <c r="AC346" s="315" t="s">
        <v>1157</v>
      </c>
    </row>
    <row r="347" spans="1:29">
      <c r="A347" s="315" t="s">
        <v>1158</v>
      </c>
      <c r="B347" s="315" t="s">
        <v>1659</v>
      </c>
      <c r="C347" s="329"/>
      <c r="D347" s="329"/>
      <c r="E347" s="316" t="s">
        <v>1663</v>
      </c>
      <c r="F347" s="316" t="s">
        <v>1663</v>
      </c>
      <c r="G347" s="317">
        <v>4.3099999999999996</v>
      </c>
      <c r="H347" s="317">
        <v>0</v>
      </c>
      <c r="I347" s="317">
        <v>0</v>
      </c>
      <c r="J347" s="317">
        <v>0</v>
      </c>
      <c r="K347" s="318">
        <v>0</v>
      </c>
      <c r="L347" s="318">
        <v>0</v>
      </c>
      <c r="M347" s="319">
        <v>0</v>
      </c>
      <c r="N347" s="319">
        <v>0</v>
      </c>
      <c r="O347" s="319">
        <f t="shared" si="5"/>
        <v>0</v>
      </c>
      <c r="P347" s="317">
        <v>0</v>
      </c>
      <c r="Q347" s="315" t="s">
        <v>1168</v>
      </c>
      <c r="R347" s="318">
        <v>159.75</v>
      </c>
      <c r="T347" s="320">
        <v>70.972222222222229</v>
      </c>
      <c r="U347" s="318">
        <v>31.6</v>
      </c>
      <c r="V347" s="318">
        <v>82.451530000000005</v>
      </c>
      <c r="W347" s="318">
        <v>3.6353480000000005</v>
      </c>
      <c r="X347" s="315">
        <v>0.2</v>
      </c>
      <c r="Y347" s="318">
        <v>5.7880000000000003</v>
      </c>
      <c r="Z347" s="315">
        <v>3</v>
      </c>
      <c r="AA347" s="315" t="s">
        <v>1149</v>
      </c>
      <c r="AB347" s="315">
        <v>0</v>
      </c>
      <c r="AC347" s="315" t="s">
        <v>1157</v>
      </c>
    </row>
    <row r="348" spans="1:29">
      <c r="A348" s="315" t="s">
        <v>1158</v>
      </c>
      <c r="B348" s="315" t="s">
        <v>1659</v>
      </c>
      <c r="C348" s="329"/>
      <c r="D348" s="329"/>
      <c r="E348" s="316" t="s">
        <v>1664</v>
      </c>
      <c r="F348" s="316" t="s">
        <v>1664</v>
      </c>
      <c r="G348" s="317">
        <v>0.67</v>
      </c>
      <c r="H348" s="317">
        <v>0</v>
      </c>
      <c r="I348" s="317">
        <v>0</v>
      </c>
      <c r="J348" s="317">
        <v>0</v>
      </c>
      <c r="K348" s="318">
        <v>0</v>
      </c>
      <c r="L348" s="318">
        <v>58.128571626857998</v>
      </c>
      <c r="M348" s="319">
        <v>36.578064322059397</v>
      </c>
      <c r="N348" s="319">
        <v>36.578064322059397</v>
      </c>
      <c r="O348" s="319">
        <f t="shared" si="5"/>
        <v>36.578064322059397</v>
      </c>
      <c r="P348" s="317">
        <v>0.24507303095779795</v>
      </c>
      <c r="Q348" s="315" t="s">
        <v>1168</v>
      </c>
      <c r="R348" s="318">
        <v>162.15</v>
      </c>
      <c r="T348" s="320">
        <v>72.305555555555557</v>
      </c>
      <c r="U348" s="318">
        <v>31.6</v>
      </c>
      <c r="V348" s="318">
        <v>340.23970000000003</v>
      </c>
      <c r="W348" s="318">
        <v>19.997695</v>
      </c>
      <c r="X348" s="315">
        <v>0.185</v>
      </c>
      <c r="Y348" s="318">
        <v>6.0430000000000001</v>
      </c>
      <c r="Z348" s="315">
        <v>3</v>
      </c>
      <c r="AA348" s="315" t="s">
        <v>1149</v>
      </c>
      <c r="AB348" s="315">
        <v>0</v>
      </c>
      <c r="AC348" s="315" t="s">
        <v>1157</v>
      </c>
    </row>
    <row r="349" spans="1:29">
      <c r="A349" s="315" t="s">
        <v>1158</v>
      </c>
      <c r="B349" s="315" t="s">
        <v>1659</v>
      </c>
      <c r="C349" s="329"/>
      <c r="D349" s="329"/>
      <c r="E349" s="316" t="s">
        <v>1665</v>
      </c>
      <c r="F349" s="316" t="s">
        <v>1665</v>
      </c>
      <c r="G349" s="317">
        <v>0.56000000000000005</v>
      </c>
      <c r="H349" s="317">
        <v>0</v>
      </c>
      <c r="I349" s="317">
        <v>0</v>
      </c>
      <c r="J349" s="317">
        <v>0</v>
      </c>
      <c r="K349" s="318">
        <v>0</v>
      </c>
      <c r="L349" s="318">
        <v>54.017043560724801</v>
      </c>
      <c r="M349" s="319">
        <v>38.2628946763733</v>
      </c>
      <c r="N349" s="319">
        <v>38.2628946763733</v>
      </c>
      <c r="O349" s="319">
        <f t="shared" si="5"/>
        <v>38.2628946763733</v>
      </c>
      <c r="P349" s="317">
        <v>0.21427221018769049</v>
      </c>
      <c r="Q349" s="315" t="s">
        <v>1168</v>
      </c>
      <c r="R349" s="318">
        <v>162.15</v>
      </c>
      <c r="T349" s="320">
        <v>72.305555555555557</v>
      </c>
      <c r="U349" s="318">
        <v>31.6</v>
      </c>
      <c r="V349" s="318">
        <v>101.711</v>
      </c>
      <c r="W349" s="318">
        <v>11.998617000000001</v>
      </c>
      <c r="X349" s="315">
        <v>0.219</v>
      </c>
      <c r="Y349" s="318">
        <v>471.82499999999999</v>
      </c>
      <c r="Z349" s="315">
        <v>3</v>
      </c>
      <c r="AA349" s="315" t="s">
        <v>1149</v>
      </c>
      <c r="AB349" s="315">
        <v>0</v>
      </c>
      <c r="AC349" s="315" t="s">
        <v>1157</v>
      </c>
    </row>
    <row r="350" spans="1:29">
      <c r="A350" s="315" t="s">
        <v>1158</v>
      </c>
      <c r="B350" s="315" t="s">
        <v>1659</v>
      </c>
      <c r="C350" s="329"/>
      <c r="D350" s="329"/>
      <c r="E350" s="316" t="s">
        <v>1666</v>
      </c>
      <c r="F350" s="316" t="s">
        <v>1666</v>
      </c>
      <c r="G350" s="317">
        <v>5.78</v>
      </c>
      <c r="H350" s="317">
        <v>0</v>
      </c>
      <c r="I350" s="317">
        <v>0</v>
      </c>
      <c r="J350" s="317">
        <v>0</v>
      </c>
      <c r="K350" s="318">
        <v>0</v>
      </c>
      <c r="L350" s="318">
        <v>57.4860146741376</v>
      </c>
      <c r="M350" s="319">
        <v>37.984140417756301</v>
      </c>
      <c r="N350" s="319">
        <v>37.984140417756301</v>
      </c>
      <c r="O350" s="319">
        <f t="shared" si="5"/>
        <v>37.984140417756301</v>
      </c>
      <c r="P350" s="317">
        <v>2.1954833161463143</v>
      </c>
      <c r="Q350" s="315" t="s">
        <v>1168</v>
      </c>
      <c r="R350" s="318">
        <v>162.15</v>
      </c>
      <c r="T350" s="320">
        <v>72.305555555555557</v>
      </c>
      <c r="U350" s="318">
        <v>31.6</v>
      </c>
      <c r="V350" s="318">
        <v>272.97920000000005</v>
      </c>
      <c r="W350" s="318">
        <v>63.510317000000001</v>
      </c>
      <c r="X350" s="315">
        <v>0.219</v>
      </c>
      <c r="Y350" s="318">
        <v>181.26499999999999</v>
      </c>
      <c r="Z350" s="315">
        <v>3</v>
      </c>
      <c r="AA350" s="315" t="s">
        <v>1149</v>
      </c>
      <c r="AB350" s="315">
        <v>0</v>
      </c>
      <c r="AC350" s="315" t="s">
        <v>1157</v>
      </c>
    </row>
    <row r="351" spans="1:29">
      <c r="A351" s="315" t="s">
        <v>1158</v>
      </c>
      <c r="B351" s="315" t="s">
        <v>1659</v>
      </c>
      <c r="C351" s="329"/>
      <c r="D351" s="329"/>
      <c r="E351" s="316" t="s">
        <v>1667</v>
      </c>
      <c r="F351" s="316" t="s">
        <v>1667</v>
      </c>
      <c r="G351" s="317">
        <v>10.36</v>
      </c>
      <c r="H351" s="317">
        <v>0</v>
      </c>
      <c r="I351" s="317">
        <v>0</v>
      </c>
      <c r="J351" s="317">
        <v>0</v>
      </c>
      <c r="K351" s="318">
        <v>0</v>
      </c>
      <c r="L351" s="318">
        <v>51.354672788981901</v>
      </c>
      <c r="M351" s="319">
        <v>38.534086400256101</v>
      </c>
      <c r="N351" s="319">
        <v>38.534086400256101</v>
      </c>
      <c r="O351" s="319">
        <f t="shared" si="5"/>
        <v>38.534086400256101</v>
      </c>
      <c r="P351" s="317">
        <v>3.9921313510665319</v>
      </c>
      <c r="Q351" s="315" t="s">
        <v>1168</v>
      </c>
      <c r="R351" s="318">
        <v>176.4</v>
      </c>
      <c r="T351" s="320">
        <v>80.222222222222229</v>
      </c>
      <c r="U351" s="318">
        <v>31.6</v>
      </c>
      <c r="V351" s="318">
        <v>198.40207000000001</v>
      </c>
      <c r="W351" s="318">
        <v>18.3736</v>
      </c>
      <c r="X351" s="315">
        <v>0.17899999999999999</v>
      </c>
      <c r="Y351" s="318">
        <v>4.79</v>
      </c>
      <c r="Z351" s="315">
        <v>3</v>
      </c>
      <c r="AA351" s="315" t="s">
        <v>1149</v>
      </c>
      <c r="AB351" s="315">
        <v>0</v>
      </c>
      <c r="AC351" s="315" t="s">
        <v>1157</v>
      </c>
    </row>
    <row r="352" spans="1:29">
      <c r="A352" s="315" t="s">
        <v>1158</v>
      </c>
      <c r="B352" s="315" t="s">
        <v>1659</v>
      </c>
      <c r="C352" s="329"/>
      <c r="D352" s="329"/>
      <c r="E352" s="316" t="s">
        <v>1668</v>
      </c>
      <c r="F352" s="316" t="s">
        <v>1668</v>
      </c>
      <c r="G352" s="317">
        <v>9.2200000000000006</v>
      </c>
      <c r="H352" s="317">
        <v>0</v>
      </c>
      <c r="I352" s="317">
        <v>0</v>
      </c>
      <c r="J352" s="317">
        <v>0</v>
      </c>
      <c r="K352" s="318">
        <v>0</v>
      </c>
      <c r="L352" s="318">
        <v>52.259339951854699</v>
      </c>
      <c r="M352" s="319">
        <v>37.905919388152697</v>
      </c>
      <c r="N352" s="319">
        <v>37.905919388152697</v>
      </c>
      <c r="O352" s="319">
        <f t="shared" si="5"/>
        <v>37.905919388152697</v>
      </c>
      <c r="P352" s="317">
        <v>3.494925767587679</v>
      </c>
      <c r="Q352" s="315" t="s">
        <v>1168</v>
      </c>
      <c r="R352" s="318">
        <v>176.4</v>
      </c>
      <c r="T352" s="320">
        <v>80.222222222222229</v>
      </c>
      <c r="U352" s="318">
        <v>31.6</v>
      </c>
      <c r="V352" s="318">
        <v>177.37086000000002</v>
      </c>
      <c r="W352" s="318">
        <v>20.47344</v>
      </c>
      <c r="X352" s="315">
        <v>0.17499999999999999</v>
      </c>
      <c r="Y352" s="318">
        <v>8.83</v>
      </c>
      <c r="Z352" s="315">
        <v>3</v>
      </c>
      <c r="AA352" s="315" t="s">
        <v>1149</v>
      </c>
      <c r="AB352" s="315">
        <v>0</v>
      </c>
      <c r="AC352" s="315" t="s">
        <v>1157</v>
      </c>
    </row>
    <row r="353" spans="1:29">
      <c r="A353" s="315" t="s">
        <v>1158</v>
      </c>
      <c r="B353" s="315" t="s">
        <v>1659</v>
      </c>
      <c r="C353" s="329"/>
      <c r="D353" s="329"/>
      <c r="E353" s="316" t="s">
        <v>1669</v>
      </c>
      <c r="F353" s="316" t="s">
        <v>1669</v>
      </c>
      <c r="G353" s="317">
        <v>11.99</v>
      </c>
      <c r="H353" s="317">
        <v>0</v>
      </c>
      <c r="I353" s="317">
        <v>0</v>
      </c>
      <c r="J353" s="317">
        <v>0</v>
      </c>
      <c r="K353" s="318">
        <v>0</v>
      </c>
      <c r="L353" s="318">
        <v>0</v>
      </c>
      <c r="M353" s="319">
        <v>0</v>
      </c>
      <c r="N353" s="319">
        <v>0</v>
      </c>
      <c r="O353" s="319">
        <f t="shared" si="5"/>
        <v>0</v>
      </c>
      <c r="P353" s="317">
        <v>0</v>
      </c>
      <c r="Q353" s="315" t="s">
        <v>1168</v>
      </c>
      <c r="R353" s="318">
        <v>176.4</v>
      </c>
      <c r="T353" s="320">
        <v>80.222222222222229</v>
      </c>
      <c r="U353" s="318">
        <v>31.6</v>
      </c>
      <c r="V353" s="318">
        <v>236.19918999999999</v>
      </c>
      <c r="W353" s="318">
        <v>6.3585780000000005</v>
      </c>
      <c r="X353" s="315">
        <v>0.16800000000000001</v>
      </c>
      <c r="Y353" s="318">
        <v>2.1230000000000002</v>
      </c>
      <c r="Z353" s="315">
        <v>3</v>
      </c>
      <c r="AA353" s="315" t="s">
        <v>1149</v>
      </c>
      <c r="AB353" s="315">
        <v>0</v>
      </c>
      <c r="AC353" s="315" t="s">
        <v>1157</v>
      </c>
    </row>
    <row r="354" spans="1:29">
      <c r="A354" s="315" t="s">
        <v>1158</v>
      </c>
      <c r="B354" s="315" t="s">
        <v>1659</v>
      </c>
      <c r="C354" s="329"/>
      <c r="D354" s="329"/>
      <c r="E354" s="316" t="s">
        <v>1670</v>
      </c>
      <c r="F354" s="316" t="s">
        <v>1670</v>
      </c>
      <c r="G354" s="317">
        <v>11.5</v>
      </c>
      <c r="H354" s="317">
        <v>0</v>
      </c>
      <c r="I354" s="317">
        <v>0</v>
      </c>
      <c r="J354" s="317">
        <v>0</v>
      </c>
      <c r="K354" s="318">
        <v>0</v>
      </c>
      <c r="L354" s="318">
        <v>51.5351045146502</v>
      </c>
      <c r="M354" s="319">
        <v>38.7427063832804</v>
      </c>
      <c r="N354" s="319">
        <v>38.7427063832804</v>
      </c>
      <c r="O354" s="319">
        <f t="shared" si="5"/>
        <v>38.7427063832804</v>
      </c>
      <c r="P354" s="317">
        <v>4.4554112340772463</v>
      </c>
      <c r="Q354" s="315" t="s">
        <v>1168</v>
      </c>
      <c r="R354" s="318">
        <v>176.4</v>
      </c>
      <c r="T354" s="320">
        <v>80.222222222222229</v>
      </c>
      <c r="U354" s="318">
        <v>31.6</v>
      </c>
      <c r="V354" s="318">
        <v>190.36362000000003</v>
      </c>
      <c r="W354" s="318">
        <v>19.495702000000001</v>
      </c>
      <c r="X354" s="315">
        <v>0.17899999999999999</v>
      </c>
      <c r="Y354" s="318">
        <v>90.731999999999999</v>
      </c>
      <c r="Z354" s="315">
        <v>3</v>
      </c>
      <c r="AA354" s="315" t="s">
        <v>1149</v>
      </c>
      <c r="AB354" s="315">
        <v>0</v>
      </c>
      <c r="AC354" s="315" t="s">
        <v>1157</v>
      </c>
    </row>
    <row r="355" spans="1:29">
      <c r="A355" s="315" t="s">
        <v>1145</v>
      </c>
      <c r="B355" s="315" t="s">
        <v>1671</v>
      </c>
      <c r="C355" s="329"/>
      <c r="D355" s="329"/>
      <c r="E355" s="316" t="s">
        <v>1672</v>
      </c>
      <c r="F355" s="316" t="s">
        <v>1673</v>
      </c>
      <c r="G355" s="317">
        <v>322</v>
      </c>
      <c r="H355" s="317">
        <v>0</v>
      </c>
      <c r="I355" s="317">
        <v>0</v>
      </c>
      <c r="J355" s="317">
        <v>33.232925600000002</v>
      </c>
      <c r="K355" s="318">
        <v>10.320784347826088</v>
      </c>
      <c r="L355" s="318">
        <v>50.207646081031001</v>
      </c>
      <c r="M355" s="319">
        <v>40.445519267993603</v>
      </c>
      <c r="N355" s="319">
        <v>30.124734920167516</v>
      </c>
      <c r="O355" s="319">
        <f t="shared" si="5"/>
        <v>30.124734920167516</v>
      </c>
      <c r="P355" s="317">
        <v>97.001646442939403</v>
      </c>
      <c r="Q355" s="315" t="s">
        <v>1168</v>
      </c>
      <c r="R355" s="318">
        <v>136</v>
      </c>
      <c r="T355" s="320">
        <v>57.777777777777779</v>
      </c>
      <c r="U355" s="318">
        <v>32</v>
      </c>
      <c r="V355" s="318">
        <v>164.05</v>
      </c>
      <c r="W355" s="318">
        <v>0</v>
      </c>
      <c r="X355" s="315">
        <v>0.28999999999999998</v>
      </c>
      <c r="Y355" s="318">
        <v>110</v>
      </c>
      <c r="Z355" s="315">
        <v>4</v>
      </c>
      <c r="AA355" s="315" t="s">
        <v>1154</v>
      </c>
      <c r="AB355" s="315">
        <v>3</v>
      </c>
      <c r="AC355" s="315" t="s">
        <v>1157</v>
      </c>
    </row>
    <row r="356" spans="1:29">
      <c r="A356" s="315" t="s">
        <v>1521</v>
      </c>
      <c r="B356" s="315" t="s">
        <v>1671</v>
      </c>
      <c r="C356" s="329"/>
      <c r="D356" s="329"/>
      <c r="E356" s="316" t="s">
        <v>1674</v>
      </c>
      <c r="F356" s="316" t="s">
        <v>1675</v>
      </c>
      <c r="G356" s="317">
        <v>111</v>
      </c>
      <c r="H356" s="317">
        <v>0</v>
      </c>
      <c r="I356" s="317">
        <v>0</v>
      </c>
      <c r="J356" s="317">
        <v>20.582883199999998</v>
      </c>
      <c r="K356" s="318">
        <v>18.543138018018016</v>
      </c>
      <c r="L356" s="318">
        <v>49.762232576440603</v>
      </c>
      <c r="M356" s="319">
        <v>41.024664956179301</v>
      </c>
      <c r="N356" s="319">
        <v>22.481526938161284</v>
      </c>
      <c r="O356" s="319">
        <f t="shared" si="5"/>
        <v>22.481526938161284</v>
      </c>
      <c r="P356" s="317">
        <v>24.954494901359023</v>
      </c>
      <c r="Q356" s="315" t="s">
        <v>1168</v>
      </c>
      <c r="R356" s="318">
        <v>170</v>
      </c>
      <c r="T356" s="320">
        <v>76.666666666666671</v>
      </c>
      <c r="U356" s="318">
        <v>32</v>
      </c>
      <c r="V356" s="318">
        <v>426.53000000000003</v>
      </c>
      <c r="W356" s="318">
        <v>0</v>
      </c>
      <c r="X356" s="315">
        <v>0.24</v>
      </c>
      <c r="Y356" s="318">
        <v>150</v>
      </c>
      <c r="Z356" s="315">
        <v>6</v>
      </c>
      <c r="AA356" s="315" t="s">
        <v>1154</v>
      </c>
      <c r="AB356" s="315">
        <v>5</v>
      </c>
      <c r="AC356" s="315" t="s">
        <v>1157</v>
      </c>
    </row>
    <row r="357" spans="1:29">
      <c r="A357" s="315" t="s">
        <v>1923</v>
      </c>
      <c r="B357" s="315" t="s">
        <v>1676</v>
      </c>
      <c r="C357" s="329">
        <v>6.2862461111111099</v>
      </c>
      <c r="D357" s="329">
        <v>105.02</v>
      </c>
      <c r="E357" s="316" t="s">
        <v>1677</v>
      </c>
      <c r="F357" s="316" t="s">
        <v>1677</v>
      </c>
      <c r="G357" s="317">
        <v>21.1</v>
      </c>
      <c r="H357" s="317">
        <v>9.0432469999999991</v>
      </c>
      <c r="I357" s="317">
        <v>9.0399999999999991</v>
      </c>
      <c r="J357" s="317">
        <v>9.0399999999999991</v>
      </c>
      <c r="K357" s="318">
        <v>42.843601895734587</v>
      </c>
      <c r="L357" s="318">
        <v>60.427381000181498</v>
      </c>
      <c r="M357" s="319">
        <v>41.548317830644599</v>
      </c>
      <c r="N357" s="319">
        <v>-1.2952840650899873</v>
      </c>
      <c r="O357" s="319">
        <f t="shared" si="5"/>
        <v>0</v>
      </c>
      <c r="P357" s="317">
        <v>0</v>
      </c>
      <c r="Q357" s="315" t="s">
        <v>1148</v>
      </c>
      <c r="R357" s="318">
        <v>216</v>
      </c>
      <c r="T357" s="320">
        <v>102.22222222222223</v>
      </c>
      <c r="U357" s="318">
        <v>46</v>
      </c>
      <c r="V357" s="318">
        <v>85.305999999999997</v>
      </c>
      <c r="W357" s="318">
        <v>45.934000000000005</v>
      </c>
      <c r="X357" s="315">
        <v>0.23</v>
      </c>
      <c r="Y357" s="318">
        <v>300</v>
      </c>
      <c r="Z357" s="315">
        <v>7</v>
      </c>
      <c r="AA357" s="315" t="s">
        <v>1149</v>
      </c>
      <c r="AB357" s="315">
        <v>0</v>
      </c>
      <c r="AC357" s="315" t="s">
        <v>1150</v>
      </c>
    </row>
    <row r="358" spans="1:29">
      <c r="A358" s="315" t="s">
        <v>1987</v>
      </c>
      <c r="B358" s="315" t="s">
        <v>1679</v>
      </c>
      <c r="C358" s="329"/>
      <c r="D358" s="329"/>
      <c r="E358" s="316" t="s">
        <v>1680</v>
      </c>
      <c r="F358" s="316" t="s">
        <v>1680</v>
      </c>
      <c r="G358" s="317">
        <v>21</v>
      </c>
      <c r="H358" s="317">
        <v>0</v>
      </c>
      <c r="I358" s="317">
        <v>0</v>
      </c>
      <c r="J358" s="317">
        <v>0</v>
      </c>
      <c r="K358" s="318">
        <v>0</v>
      </c>
      <c r="L358" s="318">
        <v>57.399816689214397</v>
      </c>
      <c r="M358" s="319">
        <v>39.772224180540697</v>
      </c>
      <c r="N358" s="319">
        <v>39.772224180540697</v>
      </c>
      <c r="O358" s="319">
        <f t="shared" si="5"/>
        <v>39.772224180540697</v>
      </c>
      <c r="P358" s="317">
        <v>8.3521670779135455</v>
      </c>
      <c r="Q358" s="315" t="s">
        <v>1168</v>
      </c>
      <c r="R358" s="318">
        <v>241</v>
      </c>
      <c r="T358" s="320">
        <v>116.11111111111111</v>
      </c>
      <c r="U358" s="318">
        <v>43</v>
      </c>
      <c r="V358" s="318">
        <v>66.276200000000003</v>
      </c>
      <c r="W358" s="318">
        <v>147.64500000000001</v>
      </c>
      <c r="X358" s="315">
        <v>0.23</v>
      </c>
      <c r="Y358" s="318">
        <v>800</v>
      </c>
      <c r="Z358" s="315">
        <v>1</v>
      </c>
      <c r="AA358" s="315" t="s">
        <v>1149</v>
      </c>
      <c r="AB358" s="315">
        <v>0</v>
      </c>
      <c r="AC358" s="315" t="s">
        <v>1150</v>
      </c>
    </row>
    <row r="359" spans="1:29">
      <c r="A359" s="315" t="s">
        <v>1895</v>
      </c>
      <c r="B359" s="315" t="s">
        <v>1681</v>
      </c>
      <c r="C359" s="329">
        <v>6.1289938888888802</v>
      </c>
      <c r="D359" s="329">
        <v>105.016666666666</v>
      </c>
      <c r="E359" s="316" t="s">
        <v>1682</v>
      </c>
      <c r="F359" s="316" t="s">
        <v>1682</v>
      </c>
      <c r="G359" s="317">
        <v>26.781000000000002</v>
      </c>
      <c r="H359" s="317">
        <v>8.0117900000000013</v>
      </c>
      <c r="I359" s="317">
        <v>8.0117900000000013</v>
      </c>
      <c r="J359" s="317">
        <v>8.0117900000000013</v>
      </c>
      <c r="K359" s="318">
        <v>29.915947873492403</v>
      </c>
      <c r="L359" s="318">
        <v>63.115209601249397</v>
      </c>
      <c r="M359" s="319">
        <v>36.149001216975698</v>
      </c>
      <c r="N359" s="319">
        <v>6.2330533434832951</v>
      </c>
      <c r="O359" s="319">
        <f t="shared" si="5"/>
        <v>6.2330533434832951</v>
      </c>
      <c r="P359" s="317">
        <v>1.6692740159182613</v>
      </c>
      <c r="Q359" s="315" t="s">
        <v>1148</v>
      </c>
      <c r="R359" s="318">
        <v>250</v>
      </c>
      <c r="T359" s="320">
        <v>121.11111111111111</v>
      </c>
      <c r="U359" s="318">
        <v>31.1</v>
      </c>
      <c r="V359" s="318">
        <v>15</v>
      </c>
      <c r="W359" s="318">
        <v>120</v>
      </c>
      <c r="X359" s="315">
        <v>0.21</v>
      </c>
      <c r="Y359" s="318">
        <v>200</v>
      </c>
      <c r="Z359" s="315">
        <v>5</v>
      </c>
      <c r="AA359" s="315" t="s">
        <v>1149</v>
      </c>
      <c r="AB359" s="315">
        <v>0</v>
      </c>
      <c r="AC359" s="315" t="s">
        <v>1190</v>
      </c>
    </row>
    <row r="360" spans="1:29">
      <c r="A360" s="315" t="s">
        <v>1895</v>
      </c>
      <c r="B360" s="315" t="s">
        <v>1681</v>
      </c>
      <c r="C360" s="329">
        <v>6.12285722222222</v>
      </c>
      <c r="D360" s="329">
        <v>105.016666666666</v>
      </c>
      <c r="E360" s="316" t="s">
        <v>1683</v>
      </c>
      <c r="F360" s="316" t="s">
        <v>1683</v>
      </c>
      <c r="G360" s="317">
        <v>23.44</v>
      </c>
      <c r="H360" s="317">
        <v>0.52992899999999998</v>
      </c>
      <c r="I360" s="317">
        <v>0.52992899999999998</v>
      </c>
      <c r="J360" s="317">
        <v>0.52992899999999998</v>
      </c>
      <c r="K360" s="318">
        <v>2.2607892491467574</v>
      </c>
      <c r="L360" s="318">
        <v>72.733857994595894</v>
      </c>
      <c r="M360" s="319">
        <v>32.1342482894322</v>
      </c>
      <c r="N360" s="319">
        <v>29.873459040285443</v>
      </c>
      <c r="O360" s="319">
        <f t="shared" si="5"/>
        <v>29.873459040285443</v>
      </c>
      <c r="P360" s="317">
        <v>7.0023387990429082</v>
      </c>
      <c r="Q360" s="315" t="s">
        <v>1148</v>
      </c>
      <c r="R360" s="318">
        <v>250</v>
      </c>
      <c r="T360" s="320">
        <v>121.11111111111111</v>
      </c>
      <c r="U360" s="318">
        <v>31</v>
      </c>
      <c r="V360" s="318">
        <v>98.43</v>
      </c>
      <c r="W360" s="318">
        <v>82.025000000000006</v>
      </c>
      <c r="X360" s="315">
        <v>0.21</v>
      </c>
      <c r="Y360" s="318">
        <v>200</v>
      </c>
      <c r="Z360" s="315">
        <v>5</v>
      </c>
      <c r="AA360" s="315" t="s">
        <v>1149</v>
      </c>
      <c r="AB360" s="315">
        <v>0</v>
      </c>
      <c r="AC360" s="315" t="s">
        <v>1190</v>
      </c>
    </row>
    <row r="361" spans="1:29">
      <c r="A361" s="315" t="s">
        <v>1895</v>
      </c>
      <c r="B361" s="315" t="s">
        <v>1681</v>
      </c>
      <c r="C361" s="329">
        <v>6.1167205555555597</v>
      </c>
      <c r="D361" s="329">
        <v>105.016666666666</v>
      </c>
      <c r="E361" s="316" t="s">
        <v>1684</v>
      </c>
      <c r="F361" s="316" t="s">
        <v>1684</v>
      </c>
      <c r="G361" s="317">
        <v>23.442</v>
      </c>
      <c r="H361" s="317">
        <v>9.6074549999999999</v>
      </c>
      <c r="I361" s="317">
        <v>9.6074549999999999</v>
      </c>
      <c r="J361" s="317">
        <v>9.6074549999999999</v>
      </c>
      <c r="K361" s="318">
        <v>40.98393908369593</v>
      </c>
      <c r="L361" s="318">
        <v>62.711948701494698</v>
      </c>
      <c r="M361" s="319">
        <v>36.593316110926899</v>
      </c>
      <c r="N361" s="319">
        <v>-4.3906229727690302</v>
      </c>
      <c r="O361" s="319">
        <f t="shared" si="5"/>
        <v>0</v>
      </c>
      <c r="P361" s="317">
        <v>0</v>
      </c>
      <c r="Q361" s="315" t="s">
        <v>1148</v>
      </c>
      <c r="R361" s="318">
        <v>253</v>
      </c>
      <c r="T361" s="320">
        <v>122.77777777777777</v>
      </c>
      <c r="U361" s="318">
        <v>29.4</v>
      </c>
      <c r="V361" s="318">
        <v>34</v>
      </c>
      <c r="W361" s="318">
        <v>92</v>
      </c>
      <c r="X361" s="315">
        <v>0.2</v>
      </c>
      <c r="Y361" s="318">
        <v>200</v>
      </c>
      <c r="Z361" s="315">
        <v>5</v>
      </c>
      <c r="AA361" s="315" t="s">
        <v>1149</v>
      </c>
      <c r="AB361" s="315">
        <v>0</v>
      </c>
      <c r="AC361" s="315" t="s">
        <v>1190</v>
      </c>
    </row>
    <row r="362" spans="1:29">
      <c r="A362" s="315" t="s">
        <v>1895</v>
      </c>
      <c r="B362" s="315" t="s">
        <v>1681</v>
      </c>
      <c r="C362" s="329">
        <v>6.1105838888889004</v>
      </c>
      <c r="D362" s="329">
        <v>105.016666666666</v>
      </c>
      <c r="E362" s="316" t="s">
        <v>1685</v>
      </c>
      <c r="F362" s="316" t="s">
        <v>1685</v>
      </c>
      <c r="G362" s="317">
        <v>10.544</v>
      </c>
      <c r="H362" s="317">
        <v>1.464912</v>
      </c>
      <c r="I362" s="317">
        <v>1.464912</v>
      </c>
      <c r="J362" s="317">
        <v>1.464912</v>
      </c>
      <c r="K362" s="318">
        <v>13.893323216995446</v>
      </c>
      <c r="L362" s="318">
        <v>72.375763307224204</v>
      </c>
      <c r="M362" s="319">
        <v>31.937530166834399</v>
      </c>
      <c r="N362" s="319">
        <v>18.044206949838951</v>
      </c>
      <c r="O362" s="319">
        <f t="shared" si="5"/>
        <v>18.044206949838951</v>
      </c>
      <c r="P362" s="317">
        <v>1.9025811807910191</v>
      </c>
      <c r="Q362" s="315" t="s">
        <v>1148</v>
      </c>
      <c r="R362" s="318">
        <v>258</v>
      </c>
      <c r="T362" s="320">
        <v>125.55555555555556</v>
      </c>
      <c r="U362" s="318">
        <v>29.4</v>
      </c>
      <c r="V362" s="318">
        <v>30</v>
      </c>
      <c r="W362" s="318">
        <v>98.43</v>
      </c>
      <c r="X362" s="315">
        <v>0.2</v>
      </c>
      <c r="Y362" s="318">
        <v>50</v>
      </c>
      <c r="Z362" s="315">
        <v>4</v>
      </c>
      <c r="AA362" s="315" t="s">
        <v>1149</v>
      </c>
      <c r="AB362" s="315">
        <v>0</v>
      </c>
      <c r="AC362" s="315" t="s">
        <v>1190</v>
      </c>
    </row>
    <row r="363" spans="1:29">
      <c r="A363" s="315" t="s">
        <v>1895</v>
      </c>
      <c r="B363" s="315" t="s">
        <v>1681</v>
      </c>
      <c r="C363" s="329">
        <v>6.1044472222222401</v>
      </c>
      <c r="D363" s="329">
        <v>105.016666666666</v>
      </c>
      <c r="E363" s="316" t="s">
        <v>1686</v>
      </c>
      <c r="F363" s="316" t="s">
        <v>1686</v>
      </c>
      <c r="G363" s="317">
        <v>5.98</v>
      </c>
      <c r="H363" s="317">
        <v>1.4499649999999999</v>
      </c>
      <c r="I363" s="317">
        <v>1.4499649999999999</v>
      </c>
      <c r="J363" s="317">
        <v>1.4499649999999999</v>
      </c>
      <c r="K363" s="318">
        <v>24.246906354515048</v>
      </c>
      <c r="L363" s="318">
        <v>72.507031143032606</v>
      </c>
      <c r="M363" s="319">
        <v>31.874355409166899</v>
      </c>
      <c r="N363" s="319">
        <v>7.6274490546518514</v>
      </c>
      <c r="O363" s="319">
        <f t="shared" si="5"/>
        <v>7.6274490546518514</v>
      </c>
      <c r="P363" s="317">
        <v>0.45612145346818073</v>
      </c>
      <c r="Q363" s="315" t="s">
        <v>1148</v>
      </c>
      <c r="R363" s="318">
        <v>265</v>
      </c>
      <c r="T363" s="320">
        <v>129.44444444444446</v>
      </c>
      <c r="U363" s="318">
        <v>29.4</v>
      </c>
      <c r="V363" s="318">
        <v>30</v>
      </c>
      <c r="W363" s="318">
        <v>65.62</v>
      </c>
      <c r="X363" s="315">
        <v>0.2</v>
      </c>
      <c r="Y363" s="318">
        <v>50</v>
      </c>
      <c r="Z363" s="315">
        <v>3</v>
      </c>
      <c r="AA363" s="315" t="s">
        <v>1149</v>
      </c>
      <c r="AB363" s="315">
        <v>0</v>
      </c>
      <c r="AC363" s="315" t="s">
        <v>1190</v>
      </c>
    </row>
    <row r="364" spans="1:29">
      <c r="A364" s="315" t="s">
        <v>1145</v>
      </c>
      <c r="B364" s="315" t="s">
        <v>1687</v>
      </c>
      <c r="C364" s="329">
        <v>5.3315961111111099</v>
      </c>
      <c r="D364" s="329">
        <v>104.55</v>
      </c>
      <c r="E364" s="316" t="s">
        <v>1688</v>
      </c>
      <c r="F364" s="316" t="s">
        <v>1688</v>
      </c>
      <c r="G364" s="317">
        <v>39.340000000000003</v>
      </c>
      <c r="H364" s="317">
        <v>15.942132000000001</v>
      </c>
      <c r="I364" s="317">
        <v>15.942132000000001</v>
      </c>
      <c r="J364" s="317">
        <v>15.942132000000001</v>
      </c>
      <c r="K364" s="318">
        <v>40.523975597356376</v>
      </c>
      <c r="L364" s="318">
        <v>44.008862980242903</v>
      </c>
      <c r="M364" s="319">
        <v>43.453987147647901</v>
      </c>
      <c r="N364" s="319">
        <v>2.9300115502915247</v>
      </c>
      <c r="O364" s="319">
        <f t="shared" si="5"/>
        <v>2.9300115502915247</v>
      </c>
      <c r="P364" s="317">
        <v>1.1526665438846859</v>
      </c>
      <c r="Q364" s="315" t="s">
        <v>1148</v>
      </c>
      <c r="R364" s="318">
        <v>170</v>
      </c>
      <c r="T364" s="320">
        <v>76.666666666666671</v>
      </c>
      <c r="U364" s="318">
        <v>42.3</v>
      </c>
      <c r="V364" s="318">
        <v>145</v>
      </c>
      <c r="W364" s="318">
        <v>128</v>
      </c>
      <c r="X364" s="315">
        <v>0.20230000000000001</v>
      </c>
      <c r="Y364" s="318">
        <v>553</v>
      </c>
      <c r="Z364" s="315">
        <v>8</v>
      </c>
      <c r="AA364" s="315" t="s">
        <v>1149</v>
      </c>
      <c r="AB364" s="315">
        <v>0</v>
      </c>
      <c r="AC364" s="315" t="s">
        <v>1157</v>
      </c>
    </row>
    <row r="365" spans="1:29">
      <c r="A365" s="315" t="s">
        <v>1145</v>
      </c>
      <c r="B365" s="315" t="s">
        <v>1687</v>
      </c>
      <c r="C365" s="329">
        <v>5.3289336111111103</v>
      </c>
      <c r="D365" s="329">
        <v>104.55</v>
      </c>
      <c r="E365" s="316" t="s">
        <v>1689</v>
      </c>
      <c r="F365" s="316" t="s">
        <v>1689</v>
      </c>
      <c r="G365" s="317">
        <v>173.25</v>
      </c>
      <c r="H365" s="317">
        <v>102.205039</v>
      </c>
      <c r="I365" s="317">
        <v>102.205039</v>
      </c>
      <c r="J365" s="317">
        <v>102.205039</v>
      </c>
      <c r="K365" s="318">
        <v>58.992807503607501</v>
      </c>
      <c r="L365" s="318">
        <v>46.2198377841937</v>
      </c>
      <c r="M365" s="319">
        <v>42.784290442867004</v>
      </c>
      <c r="N365" s="319">
        <v>-16.208517060740498</v>
      </c>
      <c r="O365" s="319">
        <f t="shared" si="5"/>
        <v>0</v>
      </c>
      <c r="P365" s="317">
        <v>0</v>
      </c>
      <c r="Q365" s="315" t="s">
        <v>1148</v>
      </c>
      <c r="R365" s="318">
        <v>170</v>
      </c>
      <c r="T365" s="320">
        <v>76.666666666666671</v>
      </c>
      <c r="U365" s="318">
        <v>42.3</v>
      </c>
      <c r="V365" s="318">
        <v>158</v>
      </c>
      <c r="W365" s="318">
        <v>128</v>
      </c>
      <c r="X365" s="315">
        <v>0.156</v>
      </c>
      <c r="Y365" s="318">
        <v>142</v>
      </c>
      <c r="Z365" s="315">
        <v>18</v>
      </c>
      <c r="AA365" s="315" t="s">
        <v>1440</v>
      </c>
      <c r="AB365" s="315">
        <v>1</v>
      </c>
      <c r="AC365" s="315" t="s">
        <v>1190</v>
      </c>
    </row>
    <row r="366" spans="1:29">
      <c r="A366" s="315" t="s">
        <v>1978</v>
      </c>
      <c r="B366" s="315" t="s">
        <v>1691</v>
      </c>
      <c r="C366" s="329">
        <v>6.09918916666666</v>
      </c>
      <c r="D366" s="329">
        <v>104.95</v>
      </c>
      <c r="E366" s="316" t="s">
        <v>1692</v>
      </c>
      <c r="F366" s="316" t="s">
        <v>1692</v>
      </c>
      <c r="G366" s="317">
        <v>18.399999999999999</v>
      </c>
      <c r="H366" s="317">
        <v>2.957014</v>
      </c>
      <c r="I366" s="317">
        <v>2.957014</v>
      </c>
      <c r="J366" s="317">
        <v>2.957014</v>
      </c>
      <c r="K366" s="318">
        <v>16.070728260869565</v>
      </c>
      <c r="L366" s="318">
        <v>62.872072327539399</v>
      </c>
      <c r="M366" s="319">
        <v>35.948392989854199</v>
      </c>
      <c r="N366" s="319">
        <v>19.877664728984634</v>
      </c>
      <c r="O366" s="319">
        <f t="shared" si="5"/>
        <v>19.877664728984634</v>
      </c>
      <c r="P366" s="317">
        <v>3.6574903101331726</v>
      </c>
      <c r="Q366" s="315" t="s">
        <v>1148</v>
      </c>
      <c r="R366" s="318">
        <v>240</v>
      </c>
      <c r="T366" s="320">
        <v>115.55555555555556</v>
      </c>
      <c r="U366" s="318">
        <v>32</v>
      </c>
      <c r="V366" s="318">
        <v>91.868000000000009</v>
      </c>
      <c r="W366" s="318">
        <v>144.364</v>
      </c>
      <c r="X366" s="315">
        <v>0.22</v>
      </c>
      <c r="Y366" s="318">
        <v>850</v>
      </c>
      <c r="Z366" s="315">
        <v>5</v>
      </c>
      <c r="AA366" s="315" t="s">
        <v>1149</v>
      </c>
      <c r="AB366" s="315">
        <v>0</v>
      </c>
      <c r="AC366" s="315" t="s">
        <v>1150</v>
      </c>
    </row>
    <row r="367" spans="1:29">
      <c r="A367" s="315" t="s">
        <v>1978</v>
      </c>
      <c r="B367" s="315" t="s">
        <v>1691</v>
      </c>
      <c r="C367" s="329">
        <v>6.09918916666666</v>
      </c>
      <c r="D367" s="329">
        <v>104.95</v>
      </c>
      <c r="E367" s="316" t="s">
        <v>1693</v>
      </c>
      <c r="F367" s="316" t="s">
        <v>1693</v>
      </c>
      <c r="G367" s="317">
        <v>28.5</v>
      </c>
      <c r="H367" s="317">
        <v>4.1257760000000001</v>
      </c>
      <c r="I367" s="317">
        <v>4.1257760000000001</v>
      </c>
      <c r="J367" s="317">
        <v>4.1257760000000001</v>
      </c>
      <c r="K367" s="318">
        <v>14.47640701754386</v>
      </c>
      <c r="L367" s="318">
        <v>62.226656721435802</v>
      </c>
      <c r="M367" s="319">
        <v>36.251032662309598</v>
      </c>
      <c r="N367" s="319">
        <v>21.774625644765738</v>
      </c>
      <c r="O367" s="319">
        <f t="shared" si="5"/>
        <v>21.774625644765738</v>
      </c>
      <c r="P367" s="317">
        <v>6.2057683087582358</v>
      </c>
      <c r="Q367" s="315" t="s">
        <v>1148</v>
      </c>
      <c r="R367" s="318">
        <v>240</v>
      </c>
      <c r="T367" s="320">
        <v>115.55555555555556</v>
      </c>
      <c r="U367" s="318">
        <v>30</v>
      </c>
      <c r="V367" s="318">
        <v>108.27300000000001</v>
      </c>
      <c r="W367" s="318">
        <v>180.45500000000001</v>
      </c>
      <c r="X367" s="315">
        <v>0.22</v>
      </c>
      <c r="Y367" s="318">
        <v>550</v>
      </c>
      <c r="Z367" s="315">
        <v>5</v>
      </c>
      <c r="AA367" s="315" t="s">
        <v>1149</v>
      </c>
      <c r="AB367" s="315">
        <v>0</v>
      </c>
      <c r="AC367" s="315" t="s">
        <v>1150</v>
      </c>
    </row>
    <row r="368" spans="1:29">
      <c r="A368" s="315" t="s">
        <v>1145</v>
      </c>
      <c r="B368" s="315" t="s">
        <v>1074</v>
      </c>
      <c r="C368" s="329">
        <v>5.6185719444444402</v>
      </c>
      <c r="D368" s="329">
        <v>114.88333299999999</v>
      </c>
      <c r="E368" s="316" t="s">
        <v>1694</v>
      </c>
      <c r="F368" s="316" t="s">
        <v>1694</v>
      </c>
      <c r="G368" s="317">
        <v>84.828000000000017</v>
      </c>
      <c r="H368" s="317">
        <v>41.273824230327158</v>
      </c>
      <c r="I368" s="317">
        <v>41.277719164404218</v>
      </c>
      <c r="J368" s="317">
        <v>41.277719164404218</v>
      </c>
      <c r="K368" s="318">
        <v>48.660488475979875</v>
      </c>
      <c r="L368" s="318">
        <v>54.193890639258299</v>
      </c>
      <c r="M368" s="319">
        <v>43.601423015026803</v>
      </c>
      <c r="N368" s="319">
        <v>-5.0590654609530716</v>
      </c>
      <c r="O368" s="319">
        <f t="shared" si="5"/>
        <v>0</v>
      </c>
      <c r="P368" s="317">
        <v>0</v>
      </c>
      <c r="Q368" s="315" t="s">
        <v>1148</v>
      </c>
      <c r="R368" s="318">
        <v>160</v>
      </c>
      <c r="T368" s="320">
        <v>71.111111111111114</v>
      </c>
      <c r="U368" s="318">
        <v>26.6</v>
      </c>
      <c r="V368" s="318">
        <v>543</v>
      </c>
      <c r="W368" s="318">
        <v>281</v>
      </c>
      <c r="X368" s="315">
        <v>0.3</v>
      </c>
      <c r="Y368" s="318">
        <v>600</v>
      </c>
      <c r="Z368" s="315">
        <v>15</v>
      </c>
      <c r="AA368" s="315" t="s">
        <v>1149</v>
      </c>
      <c r="AB368" s="315">
        <v>0</v>
      </c>
      <c r="AC368" s="315" t="s">
        <v>1157</v>
      </c>
    </row>
    <row r="369" spans="1:29">
      <c r="A369" s="315" t="s">
        <v>1369</v>
      </c>
      <c r="B369" s="315" t="s">
        <v>1074</v>
      </c>
      <c r="C369" s="329">
        <v>5.6345772222222203</v>
      </c>
      <c r="D369" s="329">
        <v>114.88333299999999</v>
      </c>
      <c r="E369" s="316" t="s">
        <v>1695</v>
      </c>
      <c r="F369" s="316" t="s">
        <v>1695</v>
      </c>
      <c r="G369" s="317">
        <v>113.22500000000002</v>
      </c>
      <c r="H369" s="317">
        <v>64.360551889569976</v>
      </c>
      <c r="I369" s="317">
        <v>65.269288275727192</v>
      </c>
      <c r="J369" s="317">
        <v>65.269288275727192</v>
      </c>
      <c r="K369" s="318">
        <v>57.645650939039243</v>
      </c>
      <c r="L369" s="318">
        <v>48.4921557574799</v>
      </c>
      <c r="M369" s="319">
        <v>45.375045580830594</v>
      </c>
      <c r="N369" s="319">
        <v>-12.270605358208648</v>
      </c>
      <c r="O369" s="319">
        <f t="shared" si="5"/>
        <v>0</v>
      </c>
      <c r="P369" s="317">
        <v>0</v>
      </c>
      <c r="Q369" s="315" t="s">
        <v>1148</v>
      </c>
      <c r="R369" s="318">
        <v>160</v>
      </c>
      <c r="T369" s="320">
        <v>71.111111111111114</v>
      </c>
      <c r="U369" s="318">
        <v>36.5</v>
      </c>
      <c r="V369" s="318">
        <v>175</v>
      </c>
      <c r="W369" s="318">
        <v>126</v>
      </c>
      <c r="X369" s="315">
        <v>0.24</v>
      </c>
      <c r="Y369" s="318">
        <v>500</v>
      </c>
      <c r="Z369" s="315">
        <v>41</v>
      </c>
      <c r="AA369" s="315" t="s">
        <v>1149</v>
      </c>
      <c r="AB369" s="315">
        <v>0</v>
      </c>
      <c r="AC369" s="315" t="s">
        <v>1157</v>
      </c>
    </row>
    <row r="370" spans="1:29">
      <c r="A370" s="315" t="s">
        <v>1145</v>
      </c>
      <c r="B370" s="315" t="s">
        <v>1074</v>
      </c>
      <c r="C370" s="329">
        <v>5.6089347222222203</v>
      </c>
      <c r="D370" s="329">
        <v>114.88333299999999</v>
      </c>
      <c r="E370" s="316" t="s">
        <v>1697</v>
      </c>
      <c r="F370" s="316" t="s">
        <v>1697</v>
      </c>
      <c r="G370" s="317">
        <v>19.030000000000005</v>
      </c>
      <c r="H370" s="317">
        <v>10.193517458754169</v>
      </c>
      <c r="I370" s="317">
        <v>11.369041039987353</v>
      </c>
      <c r="J370" s="317">
        <v>11.369041039987353</v>
      </c>
      <c r="K370" s="318">
        <v>59.74272748285523</v>
      </c>
      <c r="L370" s="318">
        <v>49.935642653164102</v>
      </c>
      <c r="M370" s="319">
        <v>44.041856527232198</v>
      </c>
      <c r="N370" s="319">
        <v>-15.700870955623031</v>
      </c>
      <c r="O370" s="319">
        <f t="shared" si="5"/>
        <v>0</v>
      </c>
      <c r="P370" s="317">
        <v>0</v>
      </c>
      <c r="Q370" s="315" t="s">
        <v>1148</v>
      </c>
      <c r="R370" s="318">
        <v>160</v>
      </c>
      <c r="T370" s="320">
        <v>71.111111111111114</v>
      </c>
      <c r="U370" s="318">
        <v>37</v>
      </c>
      <c r="V370" s="318">
        <v>94.22</v>
      </c>
      <c r="W370" s="318">
        <v>56.531999999999996</v>
      </c>
      <c r="X370" s="315">
        <v>0.22500000000000001</v>
      </c>
      <c r="Y370" s="318">
        <v>750</v>
      </c>
      <c r="Z370" s="315">
        <v>28</v>
      </c>
      <c r="AA370" s="315" t="s">
        <v>1149</v>
      </c>
      <c r="AB370" s="315">
        <v>0</v>
      </c>
      <c r="AC370" s="315" t="s">
        <v>1157</v>
      </c>
    </row>
    <row r="371" spans="1:29">
      <c r="A371" s="315" t="s">
        <v>1145</v>
      </c>
      <c r="B371" s="315" t="s">
        <v>1074</v>
      </c>
      <c r="C371" s="329">
        <v>5.6101527777777704</v>
      </c>
      <c r="D371" s="329">
        <v>114.88333299999999</v>
      </c>
      <c r="E371" s="316" t="s">
        <v>1699</v>
      </c>
      <c r="F371" s="316" t="s">
        <v>1699</v>
      </c>
      <c r="G371" s="317">
        <v>30.420000000000009</v>
      </c>
      <c r="H371" s="317">
        <v>19.042296593268624</v>
      </c>
      <c r="I371" s="317">
        <v>21.494409843750724</v>
      </c>
      <c r="J371" s="317">
        <v>21.494409843750724</v>
      </c>
      <c r="K371" s="318">
        <v>70.658809479785404</v>
      </c>
      <c r="L371" s="318">
        <v>49.5333554829691</v>
      </c>
      <c r="M371" s="319">
        <v>44.6818319130332</v>
      </c>
      <c r="N371" s="319">
        <v>-25.976977566752204</v>
      </c>
      <c r="O371" s="319">
        <f t="shared" si="5"/>
        <v>0</v>
      </c>
      <c r="P371" s="317">
        <v>0</v>
      </c>
      <c r="Q371" s="315" t="s">
        <v>1148</v>
      </c>
      <c r="R371" s="318">
        <v>160</v>
      </c>
      <c r="T371" s="320">
        <v>71.111111111111114</v>
      </c>
      <c r="U371" s="318">
        <v>37</v>
      </c>
      <c r="V371" s="318">
        <v>59.47</v>
      </c>
      <c r="W371" s="318">
        <v>35.681999999999995</v>
      </c>
      <c r="X371" s="315">
        <v>0.22500000000000001</v>
      </c>
      <c r="Y371" s="318">
        <v>750</v>
      </c>
      <c r="Z371" s="315">
        <v>27</v>
      </c>
      <c r="AA371" s="315" t="s">
        <v>1149</v>
      </c>
      <c r="AB371" s="315">
        <v>0</v>
      </c>
      <c r="AC371" s="315" t="s">
        <v>1157</v>
      </c>
    </row>
    <row r="372" spans="1:29">
      <c r="A372" s="315" t="s">
        <v>1145</v>
      </c>
      <c r="B372" s="315" t="s">
        <v>1074</v>
      </c>
      <c r="C372" s="329">
        <v>5.6187072222222199</v>
      </c>
      <c r="D372" s="329">
        <v>114.88333299999999</v>
      </c>
      <c r="E372" s="316" t="s">
        <v>1700</v>
      </c>
      <c r="F372" s="316" t="s">
        <v>1700</v>
      </c>
      <c r="G372" s="317">
        <v>149.21000000000004</v>
      </c>
      <c r="H372" s="317">
        <v>89.042101817156677</v>
      </c>
      <c r="I372" s="317">
        <v>100.77620059943052</v>
      </c>
      <c r="J372" s="317">
        <v>100.77620059943052</v>
      </c>
      <c r="K372" s="318">
        <v>67.539843575786136</v>
      </c>
      <c r="L372" s="318">
        <v>53.370604998791201</v>
      </c>
      <c r="M372" s="319">
        <v>43.596059115578697</v>
      </c>
      <c r="N372" s="319">
        <v>-23.943784460207439</v>
      </c>
      <c r="O372" s="319">
        <f t="shared" si="5"/>
        <v>0</v>
      </c>
      <c r="P372" s="317">
        <v>0</v>
      </c>
      <c r="Q372" s="315" t="s">
        <v>1148</v>
      </c>
      <c r="R372" s="318">
        <v>160</v>
      </c>
      <c r="T372" s="320">
        <v>71.111111111111114</v>
      </c>
      <c r="U372" s="318">
        <v>37.299999999999997</v>
      </c>
      <c r="V372" s="318">
        <v>746</v>
      </c>
      <c r="W372" s="318">
        <v>210</v>
      </c>
      <c r="X372" s="315">
        <v>0.22500000000000001</v>
      </c>
      <c r="Y372" s="318">
        <v>750</v>
      </c>
      <c r="Z372" s="315">
        <v>61</v>
      </c>
      <c r="AA372" s="315" t="s">
        <v>1420</v>
      </c>
      <c r="AB372" s="315">
        <v>4</v>
      </c>
      <c r="AC372" s="315" t="s">
        <v>1190</v>
      </c>
    </row>
    <row r="373" spans="1:29">
      <c r="A373" s="315" t="s">
        <v>1145</v>
      </c>
      <c r="B373" s="315" t="s">
        <v>1074</v>
      </c>
      <c r="C373" s="329">
        <v>5.63502888888888</v>
      </c>
      <c r="D373" s="329">
        <v>114.88333299999999</v>
      </c>
      <c r="E373" s="316" t="s">
        <v>1702</v>
      </c>
      <c r="F373" s="316" t="s">
        <v>1702</v>
      </c>
      <c r="G373" s="317">
        <v>6.9300000000000006</v>
      </c>
      <c r="H373" s="317">
        <v>2.7629169643357345</v>
      </c>
      <c r="I373" s="317">
        <v>3.1591202368092306</v>
      </c>
      <c r="J373" s="317">
        <v>3.1591202368092306</v>
      </c>
      <c r="K373" s="318">
        <v>45.586150603307793</v>
      </c>
      <c r="L373" s="318">
        <v>61.7080129711197</v>
      </c>
      <c r="M373" s="319">
        <v>41.223126749739301</v>
      </c>
      <c r="N373" s="319">
        <v>-4.3630238535684924</v>
      </c>
      <c r="O373" s="319">
        <f t="shared" si="5"/>
        <v>0</v>
      </c>
      <c r="P373" s="317">
        <v>0</v>
      </c>
      <c r="Q373" s="315" t="s">
        <v>1148</v>
      </c>
      <c r="R373" s="318">
        <v>160</v>
      </c>
      <c r="T373" s="320">
        <v>71.111111111111114</v>
      </c>
      <c r="U373" s="318">
        <v>37</v>
      </c>
      <c r="V373" s="318">
        <v>99.18</v>
      </c>
      <c r="W373" s="318">
        <v>59.508000000000003</v>
      </c>
      <c r="X373" s="315">
        <v>0.22</v>
      </c>
      <c r="Y373" s="318">
        <v>350</v>
      </c>
      <c r="Z373" s="315">
        <v>6</v>
      </c>
      <c r="AA373" s="315" t="s">
        <v>1149</v>
      </c>
      <c r="AB373" s="315">
        <v>0</v>
      </c>
      <c r="AC373" s="315" t="s">
        <v>1157</v>
      </c>
    </row>
    <row r="374" spans="1:29">
      <c r="A374" s="315" t="s">
        <v>1145</v>
      </c>
      <c r="B374" s="315" t="s">
        <v>1074</v>
      </c>
      <c r="C374" s="329">
        <v>5.6054594444444401</v>
      </c>
      <c r="D374" s="329">
        <v>114.88333299999999</v>
      </c>
      <c r="E374" s="316" t="s">
        <v>1703</v>
      </c>
      <c r="F374" s="316" t="s">
        <v>1703</v>
      </c>
      <c r="G374" s="317">
        <v>9.7000000000000011</v>
      </c>
      <c r="H374" s="317">
        <v>3.0626815255637254</v>
      </c>
      <c r="I374" s="317">
        <v>3.8304275616007128</v>
      </c>
      <c r="J374" s="317">
        <v>3.8304275616007128</v>
      </c>
      <c r="K374" s="318">
        <v>39.488943934027965</v>
      </c>
      <c r="L374" s="318">
        <v>62.734440353496502</v>
      </c>
      <c r="M374" s="319">
        <v>40.414983342391494</v>
      </c>
      <c r="N374" s="319">
        <v>0.92603940836352905</v>
      </c>
      <c r="O374" s="319">
        <f t="shared" si="5"/>
        <v>0.92603940836352905</v>
      </c>
      <c r="P374" s="317">
        <v>8.9825822611262332E-2</v>
      </c>
      <c r="Q374" s="315" t="s">
        <v>1148</v>
      </c>
      <c r="R374" s="318">
        <v>160</v>
      </c>
      <c r="T374" s="320">
        <v>71.111111111111114</v>
      </c>
      <c r="U374" s="318">
        <v>18</v>
      </c>
      <c r="V374" s="318">
        <v>203.04</v>
      </c>
      <c r="W374" s="318">
        <v>121.82399999999998</v>
      </c>
      <c r="X374" s="315">
        <v>0.23499999999999999</v>
      </c>
      <c r="Y374" s="318">
        <v>470</v>
      </c>
      <c r="Z374" s="315">
        <v>15</v>
      </c>
      <c r="AA374" s="315" t="s">
        <v>1149</v>
      </c>
      <c r="AB374" s="315">
        <v>0</v>
      </c>
      <c r="AC374" s="315" t="s">
        <v>1190</v>
      </c>
    </row>
    <row r="375" spans="1:29">
      <c r="A375" s="315" t="s">
        <v>1145</v>
      </c>
      <c r="B375" s="315" t="s">
        <v>1074</v>
      </c>
      <c r="C375" s="329">
        <v>5.5983666666666601</v>
      </c>
      <c r="D375" s="329">
        <v>114.88333299999999</v>
      </c>
      <c r="E375" s="316" t="s">
        <v>1704</v>
      </c>
      <c r="F375" s="316" t="s">
        <v>1704</v>
      </c>
      <c r="G375" s="317">
        <v>4.6280000000000019</v>
      </c>
      <c r="H375" s="317">
        <v>1.8434973765409743</v>
      </c>
      <c r="I375" s="317">
        <v>2.064459682825297</v>
      </c>
      <c r="J375" s="317">
        <v>2.064459682825297</v>
      </c>
      <c r="K375" s="318">
        <v>44.608031176000353</v>
      </c>
      <c r="L375" s="318">
        <v>0</v>
      </c>
      <c r="M375" s="319">
        <v>0</v>
      </c>
      <c r="N375" s="319">
        <v>-44.608031176000353</v>
      </c>
      <c r="O375" s="319">
        <f t="shared" si="5"/>
        <v>0</v>
      </c>
      <c r="P375" s="317">
        <v>0</v>
      </c>
      <c r="Q375" s="315" t="s">
        <v>1148</v>
      </c>
      <c r="R375" s="318">
        <v>160</v>
      </c>
      <c r="T375" s="320">
        <v>71.111111111111114</v>
      </c>
      <c r="U375" s="318">
        <v>18</v>
      </c>
      <c r="V375" s="318">
        <v>134.97</v>
      </c>
      <c r="W375" s="318">
        <v>80.981999999999999</v>
      </c>
      <c r="X375" s="315">
        <v>0.23499999999999999</v>
      </c>
      <c r="Y375" s="318">
        <v>470</v>
      </c>
      <c r="Z375" s="315">
        <v>6</v>
      </c>
      <c r="AA375" s="315" t="s">
        <v>1149</v>
      </c>
      <c r="AB375" s="315">
        <v>0</v>
      </c>
      <c r="AC375" s="315" t="s">
        <v>1190</v>
      </c>
    </row>
    <row r="376" spans="1:29">
      <c r="A376" s="315" t="s">
        <v>1145</v>
      </c>
      <c r="B376" s="315" t="s">
        <v>1074</v>
      </c>
      <c r="C376" s="329">
        <v>5.6193580555555496</v>
      </c>
      <c r="D376" s="329">
        <v>114.88333299999999</v>
      </c>
      <c r="E376" s="316" t="s">
        <v>1706</v>
      </c>
      <c r="F376" s="316" t="s">
        <v>1706</v>
      </c>
      <c r="G376" s="317">
        <v>8.2580000000000009</v>
      </c>
      <c r="H376" s="317">
        <v>2.4929102091858826</v>
      </c>
      <c r="I376" s="317">
        <v>3.5842178687890045</v>
      </c>
      <c r="J376" s="317">
        <v>3.5842178687890045</v>
      </c>
      <c r="K376" s="318">
        <v>43.402977340627316</v>
      </c>
      <c r="L376" s="318">
        <v>0</v>
      </c>
      <c r="M376" s="319">
        <v>0</v>
      </c>
      <c r="N376" s="319">
        <v>-43.402977340627316</v>
      </c>
      <c r="O376" s="319">
        <f t="shared" si="5"/>
        <v>0</v>
      </c>
      <c r="P376" s="317">
        <v>0</v>
      </c>
      <c r="Q376" s="315" t="s">
        <v>1148</v>
      </c>
      <c r="R376" s="318">
        <v>160</v>
      </c>
      <c r="T376" s="320">
        <v>71.111111111111114</v>
      </c>
      <c r="U376" s="318">
        <v>18</v>
      </c>
      <c r="V376" s="318">
        <v>83.68</v>
      </c>
      <c r="W376" s="318">
        <v>50.208000000000006</v>
      </c>
      <c r="X376" s="315">
        <v>0.23499999999999999</v>
      </c>
      <c r="Y376" s="318">
        <v>470</v>
      </c>
      <c r="Z376" s="315">
        <v>7</v>
      </c>
      <c r="AA376" s="315" t="s">
        <v>1149</v>
      </c>
      <c r="AB376" s="315">
        <v>0</v>
      </c>
      <c r="AC376" s="315" t="s">
        <v>1190</v>
      </c>
    </row>
    <row r="377" spans="1:29">
      <c r="A377" s="315" t="s">
        <v>1145</v>
      </c>
      <c r="B377" s="315" t="s">
        <v>1074</v>
      </c>
      <c r="C377" s="329">
        <v>5.6057597222222197</v>
      </c>
      <c r="D377" s="329">
        <v>114.88333299999999</v>
      </c>
      <c r="E377" s="316" t="s">
        <v>1708</v>
      </c>
      <c r="F377" s="316" t="s">
        <v>1708</v>
      </c>
      <c r="G377" s="317">
        <v>32.116000000000007</v>
      </c>
      <c r="H377" s="317">
        <v>19.560622895327633</v>
      </c>
      <c r="I377" s="317">
        <v>19.841484073268571</v>
      </c>
      <c r="J377" s="317">
        <v>19.841484073268571</v>
      </c>
      <c r="K377" s="318">
        <v>61.78068275398109</v>
      </c>
      <c r="L377" s="318">
        <v>37.121625279244597</v>
      </c>
      <c r="M377" s="319">
        <v>47.5868471778507</v>
      </c>
      <c r="N377" s="319">
        <v>-14.19383557613039</v>
      </c>
      <c r="O377" s="319">
        <f t="shared" si="5"/>
        <v>0</v>
      </c>
      <c r="P377" s="317">
        <v>0</v>
      </c>
      <c r="Q377" s="315" t="s">
        <v>1148</v>
      </c>
      <c r="R377" s="318">
        <v>160</v>
      </c>
      <c r="T377" s="320">
        <v>71.111111111111114</v>
      </c>
      <c r="U377" s="318">
        <v>26.6</v>
      </c>
      <c r="V377" s="318">
        <v>301.74</v>
      </c>
      <c r="W377" s="318">
        <v>181.04400000000001</v>
      </c>
      <c r="X377" s="315">
        <v>0.3</v>
      </c>
      <c r="Y377" s="318">
        <v>600</v>
      </c>
      <c r="Z377" s="315">
        <v>23</v>
      </c>
      <c r="AA377" s="315" t="s">
        <v>1149</v>
      </c>
      <c r="AB377" s="315">
        <v>0</v>
      </c>
      <c r="AC377" s="315" t="s">
        <v>1190</v>
      </c>
    </row>
    <row r="378" spans="1:29">
      <c r="A378" s="315" t="s">
        <v>1145</v>
      </c>
      <c r="B378" s="315" t="s">
        <v>1074</v>
      </c>
      <c r="C378" s="329">
        <v>5.5953838888888798</v>
      </c>
      <c r="D378" s="329">
        <v>114.88333299999999</v>
      </c>
      <c r="E378" s="316" t="s">
        <v>1709</v>
      </c>
      <c r="F378" s="316" t="s">
        <v>1709</v>
      </c>
      <c r="G378" s="317">
        <v>15.582000000000004</v>
      </c>
      <c r="H378" s="317">
        <v>5.8066530482017056</v>
      </c>
      <c r="I378" s="317">
        <v>6.5829995243004111</v>
      </c>
      <c r="J378" s="317">
        <v>6.7598462306386349</v>
      </c>
      <c r="K378" s="318">
        <v>43.382404252590376</v>
      </c>
      <c r="L378" s="318">
        <v>40.432500651511297</v>
      </c>
      <c r="M378" s="319">
        <v>46.7622809749354</v>
      </c>
      <c r="N378" s="319">
        <v>3.3798767223450241</v>
      </c>
      <c r="O378" s="319">
        <f t="shared" si="5"/>
        <v>3.3798767223450241</v>
      </c>
      <c r="P378" s="317">
        <v>0.52665239087580173</v>
      </c>
      <c r="Q378" s="315" t="s">
        <v>1148</v>
      </c>
      <c r="R378" s="318">
        <v>160</v>
      </c>
      <c r="T378" s="320">
        <v>71.111111111111114</v>
      </c>
      <c r="U378" s="318">
        <v>36.5</v>
      </c>
      <c r="V378" s="318">
        <v>307.77</v>
      </c>
      <c r="W378" s="318">
        <v>184.66199999999998</v>
      </c>
      <c r="X378" s="315">
        <v>0.24</v>
      </c>
      <c r="Y378" s="318">
        <v>500</v>
      </c>
      <c r="Z378" s="315">
        <v>13</v>
      </c>
      <c r="AA378" s="315" t="s">
        <v>1149</v>
      </c>
      <c r="AB378" s="315">
        <v>0</v>
      </c>
      <c r="AC378" s="315" t="s">
        <v>1157</v>
      </c>
    </row>
    <row r="379" spans="1:29">
      <c r="A379" s="315" t="s">
        <v>1145</v>
      </c>
      <c r="B379" s="315" t="s">
        <v>1074</v>
      </c>
      <c r="C379" s="329">
        <v>5.6032855555555496</v>
      </c>
      <c r="D379" s="329">
        <v>114.88333299999999</v>
      </c>
      <c r="E379" s="316" t="s">
        <v>1710</v>
      </c>
      <c r="F379" s="316" t="s">
        <v>1710</v>
      </c>
      <c r="G379" s="317">
        <v>5.1100000000000012</v>
      </c>
      <c r="H379" s="317">
        <v>8.9591018299287947E-3</v>
      </c>
      <c r="I379" s="317">
        <v>0.2024484163348455</v>
      </c>
      <c r="J379" s="317">
        <v>0.2024484163348455</v>
      </c>
      <c r="K379" s="318">
        <v>3.9618085388423769</v>
      </c>
      <c r="L379" s="318">
        <v>59.726373838447103</v>
      </c>
      <c r="M379" s="319">
        <v>41.932922241205901</v>
      </c>
      <c r="N379" s="319">
        <v>37.971113702363525</v>
      </c>
      <c r="O379" s="319">
        <f t="shared" si="5"/>
        <v>37.971113702363525</v>
      </c>
      <c r="P379" s="317">
        <v>1.9403239101907765</v>
      </c>
      <c r="Q379" s="315" t="s">
        <v>1148</v>
      </c>
      <c r="R379" s="318">
        <v>160</v>
      </c>
      <c r="T379" s="320">
        <v>71.111111111111114</v>
      </c>
      <c r="U379" s="318">
        <v>37</v>
      </c>
      <c r="V379" s="318">
        <v>94.22</v>
      </c>
      <c r="W379" s="318">
        <v>56.531999999999996</v>
      </c>
      <c r="X379" s="315">
        <v>0.22500000000000001</v>
      </c>
      <c r="Y379" s="318">
        <v>750</v>
      </c>
      <c r="Z379" s="315">
        <v>1</v>
      </c>
      <c r="AA379" s="315" t="s">
        <v>1149</v>
      </c>
      <c r="AB379" s="315">
        <v>0</v>
      </c>
      <c r="AC379" s="315" t="s">
        <v>1157</v>
      </c>
    </row>
    <row r="380" spans="1:29">
      <c r="A380" s="315" t="s">
        <v>1145</v>
      </c>
      <c r="B380" s="315" t="s">
        <v>1074</v>
      </c>
      <c r="C380" s="329">
        <v>5.6185458333333296</v>
      </c>
      <c r="D380" s="329">
        <v>114.88333299999999</v>
      </c>
      <c r="E380" s="316" t="s">
        <v>1711</v>
      </c>
      <c r="F380" s="316" t="s">
        <v>1711</v>
      </c>
      <c r="G380" s="317">
        <v>25.320000000000007</v>
      </c>
      <c r="H380" s="317">
        <v>0.29585496042944048</v>
      </c>
      <c r="I380" s="317">
        <v>0.69144270298685617</v>
      </c>
      <c r="J380" s="317">
        <v>0.69144270298685617</v>
      </c>
      <c r="K380" s="318">
        <v>2.7308163625073303</v>
      </c>
      <c r="L380" s="318">
        <v>64.154765869498405</v>
      </c>
      <c r="M380" s="319">
        <v>40.070377451709497</v>
      </c>
      <c r="N380" s="319">
        <v>37.339561089202164</v>
      </c>
      <c r="O380" s="319">
        <f t="shared" si="5"/>
        <v>37.339561089202164</v>
      </c>
      <c r="P380" s="317">
        <v>9.4543768677859905</v>
      </c>
      <c r="Q380" s="315" t="s">
        <v>1148</v>
      </c>
      <c r="R380" s="318">
        <v>160</v>
      </c>
      <c r="T380" s="320">
        <v>71.111111111111114</v>
      </c>
      <c r="U380" s="318">
        <v>37</v>
      </c>
      <c r="V380" s="318">
        <v>346.36</v>
      </c>
      <c r="W380" s="318">
        <v>207.816</v>
      </c>
      <c r="X380" s="315">
        <v>0.22500000000000001</v>
      </c>
      <c r="Y380" s="318">
        <v>750</v>
      </c>
      <c r="Z380" s="315">
        <v>1</v>
      </c>
      <c r="AA380" s="315" t="s">
        <v>1149</v>
      </c>
      <c r="AB380" s="315">
        <v>0</v>
      </c>
      <c r="AC380" s="315" t="s">
        <v>1190</v>
      </c>
    </row>
    <row r="381" spans="1:29">
      <c r="A381" s="315" t="s">
        <v>1145</v>
      </c>
      <c r="B381" s="315" t="s">
        <v>1074</v>
      </c>
      <c r="C381" s="329">
        <v>5.6355583333333303</v>
      </c>
      <c r="D381" s="329">
        <v>114.88333299999999</v>
      </c>
      <c r="E381" s="316" t="s">
        <v>1712</v>
      </c>
      <c r="F381" s="316" t="s">
        <v>1712</v>
      </c>
      <c r="G381" s="317">
        <v>9.7000000000000011</v>
      </c>
      <c r="H381" s="317">
        <v>3.0626815255637254</v>
      </c>
      <c r="I381" s="317">
        <v>3.8304275616007128</v>
      </c>
      <c r="J381" s="317">
        <v>3.8304275616007128</v>
      </c>
      <c r="K381" s="318">
        <v>39.488943934027965</v>
      </c>
      <c r="L381" s="318">
        <v>62.734440353496502</v>
      </c>
      <c r="M381" s="319">
        <v>39.810318674268601</v>
      </c>
      <c r="N381" s="319">
        <v>0.3213747402406355</v>
      </c>
      <c r="O381" s="319">
        <f t="shared" si="5"/>
        <v>0.3213747402406355</v>
      </c>
      <c r="P381" s="317">
        <v>3.1173349803341646E-2</v>
      </c>
      <c r="Q381" s="315" t="s">
        <v>1148</v>
      </c>
      <c r="R381" s="318">
        <v>160</v>
      </c>
      <c r="T381" s="320">
        <v>71.111111111111114</v>
      </c>
      <c r="U381" s="318">
        <v>18</v>
      </c>
      <c r="V381" s="318">
        <v>134.97</v>
      </c>
      <c r="W381" s="318">
        <v>80.981999999999999</v>
      </c>
      <c r="X381" s="315">
        <v>0.23499999999999999</v>
      </c>
      <c r="Y381" s="318">
        <v>470</v>
      </c>
      <c r="Z381" s="315">
        <v>21</v>
      </c>
      <c r="AA381" s="315" t="s">
        <v>1149</v>
      </c>
      <c r="AB381" s="315">
        <v>0</v>
      </c>
      <c r="AC381" s="315" t="s">
        <v>1190</v>
      </c>
    </row>
    <row r="382" spans="1:29">
      <c r="A382" s="315" t="s">
        <v>1145</v>
      </c>
      <c r="B382" s="315" t="s">
        <v>1074</v>
      </c>
      <c r="C382" s="329">
        <v>5.6217108333333297</v>
      </c>
      <c r="D382" s="329">
        <v>114.88333299999999</v>
      </c>
      <c r="E382" s="316" t="s">
        <v>1713</v>
      </c>
      <c r="F382" s="316" t="s">
        <v>1713</v>
      </c>
      <c r="G382" s="317">
        <v>15.523000000000003</v>
      </c>
      <c r="H382" s="317">
        <v>5.2430684709156061</v>
      </c>
      <c r="I382" s="317">
        <v>5.6974153042526225</v>
      </c>
      <c r="J382" s="317">
        <v>5.6974153042526225</v>
      </c>
      <c r="K382" s="318">
        <v>36.703055493478203</v>
      </c>
      <c r="L382" s="318">
        <v>65.231588029467503</v>
      </c>
      <c r="M382" s="319">
        <v>39.345284118388705</v>
      </c>
      <c r="N382" s="319">
        <v>2.6422286249105014</v>
      </c>
      <c r="O382" s="319">
        <f t="shared" si="5"/>
        <v>2.6422286249105014</v>
      </c>
      <c r="P382" s="317">
        <v>0.4101531494448572</v>
      </c>
      <c r="Q382" s="315" t="s">
        <v>1148</v>
      </c>
      <c r="R382" s="318">
        <v>160</v>
      </c>
      <c r="T382" s="320">
        <v>71.111111111111114</v>
      </c>
      <c r="U382" s="318">
        <v>18.5</v>
      </c>
      <c r="V382" s="318">
        <v>236.61</v>
      </c>
      <c r="W382" s="318">
        <v>141.96600000000001</v>
      </c>
      <c r="X382" s="315">
        <v>0.31</v>
      </c>
      <c r="Y382" s="318">
        <v>1500</v>
      </c>
      <c r="Z382" s="315">
        <v>28</v>
      </c>
      <c r="AA382" s="315" t="s">
        <v>1149</v>
      </c>
      <c r="AB382" s="315">
        <v>0</v>
      </c>
      <c r="AC382" s="315" t="s">
        <v>1150</v>
      </c>
    </row>
    <row r="383" spans="1:29">
      <c r="A383" s="315" t="s">
        <v>1145</v>
      </c>
      <c r="B383" s="315" t="s">
        <v>1074</v>
      </c>
      <c r="C383" s="329">
        <v>5.6187750000000003</v>
      </c>
      <c r="D383" s="329">
        <v>114.88333299999999</v>
      </c>
      <c r="E383" s="316" t="s">
        <v>1714</v>
      </c>
      <c r="F383" s="316" t="s">
        <v>1714</v>
      </c>
      <c r="G383" s="317">
        <v>7.7380000000000022</v>
      </c>
      <c r="H383" s="317">
        <v>2.3311414761440372</v>
      </c>
      <c r="I383" s="317">
        <v>2.3586250222224394</v>
      </c>
      <c r="J383" s="317">
        <v>2.3586250222224394</v>
      </c>
      <c r="K383" s="318">
        <v>30.481067746477624</v>
      </c>
      <c r="L383" s="318">
        <v>64.265301466470603</v>
      </c>
      <c r="M383" s="319">
        <v>38.865502480174605</v>
      </c>
      <c r="N383" s="319">
        <v>8.3844347336969811</v>
      </c>
      <c r="O383" s="319">
        <f t="shared" si="5"/>
        <v>8.3844347336969811</v>
      </c>
      <c r="P383" s="317">
        <v>0.64878755969347257</v>
      </c>
      <c r="Q383" s="315" t="s">
        <v>1148</v>
      </c>
      <c r="R383" s="318">
        <v>160</v>
      </c>
      <c r="T383" s="320">
        <v>71.111111111111114</v>
      </c>
      <c r="U383" s="318">
        <v>18.5</v>
      </c>
      <c r="V383" s="318">
        <v>96.24</v>
      </c>
      <c r="W383" s="318">
        <v>57.743999999999993</v>
      </c>
      <c r="X383" s="315">
        <v>0.31</v>
      </c>
      <c r="Y383" s="318">
        <v>1500</v>
      </c>
      <c r="Z383" s="315">
        <v>24</v>
      </c>
      <c r="AA383" s="315" t="s">
        <v>1149</v>
      </c>
      <c r="AB383" s="315">
        <v>0</v>
      </c>
      <c r="AC383" s="315" t="s">
        <v>1190</v>
      </c>
    </row>
    <row r="384" spans="1:29">
      <c r="A384" s="315" t="s">
        <v>1145</v>
      </c>
      <c r="B384" s="315" t="s">
        <v>1074</v>
      </c>
      <c r="C384" s="329">
        <v>5.6180158333333301</v>
      </c>
      <c r="D384" s="329">
        <v>114.88333299999999</v>
      </c>
      <c r="E384" s="316" t="s">
        <v>1716</v>
      </c>
      <c r="F384" s="316" t="s">
        <v>1716</v>
      </c>
      <c r="G384" s="317">
        <v>38.004200000000004</v>
      </c>
      <c r="H384" s="317">
        <v>24.152886433313984</v>
      </c>
      <c r="I384" s="317">
        <v>24.687239708757325</v>
      </c>
      <c r="J384" s="317">
        <v>24.687239708757325</v>
      </c>
      <c r="K384" s="318">
        <v>64.959240580665607</v>
      </c>
      <c r="L384" s="318">
        <v>56.301253579532698</v>
      </c>
      <c r="M384" s="319">
        <v>41.897213477585296</v>
      </c>
      <c r="N384" s="319">
        <v>-23.062027103080311</v>
      </c>
      <c r="O384" s="319">
        <f t="shared" si="5"/>
        <v>0</v>
      </c>
      <c r="P384" s="317">
        <v>0</v>
      </c>
      <c r="Q384" s="315" t="s">
        <v>1148</v>
      </c>
      <c r="R384" s="318">
        <v>160</v>
      </c>
      <c r="T384" s="320">
        <v>71.111111111111114</v>
      </c>
      <c r="U384" s="318">
        <v>20</v>
      </c>
      <c r="V384" s="318">
        <v>129.28</v>
      </c>
      <c r="W384" s="318">
        <v>77.567999999999998</v>
      </c>
      <c r="X384" s="315">
        <v>0.3</v>
      </c>
      <c r="Y384" s="318">
        <v>1500</v>
      </c>
      <c r="Z384" s="315">
        <v>41</v>
      </c>
      <c r="AA384" s="315" t="s">
        <v>1149</v>
      </c>
      <c r="AB384" s="315">
        <v>0</v>
      </c>
      <c r="AC384" s="315" t="s">
        <v>1190</v>
      </c>
    </row>
    <row r="385" spans="1:29">
      <c r="A385" s="315" t="s">
        <v>1145</v>
      </c>
      <c r="B385" s="315" t="s">
        <v>1074</v>
      </c>
      <c r="C385" s="329">
        <v>5.6176213888888897</v>
      </c>
      <c r="D385" s="329">
        <v>114.88333299999999</v>
      </c>
      <c r="E385" s="316" t="s">
        <v>1718</v>
      </c>
      <c r="F385" s="316" t="s">
        <v>1718</v>
      </c>
      <c r="G385" s="317">
        <v>6.1185000000000009</v>
      </c>
      <c r="H385" s="317">
        <v>1.5249970114861287</v>
      </c>
      <c r="I385" s="317">
        <v>1.653635874807506</v>
      </c>
      <c r="J385" s="317">
        <v>1.653635874807506</v>
      </c>
      <c r="K385" s="318">
        <v>27.026818252962421</v>
      </c>
      <c r="L385" s="318">
        <v>55.531532876137703</v>
      </c>
      <c r="M385" s="319">
        <v>42.373774340930595</v>
      </c>
      <c r="N385" s="319">
        <v>15.346956087968174</v>
      </c>
      <c r="O385" s="319">
        <f t="shared" si="5"/>
        <v>15.346956087968174</v>
      </c>
      <c r="P385" s="317">
        <v>0.93900350824233292</v>
      </c>
      <c r="Q385" s="315" t="s">
        <v>1148</v>
      </c>
      <c r="R385" s="318">
        <v>160</v>
      </c>
      <c r="T385" s="320">
        <v>71.111111111111114</v>
      </c>
      <c r="U385" s="318">
        <v>20</v>
      </c>
      <c r="V385" s="318">
        <v>51.75</v>
      </c>
      <c r="W385" s="318">
        <v>31.049999999999997</v>
      </c>
      <c r="X385" s="315">
        <v>0.3</v>
      </c>
      <c r="Y385" s="318">
        <v>1500</v>
      </c>
      <c r="Z385" s="315">
        <v>8</v>
      </c>
      <c r="AA385" s="315" t="s">
        <v>1149</v>
      </c>
      <c r="AB385" s="315">
        <v>0</v>
      </c>
      <c r="AC385" s="315" t="s">
        <v>1190</v>
      </c>
    </row>
    <row r="386" spans="1:29">
      <c r="A386" s="315" t="s">
        <v>1145</v>
      </c>
      <c r="B386" s="315" t="s">
        <v>1074</v>
      </c>
      <c r="C386" s="329">
        <v>5.6157021568627403</v>
      </c>
      <c r="D386" s="329">
        <v>114.88333299999999</v>
      </c>
      <c r="E386" s="316" t="s">
        <v>1719</v>
      </c>
      <c r="F386" s="316" t="s">
        <v>1719</v>
      </c>
      <c r="G386" s="317">
        <v>6.6894000000000009</v>
      </c>
      <c r="H386" s="317">
        <v>1.8265086730709705</v>
      </c>
      <c r="I386" s="317">
        <v>2.1409306378853099</v>
      </c>
      <c r="J386" s="317">
        <v>2.1409306378853099</v>
      </c>
      <c r="K386" s="318">
        <v>32.00482312143555</v>
      </c>
      <c r="L386" s="318">
        <v>56.061052619009999</v>
      </c>
      <c r="M386" s="319">
        <v>41.823293981602397</v>
      </c>
      <c r="N386" s="319">
        <v>9.8184708601668476</v>
      </c>
      <c r="O386" s="319">
        <f t="shared" ref="O386:O449" si="6">IF(N386&lt;0,0,N386)</f>
        <v>9.8184708601668476</v>
      </c>
      <c r="P386" s="317">
        <v>0.65679678972000122</v>
      </c>
      <c r="Q386" s="315" t="s">
        <v>1148</v>
      </c>
      <c r="R386" s="318">
        <v>160</v>
      </c>
      <c r="T386" s="320">
        <v>71.111111111111114</v>
      </c>
      <c r="U386" s="318">
        <v>20</v>
      </c>
      <c r="V386" s="318">
        <v>24.1</v>
      </c>
      <c r="W386" s="318">
        <v>14.46</v>
      </c>
      <c r="X386" s="315">
        <v>0.3</v>
      </c>
      <c r="Y386" s="318">
        <v>1500</v>
      </c>
      <c r="Z386" s="315">
        <v>9</v>
      </c>
      <c r="AA386" s="315" t="s">
        <v>1149</v>
      </c>
      <c r="AB386" s="315">
        <v>0</v>
      </c>
      <c r="AC386" s="315" t="s">
        <v>1190</v>
      </c>
    </row>
    <row r="387" spans="1:29">
      <c r="A387" s="315" t="s">
        <v>1145</v>
      </c>
      <c r="B387" s="315" t="s">
        <v>1074</v>
      </c>
      <c r="C387" s="329">
        <v>5.6156952883843596</v>
      </c>
      <c r="D387" s="329">
        <v>114.88333299999999</v>
      </c>
      <c r="E387" s="316" t="s">
        <v>1720</v>
      </c>
      <c r="F387" s="316" t="s">
        <v>1720</v>
      </c>
      <c r="G387" s="317">
        <v>16.344400000000004</v>
      </c>
      <c r="H387" s="317">
        <v>8.5348065432649545</v>
      </c>
      <c r="I387" s="317">
        <v>8.8778822082976827</v>
      </c>
      <c r="J387" s="317">
        <v>8.8778822082976827</v>
      </c>
      <c r="K387" s="318">
        <v>54.317577936771499</v>
      </c>
      <c r="L387" s="318">
        <v>57.902836850704503</v>
      </c>
      <c r="M387" s="319">
        <v>41.029081449137401</v>
      </c>
      <c r="N387" s="319">
        <v>-13.288496487634099</v>
      </c>
      <c r="O387" s="319">
        <f t="shared" si="6"/>
        <v>0</v>
      </c>
      <c r="P387" s="317">
        <v>0</v>
      </c>
      <c r="Q387" s="315" t="s">
        <v>1148</v>
      </c>
      <c r="R387" s="318">
        <v>160</v>
      </c>
      <c r="T387" s="320">
        <v>71.111111111111114</v>
      </c>
      <c r="U387" s="318">
        <v>19</v>
      </c>
      <c r="V387" s="318">
        <v>162.99</v>
      </c>
      <c r="W387" s="318">
        <v>97.793999999999997</v>
      </c>
      <c r="X387" s="315">
        <v>0.3</v>
      </c>
      <c r="Y387" s="318">
        <v>1000</v>
      </c>
      <c r="Z387" s="315">
        <v>11</v>
      </c>
      <c r="AA387" s="315" t="s">
        <v>1149</v>
      </c>
      <c r="AB387" s="315">
        <v>0</v>
      </c>
      <c r="AC387" s="315" t="s">
        <v>1150</v>
      </c>
    </row>
    <row r="388" spans="1:29">
      <c r="A388" s="315" t="s">
        <v>1145</v>
      </c>
      <c r="B388" s="315" t="s">
        <v>1074</v>
      </c>
      <c r="C388" s="329">
        <v>5.61568841990597</v>
      </c>
      <c r="D388" s="329">
        <v>114.88333299999999</v>
      </c>
      <c r="E388" s="316" t="s">
        <v>1721</v>
      </c>
      <c r="F388" s="316" t="s">
        <v>1721</v>
      </c>
      <c r="G388" s="317">
        <v>97.986000000000033</v>
      </c>
      <c r="H388" s="317">
        <v>69.549304705695818</v>
      </c>
      <c r="I388" s="317">
        <v>71.448713772194566</v>
      </c>
      <c r="J388" s="317">
        <v>71.501405104226563</v>
      </c>
      <c r="K388" s="318">
        <v>72.971041887847804</v>
      </c>
      <c r="L388" s="318">
        <v>54.306168077827301</v>
      </c>
      <c r="M388" s="319">
        <v>43.511438479886202</v>
      </c>
      <c r="N388" s="319">
        <v>-29.459603407961602</v>
      </c>
      <c r="O388" s="319">
        <f t="shared" si="6"/>
        <v>0</v>
      </c>
      <c r="P388" s="317">
        <v>0</v>
      </c>
      <c r="Q388" s="315" t="s">
        <v>1148</v>
      </c>
      <c r="R388" s="318">
        <v>160</v>
      </c>
      <c r="T388" s="320">
        <v>71.111111111111114</v>
      </c>
      <c r="U388" s="318">
        <v>26.6</v>
      </c>
      <c r="V388" s="318">
        <v>610</v>
      </c>
      <c r="W388" s="318">
        <v>290</v>
      </c>
      <c r="X388" s="315">
        <v>0.3</v>
      </c>
      <c r="Y388" s="318">
        <v>600</v>
      </c>
      <c r="Z388" s="315">
        <v>20</v>
      </c>
      <c r="AA388" s="315" t="s">
        <v>1149</v>
      </c>
      <c r="AB388" s="315">
        <v>0</v>
      </c>
      <c r="AC388" s="315" t="s">
        <v>1157</v>
      </c>
    </row>
    <row r="389" spans="1:29">
      <c r="A389" s="315" t="s">
        <v>1145</v>
      </c>
      <c r="B389" s="315" t="s">
        <v>1074</v>
      </c>
      <c r="C389" s="329">
        <v>5.6156815514275902</v>
      </c>
      <c r="D389" s="329">
        <v>114.88333299999999</v>
      </c>
      <c r="E389" s="316" t="s">
        <v>1722</v>
      </c>
      <c r="F389" s="316" t="s">
        <v>1722</v>
      </c>
      <c r="G389" s="317">
        <v>42.488000000000007</v>
      </c>
      <c r="H389" s="317">
        <v>36.523227960000767</v>
      </c>
      <c r="I389" s="317">
        <v>37.237890742490663</v>
      </c>
      <c r="J389" s="317">
        <v>37.237890742490663</v>
      </c>
      <c r="K389" s="318">
        <v>87.643312800062745</v>
      </c>
      <c r="L389" s="318">
        <v>48.951421278965299</v>
      </c>
      <c r="M389" s="319">
        <v>45.087543635958696</v>
      </c>
      <c r="N389" s="319">
        <v>-42.555769164104049</v>
      </c>
      <c r="O389" s="319">
        <f t="shared" si="6"/>
        <v>0</v>
      </c>
      <c r="P389" s="317">
        <v>0</v>
      </c>
      <c r="Q389" s="315" t="s">
        <v>1148</v>
      </c>
      <c r="R389" s="318">
        <v>160</v>
      </c>
      <c r="T389" s="320">
        <v>71.111111111111114</v>
      </c>
      <c r="U389" s="318">
        <v>36.5</v>
      </c>
      <c r="V389" s="318">
        <v>322</v>
      </c>
      <c r="W389" s="318">
        <v>126</v>
      </c>
      <c r="X389" s="315">
        <v>0.24</v>
      </c>
      <c r="Y389" s="318">
        <v>500</v>
      </c>
      <c r="Z389" s="315">
        <v>19</v>
      </c>
      <c r="AA389" s="315" t="s">
        <v>1149</v>
      </c>
      <c r="AB389" s="315">
        <v>0</v>
      </c>
      <c r="AC389" s="315" t="s">
        <v>1157</v>
      </c>
    </row>
    <row r="390" spans="1:29">
      <c r="A390" s="315" t="s">
        <v>1145</v>
      </c>
      <c r="B390" s="315" t="s">
        <v>1074</v>
      </c>
      <c r="C390" s="329">
        <v>5.6156746829491997</v>
      </c>
      <c r="D390" s="329">
        <v>114.88333299999999</v>
      </c>
      <c r="E390" s="316" t="s">
        <v>1724</v>
      </c>
      <c r="F390" s="316" t="s">
        <v>1724</v>
      </c>
      <c r="G390" s="317">
        <v>21.260000000000005</v>
      </c>
      <c r="H390" s="317">
        <v>5.7356858216148714</v>
      </c>
      <c r="I390" s="317">
        <v>5.7411825109891597</v>
      </c>
      <c r="J390" s="317">
        <v>5.7411825109891597</v>
      </c>
      <c r="K390" s="318">
        <v>27.00462140634599</v>
      </c>
      <c r="L390" s="318">
        <v>64.154765869498405</v>
      </c>
      <c r="M390" s="319">
        <v>40.070377451709497</v>
      </c>
      <c r="N390" s="319">
        <v>13.065756045363507</v>
      </c>
      <c r="O390" s="319">
        <f t="shared" si="6"/>
        <v>13.065756045363507</v>
      </c>
      <c r="P390" s="317">
        <v>2.7777797352442826</v>
      </c>
      <c r="Q390" s="315" t="s">
        <v>1148</v>
      </c>
      <c r="R390" s="318">
        <v>160</v>
      </c>
      <c r="T390" s="320">
        <v>71.111111111111114</v>
      </c>
      <c r="U390" s="318">
        <v>37</v>
      </c>
      <c r="V390" s="318">
        <v>346.36</v>
      </c>
      <c r="W390" s="318">
        <v>207.816</v>
      </c>
      <c r="X390" s="315">
        <v>0.22500000000000001</v>
      </c>
      <c r="Y390" s="318">
        <v>750</v>
      </c>
      <c r="Z390" s="315">
        <v>12</v>
      </c>
      <c r="AA390" s="315" t="s">
        <v>1149</v>
      </c>
      <c r="AB390" s="315">
        <v>0</v>
      </c>
      <c r="AC390" s="315" t="s">
        <v>1190</v>
      </c>
    </row>
    <row r="391" spans="1:29">
      <c r="A391" s="315" t="s">
        <v>1391</v>
      </c>
      <c r="B391" s="315" t="s">
        <v>1074</v>
      </c>
      <c r="C391" s="329">
        <v>5.6156678144708199</v>
      </c>
      <c r="D391" s="329">
        <v>114.88333299999999</v>
      </c>
      <c r="E391" s="316" t="s">
        <v>1726</v>
      </c>
      <c r="F391" s="316" t="s">
        <v>1726</v>
      </c>
      <c r="G391" s="317">
        <v>15.582000000000004</v>
      </c>
      <c r="H391" s="317">
        <v>5.8066530482017056</v>
      </c>
      <c r="I391" s="317">
        <v>6.5829995243004111</v>
      </c>
      <c r="J391" s="317">
        <v>6.7598462306386349</v>
      </c>
      <c r="K391" s="318">
        <v>43.382404252590376</v>
      </c>
      <c r="L391" s="318">
        <v>73.553217693095306</v>
      </c>
      <c r="M391" s="319">
        <v>34.438603715889101</v>
      </c>
      <c r="N391" s="319">
        <v>-8.943800536701275</v>
      </c>
      <c r="O391" s="319">
        <f t="shared" si="6"/>
        <v>0</v>
      </c>
      <c r="P391" s="317">
        <v>0</v>
      </c>
      <c r="Q391" s="315" t="s">
        <v>1148</v>
      </c>
      <c r="R391" s="318">
        <v>160</v>
      </c>
      <c r="T391" s="320">
        <v>71.111111111111114</v>
      </c>
      <c r="U391" s="318">
        <v>36.5</v>
      </c>
      <c r="V391" s="318">
        <v>180.56</v>
      </c>
      <c r="W391" s="318">
        <v>108.336</v>
      </c>
      <c r="X391" s="315">
        <v>0.23499999999999999</v>
      </c>
      <c r="Y391" s="318">
        <v>362</v>
      </c>
      <c r="Z391" s="315">
        <v>6</v>
      </c>
      <c r="AA391" s="315" t="s">
        <v>1149</v>
      </c>
      <c r="AB391" s="315">
        <v>0</v>
      </c>
      <c r="AC391" s="315" t="s">
        <v>1157</v>
      </c>
    </row>
    <row r="392" spans="1:29">
      <c r="A392" s="315" t="s">
        <v>1393</v>
      </c>
      <c r="B392" s="315" t="s">
        <v>1074</v>
      </c>
      <c r="C392" s="329">
        <v>5.6156609459924303</v>
      </c>
      <c r="D392" s="329">
        <v>114.88333299999999</v>
      </c>
      <c r="E392" s="316" t="s">
        <v>1727</v>
      </c>
      <c r="F392" s="316" t="s">
        <v>1727</v>
      </c>
      <c r="G392" s="317">
        <v>3.7930000000000006</v>
      </c>
      <c r="H392" s="317">
        <v>0.13899812839086803</v>
      </c>
      <c r="I392" s="317">
        <v>0.13899812839086803</v>
      </c>
      <c r="J392" s="317">
        <v>0.13899812839086803</v>
      </c>
      <c r="K392" s="318">
        <v>3.6645960556516739</v>
      </c>
      <c r="L392" s="318">
        <v>68.803619493124302</v>
      </c>
      <c r="M392" s="319">
        <v>37.4743015761237</v>
      </c>
      <c r="N392" s="319">
        <v>33.809705520472029</v>
      </c>
      <c r="O392" s="319">
        <f t="shared" si="6"/>
        <v>33.809705520472029</v>
      </c>
      <c r="P392" s="317">
        <v>1.2824021303915043</v>
      </c>
      <c r="Q392" s="315" t="s">
        <v>1148</v>
      </c>
      <c r="R392" s="318">
        <v>160</v>
      </c>
      <c r="T392" s="320">
        <v>71.111111111111114</v>
      </c>
      <c r="U392" s="318">
        <v>36.5</v>
      </c>
      <c r="V392" s="318">
        <v>231.55</v>
      </c>
      <c r="W392" s="318">
        <v>138.93</v>
      </c>
      <c r="X392" s="315">
        <v>0.23499999999999999</v>
      </c>
      <c r="Y392" s="318">
        <v>362</v>
      </c>
      <c r="Z392" s="315">
        <v>5</v>
      </c>
      <c r="AA392" s="315" t="s">
        <v>1149</v>
      </c>
      <c r="AB392" s="315">
        <v>0</v>
      </c>
      <c r="AC392" s="315" t="s">
        <v>1157</v>
      </c>
    </row>
    <row r="393" spans="1:29">
      <c r="A393" s="315" t="s">
        <v>1395</v>
      </c>
      <c r="B393" s="315" t="s">
        <v>1074</v>
      </c>
      <c r="C393" s="329">
        <v>5.6156540775140504</v>
      </c>
      <c r="D393" s="329">
        <v>114.88333299999999</v>
      </c>
      <c r="E393" s="316" t="s">
        <v>1728</v>
      </c>
      <c r="F393" s="316" t="s">
        <v>1728</v>
      </c>
      <c r="G393" s="317">
        <v>15.582000000000004</v>
      </c>
      <c r="H393" s="317">
        <v>5.8066530482017056</v>
      </c>
      <c r="I393" s="317">
        <v>6.5829995243004111</v>
      </c>
      <c r="J393" s="317">
        <v>6.7598462306386349</v>
      </c>
      <c r="K393" s="318">
        <v>43.382404252590376</v>
      </c>
      <c r="L393" s="318">
        <v>73.468051991804302</v>
      </c>
      <c r="M393" s="319">
        <v>34.8219570746841</v>
      </c>
      <c r="N393" s="319">
        <v>-8.5604471779062763</v>
      </c>
      <c r="O393" s="319">
        <f t="shared" si="6"/>
        <v>0</v>
      </c>
      <c r="P393" s="317">
        <v>0</v>
      </c>
      <c r="Q393" s="315" t="s">
        <v>1148</v>
      </c>
      <c r="R393" s="318">
        <v>160</v>
      </c>
      <c r="T393" s="320">
        <v>71.111111111111114</v>
      </c>
      <c r="U393" s="318">
        <v>36.5</v>
      </c>
      <c r="V393" s="318">
        <v>180.56</v>
      </c>
      <c r="W393" s="318">
        <v>108.336</v>
      </c>
      <c r="X393" s="315">
        <v>0.23499999999999999</v>
      </c>
      <c r="Y393" s="318">
        <v>362</v>
      </c>
      <c r="Z393" s="315">
        <v>3</v>
      </c>
      <c r="AA393" s="315" t="s">
        <v>1149</v>
      </c>
      <c r="AB393" s="315">
        <v>0</v>
      </c>
      <c r="AC393" s="315" t="s">
        <v>1157</v>
      </c>
    </row>
    <row r="394" spans="1:29">
      <c r="A394" s="315" t="s">
        <v>1145</v>
      </c>
      <c r="B394" s="315" t="s">
        <v>1074</v>
      </c>
      <c r="C394" s="329">
        <v>5.6156472090356599</v>
      </c>
      <c r="D394" s="329">
        <v>114.88333299999999</v>
      </c>
      <c r="E394" s="316" t="s">
        <v>1730</v>
      </c>
      <c r="F394" s="316" t="s">
        <v>1730</v>
      </c>
      <c r="G394" s="317">
        <v>11.988000000000001</v>
      </c>
      <c r="H394" s="317">
        <v>1.1797886409760765</v>
      </c>
      <c r="I394" s="317">
        <v>1.2665924290617077</v>
      </c>
      <c r="J394" s="317">
        <v>1.2665924290617077</v>
      </c>
      <c r="K394" s="318">
        <v>10.565502411258821</v>
      </c>
      <c r="L394" s="318">
        <v>40.595287924175103</v>
      </c>
      <c r="M394" s="319">
        <v>47.076214828255196</v>
      </c>
      <c r="N394" s="319">
        <v>36.510712416996377</v>
      </c>
      <c r="O394" s="319">
        <f t="shared" si="6"/>
        <v>36.510712416996377</v>
      </c>
      <c r="P394" s="317">
        <v>4.3769042045495263</v>
      </c>
      <c r="Q394" s="315" t="s">
        <v>1148</v>
      </c>
      <c r="R394" s="318">
        <v>160</v>
      </c>
      <c r="T394" s="320">
        <v>71.111111111111114</v>
      </c>
      <c r="U394" s="318">
        <v>36.5</v>
      </c>
      <c r="V394" s="318">
        <v>307.77</v>
      </c>
      <c r="W394" s="318">
        <v>184.66199999999998</v>
      </c>
      <c r="X394" s="315">
        <v>0.24</v>
      </c>
      <c r="Y394" s="318">
        <v>500</v>
      </c>
      <c r="Z394" s="315">
        <v>3</v>
      </c>
      <c r="AA394" s="315" t="s">
        <v>1149</v>
      </c>
      <c r="AB394" s="315">
        <v>0</v>
      </c>
      <c r="AC394" s="315" t="s">
        <v>1157</v>
      </c>
    </row>
    <row r="395" spans="1:29">
      <c r="A395" s="315" t="s">
        <v>1145</v>
      </c>
      <c r="B395" s="315" t="s">
        <v>1074</v>
      </c>
      <c r="C395" s="329">
        <v>5.6156403405572703</v>
      </c>
      <c r="D395" s="329">
        <v>114.88333299999999</v>
      </c>
      <c r="E395" s="316" t="s">
        <v>1732</v>
      </c>
      <c r="F395" s="316" t="s">
        <v>1732</v>
      </c>
      <c r="G395" s="317">
        <v>7.6300000000000017</v>
      </c>
      <c r="H395" s="317">
        <v>0.23178894734372676</v>
      </c>
      <c r="I395" s="317">
        <v>0.85236409049608408</v>
      </c>
      <c r="J395" s="317">
        <v>0.85236409049608408</v>
      </c>
      <c r="K395" s="318">
        <v>11.171220058926394</v>
      </c>
      <c r="L395" s="318">
        <v>64.262043272001407</v>
      </c>
      <c r="M395" s="319">
        <v>39.071879385136697</v>
      </c>
      <c r="N395" s="319">
        <v>27.900659326210302</v>
      </c>
      <c r="O395" s="319">
        <f t="shared" si="6"/>
        <v>27.900659326210302</v>
      </c>
      <c r="P395" s="317">
        <v>2.1288203065898466</v>
      </c>
      <c r="Q395" s="315" t="s">
        <v>1148</v>
      </c>
      <c r="R395" s="318">
        <v>160</v>
      </c>
      <c r="T395" s="320">
        <v>71.111111111111114</v>
      </c>
      <c r="U395" s="318">
        <v>37</v>
      </c>
      <c r="V395" s="318">
        <v>346.36</v>
      </c>
      <c r="W395" s="318">
        <v>207.816</v>
      </c>
      <c r="X395" s="315">
        <v>0.22500000000000001</v>
      </c>
      <c r="Y395" s="318">
        <v>750</v>
      </c>
      <c r="Z395" s="315">
        <v>1</v>
      </c>
      <c r="AA395" s="315" t="s">
        <v>1149</v>
      </c>
      <c r="AB395" s="315">
        <v>0</v>
      </c>
      <c r="AC395" s="315" t="s">
        <v>1190</v>
      </c>
    </row>
    <row r="396" spans="1:29">
      <c r="A396" s="315" t="s">
        <v>1399</v>
      </c>
      <c r="B396" s="315" t="s">
        <v>1074</v>
      </c>
      <c r="C396" s="329">
        <v>5.6156334720788896</v>
      </c>
      <c r="D396" s="329">
        <v>114.88333299999999</v>
      </c>
      <c r="E396" s="316" t="s">
        <v>1734</v>
      </c>
      <c r="F396" s="316" t="s">
        <v>1734</v>
      </c>
      <c r="G396" s="317">
        <v>13.570000000000004</v>
      </c>
      <c r="H396" s="317">
        <v>2.8723616866902133</v>
      </c>
      <c r="I396" s="317">
        <v>3.1880596125354681</v>
      </c>
      <c r="J396" s="317">
        <v>3.1880596125354681</v>
      </c>
      <c r="K396" s="318">
        <v>23.493438559583399</v>
      </c>
      <c r="L396" s="318">
        <v>44.103155321127197</v>
      </c>
      <c r="M396" s="319">
        <v>44.918610126642299</v>
      </c>
      <c r="N396" s="319">
        <v>21.4251715670589</v>
      </c>
      <c r="O396" s="319">
        <f t="shared" si="6"/>
        <v>21.4251715670589</v>
      </c>
      <c r="P396" s="317">
        <v>2.9073957816498939</v>
      </c>
      <c r="Q396" s="315" t="s">
        <v>1148</v>
      </c>
      <c r="R396" s="318">
        <v>160</v>
      </c>
      <c r="T396" s="320">
        <v>71.111111111111114</v>
      </c>
      <c r="U396" s="318">
        <v>26.6</v>
      </c>
      <c r="V396" s="318">
        <v>397.4</v>
      </c>
      <c r="W396" s="318">
        <v>238.43999999999997</v>
      </c>
      <c r="X396" s="315">
        <v>0.3</v>
      </c>
      <c r="Y396" s="318">
        <v>600</v>
      </c>
      <c r="Z396" s="315">
        <v>7</v>
      </c>
      <c r="AA396" s="315" t="s">
        <v>1149</v>
      </c>
      <c r="AB396" s="315">
        <v>0</v>
      </c>
      <c r="AC396" s="315" t="s">
        <v>1190</v>
      </c>
    </row>
    <row r="397" spans="1:29">
      <c r="A397" s="315" t="s">
        <v>1401</v>
      </c>
      <c r="B397" s="315" t="s">
        <v>1074</v>
      </c>
      <c r="C397" s="329">
        <v>5.6156266036005</v>
      </c>
      <c r="D397" s="329">
        <v>114.88333299999999</v>
      </c>
      <c r="E397" s="316" t="s">
        <v>1736</v>
      </c>
      <c r="F397" s="316" t="s">
        <v>1736</v>
      </c>
      <c r="G397" s="317">
        <v>11.33</v>
      </c>
      <c r="H397" s="317">
        <v>1.204345</v>
      </c>
      <c r="I397" s="317">
        <v>1.2</v>
      </c>
      <c r="J397" s="317">
        <v>1.2</v>
      </c>
      <c r="K397" s="318">
        <v>10.591350397175638</v>
      </c>
      <c r="L397" s="318">
        <v>74.139044927025694</v>
      </c>
      <c r="M397" s="319">
        <v>33.922523694980399</v>
      </c>
      <c r="N397" s="319">
        <v>23.33117329780476</v>
      </c>
      <c r="O397" s="319">
        <f t="shared" si="6"/>
        <v>23.33117329780476</v>
      </c>
      <c r="P397" s="317">
        <v>2.6434219346412795</v>
      </c>
      <c r="Q397" s="315" t="s">
        <v>1148</v>
      </c>
      <c r="R397" s="318">
        <v>160</v>
      </c>
      <c r="T397" s="320">
        <v>71.111111111111114</v>
      </c>
      <c r="U397" s="318">
        <v>36.5</v>
      </c>
      <c r="V397" s="318">
        <v>370.93</v>
      </c>
      <c r="W397" s="318">
        <v>222.55799999999999</v>
      </c>
      <c r="X397" s="315">
        <v>0.23499999999999999</v>
      </c>
      <c r="Y397" s="318">
        <v>362</v>
      </c>
      <c r="Z397" s="315">
        <v>9</v>
      </c>
      <c r="AA397" s="315" t="s">
        <v>1149</v>
      </c>
      <c r="AB397" s="315">
        <v>0</v>
      </c>
      <c r="AC397" s="315" t="s">
        <v>1157</v>
      </c>
    </row>
    <row r="398" spans="1:29">
      <c r="A398" s="315" t="s">
        <v>1403</v>
      </c>
      <c r="B398" s="315" t="s">
        <v>1074</v>
      </c>
      <c r="C398" s="329">
        <v>5.6156197351221202</v>
      </c>
      <c r="D398" s="329">
        <v>114.88333299999999</v>
      </c>
      <c r="E398" s="316" t="s">
        <v>1737</v>
      </c>
      <c r="F398" s="316" t="s">
        <v>1737</v>
      </c>
      <c r="G398" s="317">
        <v>9.9400000000000013</v>
      </c>
      <c r="H398" s="317">
        <v>1.8830130846122002</v>
      </c>
      <c r="I398" s="317">
        <v>4.378162930322496</v>
      </c>
      <c r="J398" s="317">
        <v>4.378162930322496</v>
      </c>
      <c r="K398" s="318">
        <v>44.045904731614641</v>
      </c>
      <c r="L398" s="318">
        <v>73.553217693095306</v>
      </c>
      <c r="M398" s="319">
        <v>34.438603715889101</v>
      </c>
      <c r="N398" s="319">
        <v>-9.6073010157255396</v>
      </c>
      <c r="O398" s="319">
        <f t="shared" si="6"/>
        <v>0</v>
      </c>
      <c r="P398" s="317">
        <v>0</v>
      </c>
      <c r="Q398" s="315" t="s">
        <v>1148</v>
      </c>
      <c r="R398" s="318">
        <v>160</v>
      </c>
      <c r="T398" s="320">
        <v>71.111111111111114</v>
      </c>
      <c r="U398" s="318">
        <v>36.5</v>
      </c>
      <c r="V398" s="318">
        <v>231.55</v>
      </c>
      <c r="W398" s="318">
        <v>138.93</v>
      </c>
      <c r="X398" s="315">
        <v>0.23499999999999999</v>
      </c>
      <c r="Y398" s="318">
        <v>362</v>
      </c>
      <c r="Z398" s="315">
        <v>1</v>
      </c>
      <c r="AA398" s="315" t="s">
        <v>1149</v>
      </c>
      <c r="AB398" s="315">
        <v>0</v>
      </c>
      <c r="AC398" s="315" t="s">
        <v>1150</v>
      </c>
    </row>
    <row r="399" spans="1:29">
      <c r="A399" s="315" t="s">
        <v>1405</v>
      </c>
      <c r="B399" s="315" t="s">
        <v>1074</v>
      </c>
      <c r="C399" s="329">
        <v>5.6156128666437297</v>
      </c>
      <c r="D399" s="329">
        <v>114.88333299999999</v>
      </c>
      <c r="E399" s="316" t="s">
        <v>1738</v>
      </c>
      <c r="F399" s="316" t="s">
        <v>1738</v>
      </c>
      <c r="G399" s="317">
        <v>5.3990000000000009</v>
      </c>
      <c r="H399" s="317">
        <v>0.17697101430769827</v>
      </c>
      <c r="I399" s="317">
        <v>0.17697101430769827</v>
      </c>
      <c r="J399" s="317">
        <v>0.17697101430769827</v>
      </c>
      <c r="K399" s="318">
        <v>3.2778480145897064</v>
      </c>
      <c r="L399" s="318">
        <v>47.833058787023802</v>
      </c>
      <c r="M399" s="319">
        <v>45.2468947121315</v>
      </c>
      <c r="N399" s="319">
        <v>41.969046697541792</v>
      </c>
      <c r="O399" s="319">
        <f t="shared" si="6"/>
        <v>41.969046697541792</v>
      </c>
      <c r="P399" s="317">
        <v>2.2659088312002815</v>
      </c>
      <c r="Q399" s="315" t="s">
        <v>1148</v>
      </c>
      <c r="R399" s="318">
        <v>160</v>
      </c>
      <c r="T399" s="320">
        <v>71.111111111111114</v>
      </c>
      <c r="U399" s="318">
        <v>35</v>
      </c>
      <c r="V399" s="318">
        <v>406.47</v>
      </c>
      <c r="W399" s="318">
        <v>243.88200000000001</v>
      </c>
      <c r="X399" s="315">
        <v>0.18</v>
      </c>
      <c r="Y399" s="318">
        <v>500</v>
      </c>
      <c r="Z399" s="315">
        <v>2</v>
      </c>
      <c r="AA399" s="315" t="s">
        <v>1149</v>
      </c>
      <c r="AB399" s="315">
        <v>0</v>
      </c>
      <c r="AC399" s="315" t="s">
        <v>1190</v>
      </c>
    </row>
    <row r="400" spans="1:29">
      <c r="A400" s="315" t="s">
        <v>1407</v>
      </c>
      <c r="B400" s="315" t="s">
        <v>1074</v>
      </c>
      <c r="C400" s="329">
        <v>5.6156059981653499</v>
      </c>
      <c r="D400" s="329">
        <v>114.88333299999999</v>
      </c>
      <c r="E400" s="316" t="s">
        <v>1739</v>
      </c>
      <c r="F400" s="316" t="s">
        <v>1739</v>
      </c>
      <c r="G400" s="317">
        <v>3.9350000000000009</v>
      </c>
      <c r="H400" s="317">
        <v>9.3207419037950823E-2</v>
      </c>
      <c r="I400" s="317">
        <v>9.3207419037950823E-2</v>
      </c>
      <c r="J400" s="317">
        <v>0.6140708190379508</v>
      </c>
      <c r="K400" s="318">
        <v>15.60535753590726</v>
      </c>
      <c r="L400" s="318">
        <v>50.026995006168299</v>
      </c>
      <c r="M400" s="319">
        <v>42.444669953376099</v>
      </c>
      <c r="N400" s="319">
        <v>26.83931241746884</v>
      </c>
      <c r="O400" s="319">
        <f t="shared" si="6"/>
        <v>26.83931241746884</v>
      </c>
      <c r="P400" s="317">
        <v>1.0561269436273992</v>
      </c>
      <c r="Q400" s="315" t="s">
        <v>1148</v>
      </c>
      <c r="R400" s="318">
        <v>160</v>
      </c>
      <c r="T400" s="320">
        <v>71.111111111111114</v>
      </c>
      <c r="U400" s="318">
        <v>35</v>
      </c>
      <c r="V400" s="318">
        <v>215.24</v>
      </c>
      <c r="W400" s="318">
        <v>129.14400000000001</v>
      </c>
      <c r="X400" s="315">
        <v>0.19</v>
      </c>
      <c r="Y400" s="318">
        <v>75</v>
      </c>
      <c r="Z400" s="315">
        <v>7</v>
      </c>
      <c r="AA400" s="315" t="s">
        <v>1149</v>
      </c>
      <c r="AB400" s="315">
        <v>0</v>
      </c>
      <c r="AC400" s="315" t="s">
        <v>1190</v>
      </c>
    </row>
    <row r="401" spans="1:29">
      <c r="A401" s="315" t="s">
        <v>1409</v>
      </c>
      <c r="B401" s="315" t="s">
        <v>1074</v>
      </c>
      <c r="C401" s="329">
        <v>5.6155991296869603</v>
      </c>
      <c r="D401" s="329">
        <v>114.88333299999999</v>
      </c>
      <c r="E401" s="316" t="s">
        <v>1740</v>
      </c>
      <c r="F401" s="316" t="s">
        <v>1740</v>
      </c>
      <c r="G401" s="317">
        <v>14.634000000000002</v>
      </c>
      <c r="H401" s="317">
        <v>5.5278277290787097</v>
      </c>
      <c r="I401" s="317">
        <v>5.7538764104535973</v>
      </c>
      <c r="J401" s="317">
        <v>5.7538764104535973</v>
      </c>
      <c r="K401" s="318">
        <v>39.318548656919475</v>
      </c>
      <c r="L401" s="318">
        <v>50.3806069437818</v>
      </c>
      <c r="M401" s="319">
        <v>43.700217590134599</v>
      </c>
      <c r="N401" s="319">
        <v>4.3816689332151242</v>
      </c>
      <c r="O401" s="319">
        <f t="shared" si="6"/>
        <v>4.3816689332151242</v>
      </c>
      <c r="P401" s="317">
        <v>0.64121343168670142</v>
      </c>
      <c r="Q401" s="315" t="s">
        <v>1148</v>
      </c>
      <c r="R401" s="318">
        <v>160</v>
      </c>
      <c r="T401" s="320">
        <v>71.111111111111114</v>
      </c>
      <c r="U401" s="318">
        <v>37</v>
      </c>
      <c r="V401" s="318">
        <v>204.84</v>
      </c>
      <c r="W401" s="318">
        <v>122.904</v>
      </c>
      <c r="X401" s="315">
        <v>0.22</v>
      </c>
      <c r="Y401" s="318">
        <v>350</v>
      </c>
      <c r="Z401" s="315">
        <v>5</v>
      </c>
      <c r="AA401" s="315" t="s">
        <v>1149</v>
      </c>
      <c r="AB401" s="315">
        <v>0</v>
      </c>
      <c r="AC401" s="315" t="s">
        <v>1190</v>
      </c>
    </row>
    <row r="402" spans="1:29">
      <c r="A402" s="315" t="s">
        <v>1145</v>
      </c>
      <c r="B402" s="315" t="s">
        <v>1074</v>
      </c>
      <c r="C402" s="329">
        <v>5.6155922612085796</v>
      </c>
      <c r="D402" s="329">
        <v>114.88333299999999</v>
      </c>
      <c r="E402" s="316" t="s">
        <v>1741</v>
      </c>
      <c r="F402" s="316" t="s">
        <v>1741</v>
      </c>
      <c r="G402" s="317">
        <v>34.373000000000005</v>
      </c>
      <c r="H402" s="317">
        <v>2.862453353637858</v>
      </c>
      <c r="I402" s="317">
        <v>2.862453353637858</v>
      </c>
      <c r="J402" s="317">
        <v>2.862453353637858</v>
      </c>
      <c r="K402" s="318">
        <v>8.3276215449272915</v>
      </c>
      <c r="L402" s="318">
        <v>48.281439851255598</v>
      </c>
      <c r="M402" s="319">
        <v>44.095328219558397</v>
      </c>
      <c r="N402" s="319">
        <v>35.767706674631107</v>
      </c>
      <c r="O402" s="319">
        <f t="shared" si="6"/>
        <v>35.767706674631107</v>
      </c>
      <c r="P402" s="317">
        <v>12.294433815270951</v>
      </c>
      <c r="Q402" s="315" t="s">
        <v>1148</v>
      </c>
      <c r="R402" s="318">
        <v>160</v>
      </c>
      <c r="T402" s="320">
        <v>71.111111111111114</v>
      </c>
      <c r="U402" s="318">
        <v>35</v>
      </c>
      <c r="V402" s="318">
        <v>406.47</v>
      </c>
      <c r="W402" s="318">
        <v>243.88200000000001</v>
      </c>
      <c r="X402" s="315">
        <v>0.18</v>
      </c>
      <c r="Y402" s="318">
        <v>175</v>
      </c>
      <c r="Z402" s="315">
        <v>18</v>
      </c>
      <c r="AA402" s="315" t="s">
        <v>1149</v>
      </c>
      <c r="AB402" s="315">
        <v>0</v>
      </c>
      <c r="AC402" s="315" t="s">
        <v>1190</v>
      </c>
    </row>
    <row r="403" spans="1:29">
      <c r="A403" s="315" t="s">
        <v>1229</v>
      </c>
      <c r="B403" s="315" t="s">
        <v>1074</v>
      </c>
      <c r="C403" s="329">
        <v>5.61558539273019</v>
      </c>
      <c r="D403" s="329">
        <v>114.88333299999999</v>
      </c>
      <c r="E403" s="316" t="s">
        <v>1742</v>
      </c>
      <c r="F403" s="316" t="s">
        <v>1742</v>
      </c>
      <c r="G403" s="317">
        <v>7.1940000000000008</v>
      </c>
      <c r="H403" s="317">
        <v>2.9044438932431191</v>
      </c>
      <c r="I403" s="317">
        <v>2.9044438932431191</v>
      </c>
      <c r="J403" s="317">
        <v>4.1432405932431191</v>
      </c>
      <c r="K403" s="318">
        <v>57.593002408161233</v>
      </c>
      <c r="L403" s="318">
        <v>49.965508015644097</v>
      </c>
      <c r="M403" s="319">
        <v>42.061596244975803</v>
      </c>
      <c r="N403" s="319">
        <v>-15.53140616318543</v>
      </c>
      <c r="O403" s="319">
        <f t="shared" si="6"/>
        <v>0</v>
      </c>
      <c r="P403" s="317">
        <v>0</v>
      </c>
      <c r="Q403" s="315" t="s">
        <v>1148</v>
      </c>
      <c r="R403" s="318">
        <v>160</v>
      </c>
      <c r="T403" s="320">
        <v>71.111111111111114</v>
      </c>
      <c r="U403" s="318">
        <v>35</v>
      </c>
      <c r="V403" s="318">
        <v>223.45</v>
      </c>
      <c r="W403" s="318">
        <v>134.07</v>
      </c>
      <c r="X403" s="315">
        <v>0.15</v>
      </c>
      <c r="Y403" s="318">
        <v>35</v>
      </c>
      <c r="Z403" s="315">
        <v>2</v>
      </c>
      <c r="AA403" s="315" t="s">
        <v>1149</v>
      </c>
      <c r="AB403" s="315">
        <v>0</v>
      </c>
      <c r="AC403" s="315" t="s">
        <v>1190</v>
      </c>
    </row>
    <row r="404" spans="1:29">
      <c r="A404" s="315" t="s">
        <v>1414</v>
      </c>
      <c r="B404" s="315" t="s">
        <v>1074</v>
      </c>
      <c r="C404" s="329">
        <v>5.6155785242518101</v>
      </c>
      <c r="D404" s="329">
        <v>114.88333299999999</v>
      </c>
      <c r="E404" s="316" t="s">
        <v>1743</v>
      </c>
      <c r="F404" s="316" t="s">
        <v>1743</v>
      </c>
      <c r="G404" s="317">
        <v>5.13</v>
      </c>
      <c r="H404" s="317">
        <v>0.27301999999999998</v>
      </c>
      <c r="I404" s="317">
        <v>0.27</v>
      </c>
      <c r="J404" s="317">
        <v>0.27</v>
      </c>
      <c r="K404" s="318">
        <v>5.2631578947368425</v>
      </c>
      <c r="L404" s="318">
        <v>51.702102674350897</v>
      </c>
      <c r="M404" s="319">
        <v>42.0776271109291</v>
      </c>
      <c r="N404" s="319">
        <v>36.814469216192258</v>
      </c>
      <c r="O404" s="319">
        <f t="shared" si="6"/>
        <v>36.814469216192258</v>
      </c>
      <c r="P404" s="317">
        <v>1.8885822707906628</v>
      </c>
      <c r="Q404" s="315" t="s">
        <v>1148</v>
      </c>
      <c r="R404" s="318">
        <v>160</v>
      </c>
      <c r="T404" s="320">
        <v>71.111111111111114</v>
      </c>
      <c r="U404" s="318">
        <v>35</v>
      </c>
      <c r="V404" s="318">
        <v>105.31</v>
      </c>
      <c r="W404" s="318">
        <v>63.186</v>
      </c>
      <c r="X404" s="315">
        <v>0.15</v>
      </c>
      <c r="Y404" s="318">
        <v>35</v>
      </c>
      <c r="Z404" s="315">
        <v>1</v>
      </c>
      <c r="AA404" s="315" t="s">
        <v>1149</v>
      </c>
      <c r="AB404" s="315">
        <v>0</v>
      </c>
      <c r="AC404" s="315" t="s">
        <v>1190</v>
      </c>
    </row>
    <row r="405" spans="1:29">
      <c r="A405" s="315" t="s">
        <v>1416</v>
      </c>
      <c r="B405" s="315" t="s">
        <v>1074</v>
      </c>
      <c r="C405" s="329">
        <v>5.6155716557734197</v>
      </c>
      <c r="D405" s="329">
        <v>114.88333299999999</v>
      </c>
      <c r="E405" s="316" t="s">
        <v>1744</v>
      </c>
      <c r="F405" s="316" t="s">
        <v>1744</v>
      </c>
      <c r="G405" s="317">
        <v>4.4220000000000006</v>
      </c>
      <c r="H405" s="317">
        <v>9.3207419037950823E-2</v>
      </c>
      <c r="I405" s="317">
        <v>9.3207419037950823E-2</v>
      </c>
      <c r="J405" s="317">
        <v>0.6140708190379508</v>
      </c>
      <c r="K405" s="318">
        <v>13.886721371278849</v>
      </c>
      <c r="L405" s="318">
        <v>47.515794708800499</v>
      </c>
      <c r="M405" s="319">
        <v>39.2099605073196</v>
      </c>
      <c r="N405" s="319">
        <v>25.323239136040751</v>
      </c>
      <c r="O405" s="319">
        <f t="shared" si="6"/>
        <v>25.323239136040751</v>
      </c>
      <c r="P405" s="317">
        <v>1.1197936345957222</v>
      </c>
      <c r="Q405" s="315" t="s">
        <v>1148</v>
      </c>
      <c r="R405" s="318">
        <v>160</v>
      </c>
      <c r="T405" s="320">
        <v>71.111111111111114</v>
      </c>
      <c r="U405" s="318">
        <v>34</v>
      </c>
      <c r="V405" s="318">
        <v>134.30000000000001</v>
      </c>
      <c r="W405" s="318">
        <v>80.58</v>
      </c>
      <c r="X405" s="315">
        <v>0.15</v>
      </c>
      <c r="Y405" s="318">
        <v>35</v>
      </c>
      <c r="Z405" s="315">
        <v>2</v>
      </c>
      <c r="AA405" s="315" t="s">
        <v>1149</v>
      </c>
      <c r="AB405" s="315">
        <v>0</v>
      </c>
      <c r="AC405" s="315" t="s">
        <v>1190</v>
      </c>
    </row>
    <row r="406" spans="1:29">
      <c r="A406" s="315" t="s">
        <v>1929</v>
      </c>
      <c r="B406" s="315" t="s">
        <v>1745</v>
      </c>
      <c r="C406" s="329">
        <v>6.3691930555555496</v>
      </c>
      <c r="D406" s="329">
        <v>105</v>
      </c>
      <c r="E406" s="316" t="s">
        <v>1746</v>
      </c>
      <c r="F406" s="316" t="s">
        <v>1746</v>
      </c>
      <c r="G406" s="317">
        <v>96.97898740337962</v>
      </c>
      <c r="H406" s="317">
        <v>0</v>
      </c>
      <c r="I406" s="317">
        <v>0</v>
      </c>
      <c r="J406" s="317">
        <v>8.2702949501661891</v>
      </c>
      <c r="K406" s="318">
        <v>8.5279246273899307</v>
      </c>
      <c r="L406" s="318">
        <v>70.334610809869403</v>
      </c>
      <c r="M406" s="319">
        <v>34.708985625422002</v>
      </c>
      <c r="N406" s="319">
        <v>26.181060998032073</v>
      </c>
      <c r="O406" s="319">
        <f t="shared" si="6"/>
        <v>26.181060998032073</v>
      </c>
      <c r="P406" s="317">
        <v>25.390127847352659</v>
      </c>
      <c r="Q406" s="315" t="s">
        <v>1168</v>
      </c>
      <c r="R406" s="318">
        <v>217</v>
      </c>
      <c r="T406" s="320">
        <v>102.77777777777777</v>
      </c>
      <c r="U406" s="318">
        <v>39.4</v>
      </c>
      <c r="V406" s="318">
        <v>81.565660000000008</v>
      </c>
      <c r="W406" s="318">
        <v>174</v>
      </c>
      <c r="X406" s="315">
        <v>0.18</v>
      </c>
      <c r="Y406" s="318">
        <v>116</v>
      </c>
      <c r="Z406" s="315">
        <v>0</v>
      </c>
      <c r="AA406" s="315" t="s">
        <v>1149</v>
      </c>
      <c r="AB406" s="315">
        <v>0</v>
      </c>
      <c r="AC406" s="315" t="s">
        <v>1150</v>
      </c>
    </row>
    <row r="407" spans="1:29">
      <c r="A407" s="315" t="s">
        <v>1931</v>
      </c>
      <c r="B407" s="315" t="s">
        <v>1745</v>
      </c>
      <c r="C407" s="329">
        <v>6.3683705555555497</v>
      </c>
      <c r="D407" s="329">
        <v>105</v>
      </c>
      <c r="E407" s="316" t="s">
        <v>1747</v>
      </c>
      <c r="F407" s="316" t="s">
        <v>1747</v>
      </c>
      <c r="G407" s="317">
        <v>282.44893312649344</v>
      </c>
      <c r="H407" s="317">
        <v>10.500128506952917</v>
      </c>
      <c r="I407" s="317">
        <v>13.883796246794731</v>
      </c>
      <c r="J407" s="317">
        <v>65.178065415290561</v>
      </c>
      <c r="K407" s="318">
        <v>23.07605296781237</v>
      </c>
      <c r="L407" s="318">
        <v>72.188069449395201</v>
      </c>
      <c r="M407" s="319">
        <v>31.038336604959699</v>
      </c>
      <c r="N407" s="319">
        <v>7.9622836371473298</v>
      </c>
      <c r="O407" s="319">
        <f t="shared" si="6"/>
        <v>7.9622836371473298</v>
      </c>
      <c r="P407" s="317">
        <v>22.489385185627992</v>
      </c>
      <c r="Q407" s="315" t="s">
        <v>1148</v>
      </c>
      <c r="R407" s="318">
        <v>217</v>
      </c>
      <c r="T407" s="320">
        <v>102.77777777777777</v>
      </c>
      <c r="U407" s="318">
        <v>35.799999999999997</v>
      </c>
      <c r="V407" s="318">
        <v>83.632689999999997</v>
      </c>
      <c r="W407" s="318">
        <v>124</v>
      </c>
      <c r="X407" s="315">
        <v>0.22</v>
      </c>
      <c r="Y407" s="318">
        <v>103</v>
      </c>
      <c r="Z407" s="315">
        <v>4</v>
      </c>
      <c r="AA407" s="315" t="s">
        <v>1149</v>
      </c>
      <c r="AB407" s="315">
        <v>0</v>
      </c>
      <c r="AC407" s="315" t="s">
        <v>1150</v>
      </c>
    </row>
    <row r="408" spans="1:29">
      <c r="A408" s="315" t="s">
        <v>1939</v>
      </c>
      <c r="B408" s="315" t="s">
        <v>1745</v>
      </c>
      <c r="C408" s="329">
        <v>6.3675480555555497</v>
      </c>
      <c r="D408" s="329">
        <v>105</v>
      </c>
      <c r="E408" s="316" t="s">
        <v>1749</v>
      </c>
      <c r="F408" s="316" t="s">
        <v>1749</v>
      </c>
      <c r="G408" s="317">
        <v>77.899943701918914</v>
      </c>
      <c r="H408" s="317">
        <v>3.5160430314710904</v>
      </c>
      <c r="I408" s="317">
        <v>3.911425568175634</v>
      </c>
      <c r="J408" s="317">
        <v>15.758233635946478</v>
      </c>
      <c r="K408" s="318">
        <v>20.228812611527349</v>
      </c>
      <c r="L408" s="318">
        <v>71.250049463968296</v>
      </c>
      <c r="M408" s="319">
        <v>30.172803288425996</v>
      </c>
      <c r="N408" s="319">
        <v>9.9439906768986468</v>
      </c>
      <c r="O408" s="319">
        <f t="shared" si="6"/>
        <v>9.9439906768986468</v>
      </c>
      <c r="P408" s="317">
        <v>7.7463631390281114</v>
      </c>
      <c r="Q408" s="315" t="s">
        <v>1148</v>
      </c>
      <c r="R408" s="318">
        <v>218</v>
      </c>
      <c r="T408" s="320">
        <v>103.33333333333333</v>
      </c>
      <c r="U408" s="318">
        <v>35.5</v>
      </c>
      <c r="V408" s="318">
        <v>61.321890000000003</v>
      </c>
      <c r="W408" s="318">
        <v>180</v>
      </c>
      <c r="X408" s="315">
        <v>0.18</v>
      </c>
      <c r="Y408" s="318">
        <v>70</v>
      </c>
      <c r="Z408" s="315">
        <v>1</v>
      </c>
      <c r="AA408" s="315" t="s">
        <v>1149</v>
      </c>
      <c r="AB408" s="315">
        <v>0</v>
      </c>
      <c r="AC408" s="315" t="s">
        <v>1150</v>
      </c>
    </row>
    <row r="409" spans="1:29">
      <c r="A409" s="315" t="s">
        <v>1931</v>
      </c>
      <c r="B409" s="315" t="s">
        <v>1745</v>
      </c>
      <c r="C409" s="329">
        <v>6.3667255555555498</v>
      </c>
      <c r="D409" s="329">
        <v>105</v>
      </c>
      <c r="E409" s="316" t="s">
        <v>1751</v>
      </c>
      <c r="F409" s="316" t="s">
        <v>1751</v>
      </c>
      <c r="G409" s="317">
        <v>137.92860386054005</v>
      </c>
      <c r="H409" s="317">
        <v>0.54400665788403679</v>
      </c>
      <c r="I409" s="317">
        <v>0.7833282914475832</v>
      </c>
      <c r="J409" s="317">
        <v>27.081970247198306</v>
      </c>
      <c r="K409" s="318">
        <v>19.634774433431481</v>
      </c>
      <c r="L409" s="318">
        <v>68.5947286069444</v>
      </c>
      <c r="M409" s="319">
        <v>34.603277024876803</v>
      </c>
      <c r="N409" s="319">
        <v>14.968502591445322</v>
      </c>
      <c r="O409" s="319">
        <f t="shared" si="6"/>
        <v>14.968502591445322</v>
      </c>
      <c r="P409" s="317">
        <v>20.645846643209289</v>
      </c>
      <c r="Q409" s="315" t="s">
        <v>1148</v>
      </c>
      <c r="R409" s="318">
        <v>218</v>
      </c>
      <c r="T409" s="320">
        <v>103.33333333333333</v>
      </c>
      <c r="U409" s="318">
        <v>39.4</v>
      </c>
      <c r="V409" s="318">
        <v>83.763930000000002</v>
      </c>
      <c r="W409" s="318">
        <v>180</v>
      </c>
      <c r="X409" s="315">
        <v>0.21</v>
      </c>
      <c r="Y409" s="318">
        <v>152</v>
      </c>
      <c r="Z409" s="315">
        <v>1</v>
      </c>
      <c r="AA409" s="315" t="s">
        <v>1149</v>
      </c>
      <c r="AB409" s="315">
        <v>0</v>
      </c>
      <c r="AC409" s="315" t="s">
        <v>1150</v>
      </c>
    </row>
    <row r="410" spans="1:29">
      <c r="A410" s="315" t="s">
        <v>1931</v>
      </c>
      <c r="B410" s="315" t="s">
        <v>1745</v>
      </c>
      <c r="C410" s="329">
        <v>6.3659030555555498</v>
      </c>
      <c r="D410" s="329">
        <v>105</v>
      </c>
      <c r="E410" s="316" t="s">
        <v>1752</v>
      </c>
      <c r="F410" s="316" t="s">
        <v>1752</v>
      </c>
      <c r="G410" s="317">
        <v>101.74353408237923</v>
      </c>
      <c r="H410" s="317">
        <v>10.034122803691957</v>
      </c>
      <c r="I410" s="317">
        <v>12.409192987926051</v>
      </c>
      <c r="J410" s="317">
        <v>28.224474799108044</v>
      </c>
      <c r="K410" s="318">
        <v>27.74080441933085</v>
      </c>
      <c r="L410" s="318">
        <v>69.378515315545798</v>
      </c>
      <c r="M410" s="319">
        <v>32.251190159572801</v>
      </c>
      <c r="N410" s="319">
        <v>4.5103857402419507</v>
      </c>
      <c r="O410" s="319">
        <f t="shared" si="6"/>
        <v>4.5103857402419507</v>
      </c>
      <c r="P410" s="317">
        <v>4.5890258528698418</v>
      </c>
      <c r="Q410" s="315" t="s">
        <v>1148</v>
      </c>
      <c r="R410" s="318">
        <v>224</v>
      </c>
      <c r="T410" s="320">
        <v>106.66666666666667</v>
      </c>
      <c r="U410" s="318">
        <v>35.6</v>
      </c>
      <c r="V410" s="318">
        <v>81.467230000000001</v>
      </c>
      <c r="W410" s="318">
        <v>93</v>
      </c>
      <c r="X410" s="315">
        <v>0.21</v>
      </c>
      <c r="Y410" s="318">
        <v>84</v>
      </c>
      <c r="Z410" s="315">
        <v>4</v>
      </c>
      <c r="AA410" s="315" t="s">
        <v>1149</v>
      </c>
      <c r="AB410" s="315">
        <v>0</v>
      </c>
      <c r="AC410" s="315" t="s">
        <v>1150</v>
      </c>
    </row>
    <row r="411" spans="1:29">
      <c r="A411" s="315" t="s">
        <v>1173</v>
      </c>
      <c r="B411" s="315" t="s">
        <v>1753</v>
      </c>
      <c r="C411" s="329">
        <v>4.2974524999999897</v>
      </c>
      <c r="D411" s="329">
        <v>113.75</v>
      </c>
      <c r="E411" s="316" t="s">
        <v>1754</v>
      </c>
      <c r="F411" s="316" t="s">
        <v>1754</v>
      </c>
      <c r="G411" s="317">
        <v>4.3221838295736381</v>
      </c>
      <c r="H411" s="317">
        <v>1.4239999999999999</v>
      </c>
      <c r="I411" s="317">
        <v>1.4239999999999999</v>
      </c>
      <c r="J411" s="317">
        <v>1.4239999999999999</v>
      </c>
      <c r="K411" s="318">
        <v>32.946308073631158</v>
      </c>
      <c r="L411" s="318">
        <v>67.317964036202099</v>
      </c>
      <c r="M411" s="319">
        <v>34.837292643664405</v>
      </c>
      <c r="N411" s="319">
        <v>1.8909845700332468</v>
      </c>
      <c r="O411" s="319">
        <f t="shared" si="6"/>
        <v>1.8909845700332468</v>
      </c>
      <c r="P411" s="317">
        <v>8.1731829305709575E-2</v>
      </c>
      <c r="Q411" s="315" t="s">
        <v>1148</v>
      </c>
      <c r="R411" s="318">
        <v>129.375</v>
      </c>
      <c r="T411" s="320">
        <v>54.097222222222221</v>
      </c>
      <c r="U411" s="318">
        <v>20</v>
      </c>
      <c r="V411" s="318">
        <v>30</v>
      </c>
      <c r="W411" s="318">
        <v>68</v>
      </c>
      <c r="X411" s="315">
        <v>0.24</v>
      </c>
      <c r="Y411" s="318">
        <v>320</v>
      </c>
      <c r="Z411" s="315">
        <v>1</v>
      </c>
      <c r="AA411" s="315" t="s">
        <v>1149</v>
      </c>
      <c r="AB411" s="315">
        <v>0</v>
      </c>
      <c r="AC411" s="315" t="s">
        <v>1157</v>
      </c>
    </row>
    <row r="412" spans="1:29">
      <c r="A412" s="315" t="s">
        <v>1327</v>
      </c>
      <c r="B412" s="315" t="s">
        <v>1753</v>
      </c>
      <c r="C412" s="329">
        <v>4.3017591666666597</v>
      </c>
      <c r="D412" s="329">
        <v>113.75</v>
      </c>
      <c r="E412" s="316" t="s">
        <v>1755</v>
      </c>
      <c r="F412" s="316" t="s">
        <v>1756</v>
      </c>
      <c r="G412" s="317">
        <v>9.8757630521732782</v>
      </c>
      <c r="H412" s="317">
        <v>2.2040000000000002</v>
      </c>
      <c r="I412" s="317">
        <v>2.2040000000000002</v>
      </c>
      <c r="J412" s="317">
        <v>2.2040000000000002</v>
      </c>
      <c r="K412" s="318">
        <v>22.317262862184446</v>
      </c>
      <c r="L412" s="318">
        <v>60.889415385687698</v>
      </c>
      <c r="M412" s="319">
        <v>36.948460034009699</v>
      </c>
      <c r="N412" s="319">
        <v>14.631197171825253</v>
      </c>
      <c r="O412" s="319">
        <f t="shared" si="6"/>
        <v>14.631197171825253</v>
      </c>
      <c r="P412" s="317">
        <v>1.44494236438574</v>
      </c>
      <c r="Q412" s="315" t="s">
        <v>1148</v>
      </c>
      <c r="R412" s="318">
        <v>151.71250000000001</v>
      </c>
      <c r="T412" s="320">
        <v>66.506944444444443</v>
      </c>
      <c r="U412" s="318">
        <v>20</v>
      </c>
      <c r="V412" s="318">
        <v>48</v>
      </c>
      <c r="W412" s="318">
        <v>91</v>
      </c>
      <c r="X412" s="315">
        <v>0.27</v>
      </c>
      <c r="Y412" s="318">
        <v>300</v>
      </c>
      <c r="Z412" s="315">
        <v>2</v>
      </c>
      <c r="AA412" s="315" t="s">
        <v>1149</v>
      </c>
      <c r="AB412" s="315">
        <v>0</v>
      </c>
      <c r="AC412" s="315" t="s">
        <v>1190</v>
      </c>
    </row>
    <row r="413" spans="1:29">
      <c r="A413" s="315" t="s">
        <v>1355</v>
      </c>
      <c r="B413" s="315" t="s">
        <v>1753</v>
      </c>
      <c r="C413" s="329">
        <v>4.2974524999999897</v>
      </c>
      <c r="D413" s="329">
        <v>113.75</v>
      </c>
      <c r="E413" s="316" t="s">
        <v>1757</v>
      </c>
      <c r="F413" s="316" t="s">
        <v>1757</v>
      </c>
      <c r="G413" s="317">
        <v>3.0215740000000002</v>
      </c>
      <c r="H413" s="317">
        <v>0.443</v>
      </c>
      <c r="I413" s="317">
        <v>0.443</v>
      </c>
      <c r="J413" s="317">
        <v>0.443</v>
      </c>
      <c r="K413" s="318">
        <v>14.661232854134965</v>
      </c>
      <c r="L413" s="318">
        <v>80.925525760534597</v>
      </c>
      <c r="M413" s="319">
        <v>26.910667030803097</v>
      </c>
      <c r="N413" s="319">
        <v>12.249434176668132</v>
      </c>
      <c r="O413" s="319">
        <f t="shared" si="6"/>
        <v>12.249434176668132</v>
      </c>
      <c r="P413" s="317">
        <v>0.37012571822931839</v>
      </c>
      <c r="Q413" s="315" t="s">
        <v>1148</v>
      </c>
      <c r="R413" s="318">
        <v>156.25</v>
      </c>
      <c r="T413" s="320">
        <v>69.027777777777771</v>
      </c>
      <c r="U413" s="318">
        <v>20</v>
      </c>
      <c r="V413" s="318">
        <v>20</v>
      </c>
      <c r="W413" s="318">
        <v>51</v>
      </c>
      <c r="X413" s="315">
        <v>0.2</v>
      </c>
      <c r="Y413" s="318">
        <v>300</v>
      </c>
      <c r="Z413" s="315">
        <v>2</v>
      </c>
      <c r="AA413" s="315" t="s">
        <v>1149</v>
      </c>
      <c r="AB413" s="315">
        <v>0</v>
      </c>
      <c r="AC413" s="315" t="s">
        <v>1157</v>
      </c>
    </row>
    <row r="414" spans="1:29">
      <c r="A414" s="315" t="s">
        <v>1145</v>
      </c>
      <c r="B414" s="315" t="s">
        <v>1753</v>
      </c>
      <c r="C414" s="329">
        <v>4.3017591666666597</v>
      </c>
      <c r="D414" s="329">
        <v>113.75</v>
      </c>
      <c r="E414" s="316" t="s">
        <v>1759</v>
      </c>
      <c r="F414" s="316" t="s">
        <v>1759</v>
      </c>
      <c r="G414" s="317">
        <v>17.302835265542946</v>
      </c>
      <c r="H414" s="317">
        <v>0.57899999999999996</v>
      </c>
      <c r="I414" s="317">
        <v>0.57899999999999996</v>
      </c>
      <c r="J414" s="317">
        <v>0.57899999999999996</v>
      </c>
      <c r="K414" s="318">
        <v>3.3462723947503958</v>
      </c>
      <c r="L414" s="318">
        <v>57.152914868742499</v>
      </c>
      <c r="M414" s="319">
        <v>36.948212443431999</v>
      </c>
      <c r="N414" s="319">
        <v>33.601940048681605</v>
      </c>
      <c r="O414" s="319">
        <f t="shared" si="6"/>
        <v>33.601940048681605</v>
      </c>
      <c r="P414" s="317">
        <v>5.8140883326498791</v>
      </c>
      <c r="Q414" s="315" t="s">
        <v>1148</v>
      </c>
      <c r="R414" s="318">
        <v>175.51249999999999</v>
      </c>
      <c r="T414" s="320">
        <v>79.729166666666671</v>
      </c>
      <c r="U414" s="318">
        <v>31</v>
      </c>
      <c r="V414" s="318">
        <v>70</v>
      </c>
      <c r="W414" s="318">
        <v>39</v>
      </c>
      <c r="X414" s="315">
        <v>0.19</v>
      </c>
      <c r="Y414" s="318">
        <v>300</v>
      </c>
      <c r="Z414" s="315">
        <v>3</v>
      </c>
      <c r="AA414" s="315" t="s">
        <v>1149</v>
      </c>
      <c r="AB414" s="315">
        <v>0</v>
      </c>
      <c r="AC414" s="315" t="s">
        <v>1190</v>
      </c>
    </row>
    <row r="415" spans="1:29">
      <c r="A415" s="315" t="s">
        <v>1145</v>
      </c>
      <c r="B415" s="315" t="s">
        <v>1753</v>
      </c>
      <c r="C415" s="329">
        <v>4.2974524999999897</v>
      </c>
      <c r="D415" s="329">
        <v>113.75</v>
      </c>
      <c r="E415" s="316" t="s">
        <v>1760</v>
      </c>
      <c r="F415" s="316" t="s">
        <v>1760</v>
      </c>
      <c r="G415" s="317">
        <v>5.4678795432246767</v>
      </c>
      <c r="H415" s="317">
        <v>0.63800000000000001</v>
      </c>
      <c r="I415" s="317">
        <v>0.63800000000000001</v>
      </c>
      <c r="J415" s="317">
        <v>0.63800000000000001</v>
      </c>
      <c r="K415" s="318">
        <v>11.668142923714449</v>
      </c>
      <c r="L415" s="318">
        <v>57.8100636464426</v>
      </c>
      <c r="M415" s="319">
        <v>34.4823667094931</v>
      </c>
      <c r="N415" s="319">
        <v>22.814223785778651</v>
      </c>
      <c r="O415" s="319">
        <f t="shared" si="6"/>
        <v>22.814223785778651</v>
      </c>
      <c r="P415" s="317">
        <v>1.2474542753280893</v>
      </c>
      <c r="Q415" s="315" t="s">
        <v>1148</v>
      </c>
      <c r="R415" s="318">
        <v>192.77500000000001</v>
      </c>
      <c r="T415" s="320">
        <v>89.319444444444443</v>
      </c>
      <c r="U415" s="318">
        <v>31</v>
      </c>
      <c r="V415" s="318">
        <v>40</v>
      </c>
      <c r="W415" s="318">
        <v>30</v>
      </c>
      <c r="X415" s="315">
        <v>0.2</v>
      </c>
      <c r="Y415" s="318">
        <v>320</v>
      </c>
      <c r="Z415" s="315">
        <v>3</v>
      </c>
      <c r="AA415" s="315" t="s">
        <v>1149</v>
      </c>
      <c r="AB415" s="315">
        <v>0</v>
      </c>
      <c r="AC415" s="315" t="s">
        <v>1190</v>
      </c>
    </row>
    <row r="416" spans="1:29">
      <c r="A416" s="315" t="s">
        <v>1145</v>
      </c>
      <c r="B416" s="315" t="s">
        <v>1753</v>
      </c>
      <c r="C416" s="329">
        <v>4.3017591666666597</v>
      </c>
      <c r="D416" s="329">
        <v>113.75</v>
      </c>
      <c r="E416" s="316" t="s">
        <v>1761</v>
      </c>
      <c r="F416" s="316" t="s">
        <v>1761</v>
      </c>
      <c r="G416" s="317">
        <v>2.0953921605868779</v>
      </c>
      <c r="H416" s="317">
        <v>1.3089999999999999</v>
      </c>
      <c r="I416" s="317">
        <v>1.3089999999999999</v>
      </c>
      <c r="J416" s="317">
        <v>1.3089999999999999</v>
      </c>
      <c r="K416" s="318">
        <v>62.470406476722474</v>
      </c>
      <c r="L416" s="318">
        <v>57.916414452449303</v>
      </c>
      <c r="M416" s="319">
        <v>39.129903425989298</v>
      </c>
      <c r="N416" s="319">
        <v>-23.340503050733176</v>
      </c>
      <c r="O416" s="319">
        <f t="shared" si="6"/>
        <v>0</v>
      </c>
      <c r="P416" s="317">
        <v>0</v>
      </c>
      <c r="Q416" s="315" t="s">
        <v>1148</v>
      </c>
      <c r="R416" s="318">
        <v>192.77500000000001</v>
      </c>
      <c r="T416" s="320">
        <v>89.319444444444443</v>
      </c>
      <c r="U416" s="318">
        <v>31</v>
      </c>
      <c r="V416" s="318">
        <v>40</v>
      </c>
      <c r="W416" s="318">
        <v>30</v>
      </c>
      <c r="X416" s="315">
        <v>0.2</v>
      </c>
      <c r="Y416" s="318">
        <v>320</v>
      </c>
      <c r="Z416" s="315">
        <v>2</v>
      </c>
      <c r="AA416" s="315" t="s">
        <v>1149</v>
      </c>
      <c r="AB416" s="315">
        <v>0</v>
      </c>
      <c r="AC416" s="315" t="s">
        <v>1190</v>
      </c>
    </row>
    <row r="417" spans="1:29">
      <c r="A417" s="315" t="s">
        <v>1145</v>
      </c>
      <c r="B417" s="315" t="s">
        <v>1762</v>
      </c>
      <c r="C417" s="329">
        <v>5.6205683333333303</v>
      </c>
      <c r="D417" s="329">
        <v>114.85</v>
      </c>
      <c r="E417" s="316" t="s">
        <v>1763</v>
      </c>
      <c r="F417" s="316" t="s">
        <v>1764</v>
      </c>
      <c r="G417" s="317">
        <v>24.830000000000002</v>
      </c>
      <c r="H417" s="317">
        <v>14.378645432249941</v>
      </c>
      <c r="I417" s="317">
        <v>14.684558914294513</v>
      </c>
      <c r="J417" s="317">
        <v>14.859230200173089</v>
      </c>
      <c r="K417" s="318">
        <v>59.843859042179169</v>
      </c>
      <c r="L417" s="318">
        <v>45.346758885414197</v>
      </c>
      <c r="M417" s="319">
        <v>46</v>
      </c>
      <c r="N417" s="319">
        <v>-13.843859042179169</v>
      </c>
      <c r="O417" s="319">
        <f t="shared" si="6"/>
        <v>0</v>
      </c>
      <c r="P417" s="317">
        <v>0</v>
      </c>
      <c r="Q417" s="315" t="s">
        <v>1148</v>
      </c>
      <c r="R417" s="318">
        <v>133</v>
      </c>
      <c r="T417" s="320">
        <v>56.111111111111114</v>
      </c>
      <c r="U417" s="318">
        <v>25</v>
      </c>
      <c r="V417" s="318">
        <v>354.33072000000004</v>
      </c>
      <c r="W417" s="318">
        <v>354.33072000000004</v>
      </c>
      <c r="X417" s="315">
        <v>0.26</v>
      </c>
      <c r="Y417" s="318">
        <v>300</v>
      </c>
      <c r="Z417" s="315">
        <v>15</v>
      </c>
      <c r="AA417" s="315" t="s">
        <v>1149</v>
      </c>
      <c r="AB417" s="315">
        <v>4</v>
      </c>
      <c r="AC417" s="315" t="s">
        <v>1150</v>
      </c>
    </row>
    <row r="418" spans="1:29">
      <c r="A418" s="315" t="s">
        <v>1145</v>
      </c>
      <c r="B418" s="315" t="s">
        <v>1762</v>
      </c>
      <c r="C418" s="329">
        <v>5.6205683333333303</v>
      </c>
      <c r="D418" s="329">
        <v>114.85</v>
      </c>
      <c r="E418" s="316" t="s">
        <v>1765</v>
      </c>
      <c r="F418" s="316" t="s">
        <v>1766</v>
      </c>
      <c r="G418" s="317">
        <v>4.05</v>
      </c>
      <c r="H418" s="317">
        <v>0.30492082940954102</v>
      </c>
      <c r="I418" s="317">
        <v>0.30492082940954102</v>
      </c>
      <c r="J418" s="317">
        <v>0.30492082940954102</v>
      </c>
      <c r="K418" s="318">
        <v>7.5289093681368158</v>
      </c>
      <c r="L418" s="318">
        <v>46.180116756133202</v>
      </c>
      <c r="M418" s="319">
        <v>39.261761470280298</v>
      </c>
      <c r="N418" s="319">
        <v>31.732852102143482</v>
      </c>
      <c r="O418" s="319">
        <f t="shared" si="6"/>
        <v>31.732852102143482</v>
      </c>
      <c r="P418" s="317">
        <v>1.285180510136811</v>
      </c>
      <c r="Q418" s="315" t="s">
        <v>1148</v>
      </c>
      <c r="R418" s="318">
        <v>134</v>
      </c>
      <c r="T418" s="320">
        <v>56.666666666666664</v>
      </c>
      <c r="U418" s="318">
        <v>25</v>
      </c>
      <c r="V418" s="318">
        <v>85.301839999999999</v>
      </c>
      <c r="W418" s="318">
        <v>85.301839999999999</v>
      </c>
      <c r="X418" s="315">
        <v>0.18</v>
      </c>
      <c r="Y418" s="318">
        <v>5</v>
      </c>
      <c r="Z418" s="315">
        <v>1</v>
      </c>
      <c r="AA418" s="315" t="s">
        <v>1149</v>
      </c>
      <c r="AB418" s="315">
        <v>0</v>
      </c>
      <c r="AC418" s="315" t="s">
        <v>1150</v>
      </c>
    </row>
    <row r="419" spans="1:29">
      <c r="A419" s="315" t="s">
        <v>1145</v>
      </c>
      <c r="B419" s="315" t="s">
        <v>1762</v>
      </c>
      <c r="C419" s="329">
        <v>5.6205683333333303</v>
      </c>
      <c r="D419" s="329">
        <v>114.85</v>
      </c>
      <c r="E419" s="316" t="s">
        <v>1767</v>
      </c>
      <c r="F419" s="316" t="s">
        <v>1768</v>
      </c>
      <c r="G419" s="317">
        <v>18.010000000000002</v>
      </c>
      <c r="H419" s="317">
        <v>8.0613497383405193</v>
      </c>
      <c r="I419" s="317">
        <v>8.3049922929009465</v>
      </c>
      <c r="J419" s="317">
        <v>8.5644888679823694</v>
      </c>
      <c r="K419" s="318">
        <v>47.554074780579505</v>
      </c>
      <c r="L419" s="318">
        <v>44.6266882576111</v>
      </c>
      <c r="M419" s="319">
        <v>46.221629385012506</v>
      </c>
      <c r="N419" s="319">
        <v>-1.3324453955669995</v>
      </c>
      <c r="O419" s="319">
        <f t="shared" si="6"/>
        <v>0</v>
      </c>
      <c r="P419" s="317">
        <v>0</v>
      </c>
      <c r="Q419" s="315" t="s">
        <v>1148</v>
      </c>
      <c r="R419" s="318">
        <v>135</v>
      </c>
      <c r="T419" s="320">
        <v>57.222222222222221</v>
      </c>
      <c r="U419" s="318">
        <v>24.5</v>
      </c>
      <c r="V419" s="318">
        <v>209.97376</v>
      </c>
      <c r="W419" s="318">
        <v>209.97376</v>
      </c>
      <c r="X419" s="315">
        <v>0.24</v>
      </c>
      <c r="Y419" s="318">
        <v>400</v>
      </c>
      <c r="Z419" s="315">
        <v>11</v>
      </c>
      <c r="AA419" s="315" t="s">
        <v>1149</v>
      </c>
      <c r="AB419" s="315">
        <v>5</v>
      </c>
      <c r="AC419" s="315" t="s">
        <v>1150</v>
      </c>
    </row>
    <row r="420" spans="1:29">
      <c r="A420" s="315" t="s">
        <v>1145</v>
      </c>
      <c r="B420" s="315" t="s">
        <v>1769</v>
      </c>
      <c r="C420" s="329">
        <v>5.5647505555555501</v>
      </c>
      <c r="D420" s="329">
        <v>114.85</v>
      </c>
      <c r="E420" s="316" t="s">
        <v>1770</v>
      </c>
      <c r="F420" s="316" t="s">
        <v>1771</v>
      </c>
      <c r="G420" s="317">
        <v>17.049700000000001</v>
      </c>
      <c r="H420" s="317">
        <v>3.6403940000000006</v>
      </c>
      <c r="I420" s="317">
        <v>3.8492445096289929</v>
      </c>
      <c r="J420" s="317">
        <v>3.8492445096289929</v>
      </c>
      <c r="K420" s="318">
        <v>22.57661137515025</v>
      </c>
      <c r="L420" s="318">
        <v>57.842940110645401</v>
      </c>
      <c r="M420" s="319">
        <v>41.898698972308502</v>
      </c>
      <c r="N420" s="319">
        <v>19.322087597158252</v>
      </c>
      <c r="O420" s="319">
        <f t="shared" si="6"/>
        <v>19.322087597158252</v>
      </c>
      <c r="P420" s="317">
        <v>3.2943579690526907</v>
      </c>
      <c r="Q420" s="315" t="s">
        <v>1148</v>
      </c>
      <c r="R420" s="318">
        <v>155</v>
      </c>
      <c r="S420" s="315">
        <v>2</v>
      </c>
      <c r="T420" s="320">
        <v>68.333333333333329</v>
      </c>
      <c r="U420" s="318">
        <v>24</v>
      </c>
      <c r="V420" s="318">
        <v>153.71485000000001</v>
      </c>
      <c r="W420" s="318">
        <v>124.67800000000001</v>
      </c>
      <c r="X420" s="315">
        <v>0.28000000000000003</v>
      </c>
      <c r="Y420" s="318">
        <v>47</v>
      </c>
      <c r="Z420" s="315">
        <v>6</v>
      </c>
      <c r="AA420" s="315" t="s">
        <v>1154</v>
      </c>
      <c r="AB420" s="315">
        <v>1</v>
      </c>
      <c r="AC420" s="315" t="s">
        <v>1150</v>
      </c>
    </row>
    <row r="421" spans="1:29">
      <c r="A421" s="315" t="s">
        <v>1145</v>
      </c>
      <c r="B421" s="315" t="s">
        <v>1769</v>
      </c>
      <c r="C421" s="329">
        <v>5.5647505555555501</v>
      </c>
      <c r="D421" s="329">
        <v>114.85</v>
      </c>
      <c r="E421" s="316" t="s">
        <v>1773</v>
      </c>
      <c r="F421" s="316" t="s">
        <v>1774</v>
      </c>
      <c r="G421" s="317">
        <v>4.7934000000000001</v>
      </c>
      <c r="H421" s="317">
        <v>3.0875250000000003</v>
      </c>
      <c r="I421" s="317">
        <v>3.0875250000000003</v>
      </c>
      <c r="J421" s="317">
        <v>3.0875250000000003</v>
      </c>
      <c r="K421" s="318">
        <v>64.412004005507569</v>
      </c>
      <c r="L421" s="318">
        <v>58.557921683232699</v>
      </c>
      <c r="M421" s="319">
        <v>41.886791855874499</v>
      </c>
      <c r="N421" s="319">
        <v>-22.52521214963307</v>
      </c>
      <c r="O421" s="319">
        <f t="shared" si="6"/>
        <v>0</v>
      </c>
      <c r="P421" s="317">
        <v>0</v>
      </c>
      <c r="Q421" s="315" t="s">
        <v>1148</v>
      </c>
      <c r="R421" s="318">
        <v>155</v>
      </c>
      <c r="S421" s="315">
        <v>1</v>
      </c>
      <c r="T421" s="320">
        <v>68.333333333333329</v>
      </c>
      <c r="U421" s="318">
        <v>24</v>
      </c>
      <c r="V421" s="318">
        <v>93.246020000000016</v>
      </c>
      <c r="W421" s="318">
        <v>124.67800000000001</v>
      </c>
      <c r="X421" s="315">
        <v>0.28000000000000003</v>
      </c>
      <c r="Y421" s="318">
        <v>18</v>
      </c>
      <c r="Z421" s="315">
        <v>3</v>
      </c>
      <c r="AA421" s="315" t="s">
        <v>1154</v>
      </c>
      <c r="AB421" s="315">
        <v>2</v>
      </c>
      <c r="AC421" s="315" t="s">
        <v>1150</v>
      </c>
    </row>
    <row r="422" spans="1:29">
      <c r="A422" s="315" t="s">
        <v>1145</v>
      </c>
      <c r="B422" s="315" t="s">
        <v>1769</v>
      </c>
      <c r="C422" s="329">
        <v>5.5647505555555501</v>
      </c>
      <c r="D422" s="329">
        <v>114.85</v>
      </c>
      <c r="E422" s="316" t="s">
        <v>1775</v>
      </c>
      <c r="F422" s="316" t="s">
        <v>1776</v>
      </c>
      <c r="G422" s="317">
        <v>38.305900000000001</v>
      </c>
      <c r="H422" s="317">
        <v>10.509362000000001</v>
      </c>
      <c r="I422" s="317">
        <v>10.998980908097439</v>
      </c>
      <c r="J422" s="317">
        <v>10.998980908097439</v>
      </c>
      <c r="K422" s="318">
        <v>28.713542582467554</v>
      </c>
      <c r="L422" s="318">
        <v>57.455945655965103</v>
      </c>
      <c r="M422" s="319">
        <v>43.232233394207597</v>
      </c>
      <c r="N422" s="319">
        <v>14.518690811740001</v>
      </c>
      <c r="O422" s="319">
        <f t="shared" si="6"/>
        <v>14.518690811740001</v>
      </c>
      <c r="P422" s="317">
        <v>5.5615151836543291</v>
      </c>
      <c r="Q422" s="315" t="s">
        <v>1148</v>
      </c>
      <c r="R422" s="318">
        <v>155</v>
      </c>
      <c r="S422" s="315">
        <v>1</v>
      </c>
      <c r="T422" s="320">
        <v>68.333333333333329</v>
      </c>
      <c r="U422" s="318">
        <v>24</v>
      </c>
      <c r="V422" s="318">
        <v>145.02020000000002</v>
      </c>
      <c r="W422" s="318">
        <v>124.67800000000001</v>
      </c>
      <c r="X422" s="315">
        <v>0.27</v>
      </c>
      <c r="Y422" s="318">
        <v>93</v>
      </c>
      <c r="Z422" s="315">
        <v>12</v>
      </c>
      <c r="AA422" s="315" t="s">
        <v>1154</v>
      </c>
      <c r="AB422" s="315">
        <v>2</v>
      </c>
      <c r="AC422" s="315" t="s">
        <v>1190</v>
      </c>
    </row>
    <row r="423" spans="1:29">
      <c r="A423" s="315" t="s">
        <v>1262</v>
      </c>
      <c r="B423" s="315" t="s">
        <v>1777</v>
      </c>
      <c r="C423" s="329">
        <v>5.5260644444444402</v>
      </c>
      <c r="D423" s="329">
        <v>114.85</v>
      </c>
      <c r="E423" s="316" t="s">
        <v>1778</v>
      </c>
      <c r="F423" s="316" t="s">
        <v>1779</v>
      </c>
      <c r="G423" s="317">
        <v>14.6</v>
      </c>
      <c r="H423" s="317">
        <v>4.8960992706456841</v>
      </c>
      <c r="I423" s="317">
        <v>5.8778853532790629</v>
      </c>
      <c r="J423" s="317">
        <v>6.7477943562369047</v>
      </c>
      <c r="K423" s="318">
        <v>46.217769563266472</v>
      </c>
      <c r="L423" s="318">
        <v>47.672861895692002</v>
      </c>
      <c r="M423" s="319">
        <v>46.831064002691804</v>
      </c>
      <c r="N423" s="319">
        <v>0.61329443942533146</v>
      </c>
      <c r="O423" s="319">
        <f t="shared" si="6"/>
        <v>0.61329443942533146</v>
      </c>
      <c r="P423" s="317">
        <v>8.9540988156098386E-2</v>
      </c>
      <c r="Q423" s="315" t="s">
        <v>1148</v>
      </c>
      <c r="R423" s="318">
        <v>145</v>
      </c>
      <c r="S423" s="315">
        <v>3</v>
      </c>
      <c r="T423" s="320">
        <v>62.777777777777779</v>
      </c>
      <c r="U423" s="318">
        <v>20.7</v>
      </c>
      <c r="V423" s="318">
        <v>300</v>
      </c>
      <c r="W423" s="318">
        <v>164</v>
      </c>
      <c r="X423" s="315">
        <v>0.25</v>
      </c>
      <c r="Y423" s="318">
        <v>500</v>
      </c>
      <c r="Z423" s="315">
        <v>4</v>
      </c>
      <c r="AA423" s="315" t="s">
        <v>1154</v>
      </c>
      <c r="AB423" s="315">
        <v>1</v>
      </c>
      <c r="AC423" s="315" t="s">
        <v>1150</v>
      </c>
    </row>
    <row r="424" spans="1:29">
      <c r="A424" s="315" t="s">
        <v>1298</v>
      </c>
      <c r="B424" s="315" t="s">
        <v>1777</v>
      </c>
      <c r="C424" s="329">
        <v>5.5260644444444402</v>
      </c>
      <c r="D424" s="329">
        <v>114.85</v>
      </c>
      <c r="E424" s="316" t="s">
        <v>1780</v>
      </c>
      <c r="F424" s="316" t="s">
        <v>1781</v>
      </c>
      <c r="G424" s="317">
        <v>9.1300000000000008</v>
      </c>
      <c r="H424" s="317">
        <v>2.0248894122583048</v>
      </c>
      <c r="I424" s="317">
        <v>2.5892088715770067</v>
      </c>
      <c r="J424" s="317">
        <v>2.9483419463655678</v>
      </c>
      <c r="K424" s="318">
        <v>32.292901931714866</v>
      </c>
      <c r="L424" s="318">
        <v>47.425488129567199</v>
      </c>
      <c r="M424" s="319">
        <v>46.958632326899505</v>
      </c>
      <c r="N424" s="319">
        <v>14.665730395184639</v>
      </c>
      <c r="O424" s="319">
        <f t="shared" si="6"/>
        <v>14.665730395184639</v>
      </c>
      <c r="P424" s="317">
        <v>1.3389811850803577</v>
      </c>
      <c r="Q424" s="315" t="s">
        <v>1148</v>
      </c>
      <c r="R424" s="318">
        <v>149</v>
      </c>
      <c r="S424" s="315">
        <v>3</v>
      </c>
      <c r="T424" s="320">
        <v>65</v>
      </c>
      <c r="U424" s="318">
        <v>20.7</v>
      </c>
      <c r="V424" s="318">
        <v>150</v>
      </c>
      <c r="W424" s="318">
        <v>92</v>
      </c>
      <c r="X424" s="315">
        <v>0.25</v>
      </c>
      <c r="Y424" s="318">
        <v>200</v>
      </c>
      <c r="Z424" s="315">
        <v>3</v>
      </c>
      <c r="AA424" s="315" t="s">
        <v>1154</v>
      </c>
      <c r="AB424" s="315">
        <v>2</v>
      </c>
      <c r="AC424" s="315" t="s">
        <v>1150</v>
      </c>
    </row>
    <row r="425" spans="1:29">
      <c r="A425" s="315" t="s">
        <v>1145</v>
      </c>
      <c r="B425" s="315" t="s">
        <v>663</v>
      </c>
      <c r="C425" s="329">
        <v>3.23183</v>
      </c>
      <c r="D425" s="329">
        <v>113.05</v>
      </c>
      <c r="E425" s="316" t="s">
        <v>1783</v>
      </c>
      <c r="F425" s="316" t="s">
        <v>1784</v>
      </c>
      <c r="G425" s="317">
        <v>2.494217837444153</v>
      </c>
      <c r="H425" s="317">
        <v>7.8288999999999997E-3</v>
      </c>
      <c r="I425" s="317">
        <v>8.1343000000000006E-3</v>
      </c>
      <c r="J425" s="317">
        <v>8.1343000000000006E-3</v>
      </c>
      <c r="K425" s="318">
        <v>0.3261262860799396</v>
      </c>
      <c r="L425" s="318">
        <v>75.081900098017002</v>
      </c>
      <c r="M425" s="319">
        <v>30.936391365386299</v>
      </c>
      <c r="N425" s="319">
        <v>30.610265079306359</v>
      </c>
      <c r="O425" s="319">
        <f t="shared" si="6"/>
        <v>30.610265079306359</v>
      </c>
      <c r="P425" s="317">
        <v>0.76348669169699779</v>
      </c>
      <c r="Q425" s="315" t="s">
        <v>1148</v>
      </c>
      <c r="R425" s="318">
        <v>130</v>
      </c>
      <c r="T425" s="320">
        <v>54.444444444444443</v>
      </c>
      <c r="U425" s="318">
        <v>21</v>
      </c>
      <c r="V425" s="318">
        <v>12.82</v>
      </c>
      <c r="W425" s="318">
        <v>141.083</v>
      </c>
      <c r="X425" s="315">
        <v>0.3</v>
      </c>
      <c r="Y425" s="318">
        <v>114.04</v>
      </c>
      <c r="Z425" s="315">
        <v>0</v>
      </c>
      <c r="AA425" s="315" t="s">
        <v>1149</v>
      </c>
      <c r="AB425" s="315">
        <v>0</v>
      </c>
      <c r="AC425" s="315" t="s">
        <v>1190</v>
      </c>
    </row>
    <row r="426" spans="1:29">
      <c r="A426" s="315" t="s">
        <v>1145</v>
      </c>
      <c r="B426" s="315" t="s">
        <v>663</v>
      </c>
      <c r="C426" s="329">
        <v>3.2385649999999999</v>
      </c>
      <c r="D426" s="329">
        <v>113.05</v>
      </c>
      <c r="E426" s="316" t="s">
        <v>1785</v>
      </c>
      <c r="F426" s="316" t="s">
        <v>1785</v>
      </c>
      <c r="G426" s="317">
        <v>1.7860430700274443</v>
      </c>
      <c r="H426" s="317">
        <v>1.5845634</v>
      </c>
      <c r="I426" s="317">
        <v>1.5845634</v>
      </c>
      <c r="J426" s="317">
        <v>1.5845634</v>
      </c>
      <c r="K426" s="318">
        <v>88.719215487656271</v>
      </c>
      <c r="L426" s="318">
        <v>72.637474732457505</v>
      </c>
      <c r="M426" s="319">
        <v>32.944959497833295</v>
      </c>
      <c r="N426" s="319">
        <v>-55.774255989822976</v>
      </c>
      <c r="O426" s="319">
        <f t="shared" si="6"/>
        <v>0</v>
      </c>
      <c r="P426" s="317">
        <v>0</v>
      </c>
      <c r="Q426" s="315" t="s">
        <v>1148</v>
      </c>
      <c r="R426" s="318">
        <v>130</v>
      </c>
      <c r="T426" s="320">
        <v>54.444444444444443</v>
      </c>
      <c r="U426" s="318">
        <v>21</v>
      </c>
      <c r="V426" s="318">
        <v>42.5</v>
      </c>
      <c r="W426" s="318">
        <v>141.083</v>
      </c>
      <c r="X426" s="315">
        <v>0.33</v>
      </c>
      <c r="Y426" s="318">
        <v>3000</v>
      </c>
      <c r="Z426" s="315">
        <v>0</v>
      </c>
      <c r="AA426" s="315" t="s">
        <v>1149</v>
      </c>
      <c r="AB426" s="315">
        <v>0</v>
      </c>
      <c r="AC426" s="315" t="s">
        <v>1190</v>
      </c>
    </row>
    <row r="427" spans="1:29">
      <c r="A427" s="315" t="s">
        <v>1145</v>
      </c>
      <c r="B427" s="315" t="s">
        <v>663</v>
      </c>
      <c r="C427" s="329">
        <v>3.2380455555555501</v>
      </c>
      <c r="D427" s="329">
        <v>113.05</v>
      </c>
      <c r="E427" s="316" t="s">
        <v>1786</v>
      </c>
      <c r="F427" s="316" t="s">
        <v>1786</v>
      </c>
      <c r="G427" s="317">
        <v>7.2764400927013879</v>
      </c>
      <c r="H427" s="317">
        <v>2.0327117000000001</v>
      </c>
      <c r="I427" s="317">
        <v>2.1832482</v>
      </c>
      <c r="J427" s="317">
        <v>2.1832482</v>
      </c>
      <c r="K427" s="318">
        <v>30.004345149352645</v>
      </c>
      <c r="L427" s="318">
        <v>74.319217193670099</v>
      </c>
      <c r="M427" s="319">
        <v>31.448525771078799</v>
      </c>
      <c r="N427" s="319">
        <v>1.4441806217261544</v>
      </c>
      <c r="O427" s="319">
        <f t="shared" si="6"/>
        <v>1.4441806217261544</v>
      </c>
      <c r="P427" s="317">
        <v>0.10508493777030607</v>
      </c>
      <c r="Q427" s="315" t="s">
        <v>1148</v>
      </c>
      <c r="R427" s="318">
        <v>135</v>
      </c>
      <c r="T427" s="320">
        <v>57.222222222222221</v>
      </c>
      <c r="U427" s="318">
        <v>20</v>
      </c>
      <c r="V427" s="318">
        <v>29.81</v>
      </c>
      <c r="W427" s="318">
        <v>301.85200000000003</v>
      </c>
      <c r="X427" s="315">
        <v>0.27</v>
      </c>
      <c r="Y427" s="318">
        <v>697</v>
      </c>
      <c r="Z427" s="315">
        <v>1</v>
      </c>
      <c r="AA427" s="315" t="s">
        <v>1149</v>
      </c>
      <c r="AB427" s="315">
        <v>0</v>
      </c>
      <c r="AC427" s="315" t="s">
        <v>1190</v>
      </c>
    </row>
    <row r="428" spans="1:29">
      <c r="A428" s="315" t="s">
        <v>1145</v>
      </c>
      <c r="B428" s="315" t="s">
        <v>663</v>
      </c>
      <c r="C428" s="329">
        <v>3.2512941666666602</v>
      </c>
      <c r="D428" s="329">
        <v>113.05</v>
      </c>
      <c r="E428" s="316" t="s">
        <v>1787</v>
      </c>
      <c r="F428" s="316" t="s">
        <v>1788</v>
      </c>
      <c r="G428" s="317">
        <v>3.9258061737282723</v>
      </c>
      <c r="H428" s="317">
        <v>0.20504059999999999</v>
      </c>
      <c r="I428" s="317">
        <v>0.20504059999999999</v>
      </c>
      <c r="J428" s="317">
        <v>0.20504059999999999</v>
      </c>
      <c r="K428" s="318">
        <v>5.2228915775858686</v>
      </c>
      <c r="L428" s="318">
        <v>78.529936104335803</v>
      </c>
      <c r="M428" s="319">
        <v>28.5763329412483</v>
      </c>
      <c r="N428" s="319">
        <v>23.35344136366243</v>
      </c>
      <c r="O428" s="319">
        <f t="shared" si="6"/>
        <v>23.35344136366243</v>
      </c>
      <c r="P428" s="317">
        <v>0.91681084283267178</v>
      </c>
      <c r="Q428" s="315" t="s">
        <v>1148</v>
      </c>
      <c r="R428" s="318">
        <v>140.1414</v>
      </c>
      <c r="T428" s="320">
        <v>60.078555555555553</v>
      </c>
      <c r="U428" s="318">
        <v>19</v>
      </c>
      <c r="V428" s="318">
        <v>19</v>
      </c>
      <c r="W428" s="318">
        <v>301.85200000000003</v>
      </c>
      <c r="X428" s="315">
        <v>0.27500000000000002</v>
      </c>
      <c r="Y428" s="318">
        <v>1174</v>
      </c>
      <c r="Z428" s="315">
        <v>0</v>
      </c>
      <c r="AA428" s="315" t="s">
        <v>1149</v>
      </c>
      <c r="AB428" s="315">
        <v>0</v>
      </c>
      <c r="AC428" s="315" t="s">
        <v>1190</v>
      </c>
    </row>
    <row r="429" spans="1:29">
      <c r="A429" s="315" t="s">
        <v>1145</v>
      </c>
      <c r="B429" s="315" t="s">
        <v>663</v>
      </c>
      <c r="C429" s="329">
        <v>3.2428063888888801</v>
      </c>
      <c r="D429" s="329">
        <v>113.05</v>
      </c>
      <c r="E429" s="316" t="s">
        <v>1789</v>
      </c>
      <c r="F429" s="316" t="s">
        <v>1789</v>
      </c>
      <c r="G429" s="317">
        <v>20.489573650563177</v>
      </c>
      <c r="H429" s="317">
        <v>8.4318492999999997</v>
      </c>
      <c r="I429" s="317">
        <v>8.5689171999999996</v>
      </c>
      <c r="J429" s="317">
        <v>8.5689171999999996</v>
      </c>
      <c r="K429" s="318">
        <v>41.820866291009793</v>
      </c>
      <c r="L429" s="318">
        <v>67.078165653222001</v>
      </c>
      <c r="M429" s="319">
        <v>37.995691109856601</v>
      </c>
      <c r="N429" s="319">
        <v>-3.8251751811531918</v>
      </c>
      <c r="O429" s="319">
        <f t="shared" si="6"/>
        <v>0</v>
      </c>
      <c r="P429" s="317">
        <v>0</v>
      </c>
      <c r="Q429" s="315" t="s">
        <v>1148</v>
      </c>
      <c r="R429" s="318">
        <v>141.1294</v>
      </c>
      <c r="T429" s="320">
        <v>60.62744444444445</v>
      </c>
      <c r="U429" s="318">
        <v>18.899999999999999</v>
      </c>
      <c r="V429" s="318">
        <v>11</v>
      </c>
      <c r="W429" s="318">
        <v>73</v>
      </c>
      <c r="X429" s="315">
        <v>0.21199399999999999</v>
      </c>
      <c r="Y429" s="318">
        <v>527.63279999999997</v>
      </c>
      <c r="Z429" s="315">
        <v>2</v>
      </c>
      <c r="AA429" s="315" t="s">
        <v>1149</v>
      </c>
      <c r="AB429" s="315">
        <v>0</v>
      </c>
      <c r="AC429" s="315" t="s">
        <v>1150</v>
      </c>
    </row>
    <row r="430" spans="1:29">
      <c r="A430" s="315" t="s">
        <v>1145</v>
      </c>
      <c r="B430" s="315" t="s">
        <v>663</v>
      </c>
      <c r="C430" s="329">
        <v>3.2444766666666598</v>
      </c>
      <c r="D430" s="329">
        <v>113.05</v>
      </c>
      <c r="E430" s="316" t="s">
        <v>1790</v>
      </c>
      <c r="F430" s="316" t="s">
        <v>1790</v>
      </c>
      <c r="G430" s="317">
        <v>6.0292426739708862</v>
      </c>
      <c r="H430" s="317">
        <v>1.8137821999999999</v>
      </c>
      <c r="I430" s="317">
        <v>1.8757378999999998</v>
      </c>
      <c r="J430" s="317">
        <v>1.8757378999999998</v>
      </c>
      <c r="K430" s="318">
        <v>31.110671794615797</v>
      </c>
      <c r="L430" s="318">
        <v>79.526049834129097</v>
      </c>
      <c r="M430" s="319">
        <v>27.645696035945399</v>
      </c>
      <c r="N430" s="319">
        <v>-3.4649757586703984</v>
      </c>
      <c r="O430" s="319">
        <f t="shared" si="6"/>
        <v>0</v>
      </c>
      <c r="P430" s="317">
        <v>0</v>
      </c>
      <c r="Q430" s="315" t="s">
        <v>1148</v>
      </c>
      <c r="R430" s="318">
        <v>142</v>
      </c>
      <c r="T430" s="320">
        <v>61.111111111111114</v>
      </c>
      <c r="U430" s="318">
        <v>19</v>
      </c>
      <c r="V430" s="318">
        <v>56</v>
      </c>
      <c r="W430" s="318">
        <v>206.703</v>
      </c>
      <c r="X430" s="315">
        <v>0.27500000000000002</v>
      </c>
      <c r="Y430" s="318">
        <v>1767</v>
      </c>
      <c r="Z430" s="315">
        <v>1</v>
      </c>
      <c r="AA430" s="315" t="s">
        <v>1149</v>
      </c>
      <c r="AB430" s="315">
        <v>0</v>
      </c>
      <c r="AC430" s="315" t="s">
        <v>1190</v>
      </c>
    </row>
    <row r="431" spans="1:29">
      <c r="A431" s="315" t="s">
        <v>1145</v>
      </c>
      <c r="B431" s="315" t="s">
        <v>663</v>
      </c>
      <c r="C431" s="329">
        <v>3.2383255555555501</v>
      </c>
      <c r="D431" s="329">
        <v>113.05</v>
      </c>
      <c r="E431" s="316" t="s">
        <v>1791</v>
      </c>
      <c r="F431" s="316" t="s">
        <v>1792</v>
      </c>
      <c r="G431" s="317">
        <v>4.6699206445663641</v>
      </c>
      <c r="H431" s="317">
        <v>0.1750159</v>
      </c>
      <c r="I431" s="317">
        <v>0.1750159</v>
      </c>
      <c r="J431" s="317">
        <v>0.1750159</v>
      </c>
      <c r="K431" s="318">
        <v>3.7477274951906918</v>
      </c>
      <c r="L431" s="318">
        <v>88.6449840969576</v>
      </c>
      <c r="M431" s="319">
        <v>19.962930407739201</v>
      </c>
      <c r="N431" s="319">
        <v>16.215202912548509</v>
      </c>
      <c r="O431" s="319">
        <f t="shared" si="6"/>
        <v>16.215202912548509</v>
      </c>
      <c r="P431" s="317">
        <v>0.75723710837142921</v>
      </c>
      <c r="Q431" s="315" t="s">
        <v>1148</v>
      </c>
      <c r="R431" s="318">
        <v>144.53800000000001</v>
      </c>
      <c r="T431" s="320">
        <v>62.521111111111118</v>
      </c>
      <c r="U431" s="318">
        <v>19</v>
      </c>
      <c r="V431" s="318">
        <v>12</v>
      </c>
      <c r="W431" s="318">
        <v>301.85200000000003</v>
      </c>
      <c r="X431" s="315">
        <v>0.255</v>
      </c>
      <c r="Y431" s="318">
        <v>41</v>
      </c>
      <c r="Z431" s="315">
        <v>0</v>
      </c>
      <c r="AA431" s="315" t="s">
        <v>1149</v>
      </c>
      <c r="AB431" s="315">
        <v>0</v>
      </c>
      <c r="AC431" s="315" t="s">
        <v>1190</v>
      </c>
    </row>
    <row r="432" spans="1:29">
      <c r="A432" s="315" t="s">
        <v>1145</v>
      </c>
      <c r="B432" s="315" t="s">
        <v>663</v>
      </c>
      <c r="C432" s="329">
        <v>3.24661</v>
      </c>
      <c r="D432" s="329">
        <v>113.05</v>
      </c>
      <c r="E432" s="316" t="s">
        <v>1793</v>
      </c>
      <c r="F432" s="316" t="s">
        <v>1793</v>
      </c>
      <c r="G432" s="317">
        <v>31.292929379019316</v>
      </c>
      <c r="H432" s="317">
        <v>18.335083000000001</v>
      </c>
      <c r="I432" s="317">
        <v>18.651429200000003</v>
      </c>
      <c r="J432" s="317">
        <v>18.651429200000003</v>
      </c>
      <c r="K432" s="318">
        <v>59.602694826343281</v>
      </c>
      <c r="L432" s="318">
        <v>60.496879459529097</v>
      </c>
      <c r="M432" s="319">
        <v>40.868153801667802</v>
      </c>
      <c r="N432" s="319">
        <v>-18.73454102467548</v>
      </c>
      <c r="O432" s="319">
        <f t="shared" si="6"/>
        <v>0</v>
      </c>
      <c r="P432" s="317">
        <v>0</v>
      </c>
      <c r="Q432" s="315" t="s">
        <v>1148</v>
      </c>
      <c r="R432" s="318">
        <v>144.785</v>
      </c>
      <c r="T432" s="320">
        <v>62.658333333333331</v>
      </c>
      <c r="U432" s="318">
        <v>18.5</v>
      </c>
      <c r="V432" s="318">
        <v>19</v>
      </c>
      <c r="W432" s="318">
        <v>92</v>
      </c>
      <c r="X432" s="315">
        <v>0.213009</v>
      </c>
      <c r="Y432" s="318">
        <v>530.21569999999997</v>
      </c>
      <c r="Z432" s="315">
        <v>0</v>
      </c>
      <c r="AA432" s="315" t="s">
        <v>1149</v>
      </c>
      <c r="AB432" s="315">
        <v>0</v>
      </c>
      <c r="AC432" s="315" t="s">
        <v>1150</v>
      </c>
    </row>
    <row r="433" spans="1:29">
      <c r="A433" s="315" t="s">
        <v>1145</v>
      </c>
      <c r="B433" s="315" t="s">
        <v>663</v>
      </c>
      <c r="C433" s="329">
        <v>3.2372755555555499</v>
      </c>
      <c r="D433" s="329">
        <v>113.05</v>
      </c>
      <c r="E433" s="316" t="s">
        <v>1794</v>
      </c>
      <c r="F433" s="316" t="s">
        <v>1794</v>
      </c>
      <c r="G433" s="317">
        <v>8.6278583213534858</v>
      </c>
      <c r="H433" s="317">
        <v>3.6737712999999999</v>
      </c>
      <c r="I433" s="317">
        <v>3.6996881999999998</v>
      </c>
      <c r="J433" s="317">
        <v>3.6996881999999998</v>
      </c>
      <c r="K433" s="318">
        <v>42.880724998038858</v>
      </c>
      <c r="L433" s="318">
        <v>74.354226235731304</v>
      </c>
      <c r="M433" s="319">
        <v>30.966209550748303</v>
      </c>
      <c r="N433" s="319">
        <v>-11.914515447290555</v>
      </c>
      <c r="O433" s="319">
        <f t="shared" si="6"/>
        <v>0</v>
      </c>
      <c r="P433" s="317">
        <v>0</v>
      </c>
      <c r="Q433" s="315" t="s">
        <v>1148</v>
      </c>
      <c r="R433" s="318">
        <v>145</v>
      </c>
      <c r="T433" s="320">
        <v>62.777777777777779</v>
      </c>
      <c r="U433" s="318">
        <v>20</v>
      </c>
      <c r="V433" s="318">
        <v>27.53</v>
      </c>
      <c r="W433" s="318">
        <v>302</v>
      </c>
      <c r="X433" s="315">
        <v>0.28499999999999998</v>
      </c>
      <c r="Y433" s="318">
        <v>2433</v>
      </c>
      <c r="Z433" s="315">
        <v>1</v>
      </c>
      <c r="AA433" s="315" t="s">
        <v>1149</v>
      </c>
      <c r="AB433" s="315">
        <v>0</v>
      </c>
      <c r="AC433" s="315" t="s">
        <v>1190</v>
      </c>
    </row>
    <row r="434" spans="1:29">
      <c r="A434" s="315" t="s">
        <v>1277</v>
      </c>
      <c r="B434" s="315" t="s">
        <v>663</v>
      </c>
      <c r="C434" s="329">
        <v>3.2470116666666602</v>
      </c>
      <c r="D434" s="329">
        <v>113.05</v>
      </c>
      <c r="E434" s="316" t="s">
        <v>1795</v>
      </c>
      <c r="F434" s="316" t="s">
        <v>1795</v>
      </c>
      <c r="G434" s="317">
        <v>8.6224594208395224</v>
      </c>
      <c r="H434" s="317">
        <v>0</v>
      </c>
      <c r="I434" s="317">
        <v>0</v>
      </c>
      <c r="J434" s="317">
        <v>0</v>
      </c>
      <c r="K434" s="318">
        <v>0</v>
      </c>
      <c r="L434" s="318">
        <v>85.376408009409801</v>
      </c>
      <c r="M434" s="319">
        <v>21.3583913635279</v>
      </c>
      <c r="N434" s="319">
        <v>21.3583913635279</v>
      </c>
      <c r="O434" s="319">
        <f t="shared" si="6"/>
        <v>21.3583913635279</v>
      </c>
      <c r="P434" s="317">
        <v>1.8416186282642864</v>
      </c>
      <c r="Q434" s="315" t="s">
        <v>1168</v>
      </c>
      <c r="R434" s="318">
        <v>147</v>
      </c>
      <c r="T434" s="320">
        <v>63.888888888888886</v>
      </c>
      <c r="U434" s="318">
        <v>20</v>
      </c>
      <c r="V434" s="318">
        <v>19.190000000000001</v>
      </c>
      <c r="W434" s="318">
        <v>243</v>
      </c>
      <c r="X434" s="315">
        <v>0.24</v>
      </c>
      <c r="Y434" s="318">
        <v>389</v>
      </c>
      <c r="Z434" s="315">
        <v>0</v>
      </c>
      <c r="AA434" s="315" t="s">
        <v>1149</v>
      </c>
      <c r="AB434" s="315">
        <v>0</v>
      </c>
      <c r="AC434" s="315" t="s">
        <v>1150</v>
      </c>
    </row>
    <row r="435" spans="1:29">
      <c r="A435" s="315" t="s">
        <v>1145</v>
      </c>
      <c r="B435" s="315" t="s">
        <v>663</v>
      </c>
      <c r="C435" s="329">
        <v>3.2524455555555498</v>
      </c>
      <c r="D435" s="329">
        <v>113.05</v>
      </c>
      <c r="E435" s="316" t="s">
        <v>1796</v>
      </c>
      <c r="F435" s="316" t="s">
        <v>1796</v>
      </c>
      <c r="G435" s="317">
        <v>7.6170743251290318</v>
      </c>
      <c r="H435" s="317">
        <v>0</v>
      </c>
      <c r="I435" s="317">
        <v>0</v>
      </c>
      <c r="J435" s="317">
        <v>0</v>
      </c>
      <c r="K435" s="318">
        <v>0</v>
      </c>
      <c r="L435" s="318">
        <v>66.258325918628898</v>
      </c>
      <c r="M435" s="319">
        <v>32.461816922746202</v>
      </c>
      <c r="N435" s="319">
        <v>32.461816922746202</v>
      </c>
      <c r="O435" s="319">
        <f t="shared" si="6"/>
        <v>32.461816922746202</v>
      </c>
      <c r="P435" s="317">
        <v>2.4726407222928919</v>
      </c>
      <c r="Q435" s="315" t="s">
        <v>1168</v>
      </c>
      <c r="R435" s="318">
        <v>147</v>
      </c>
      <c r="T435" s="320">
        <v>63.888888888888886</v>
      </c>
      <c r="U435" s="318">
        <v>20</v>
      </c>
      <c r="V435" s="318">
        <v>17.100000000000001</v>
      </c>
      <c r="W435" s="318">
        <v>134</v>
      </c>
      <c r="X435" s="315">
        <v>0.27</v>
      </c>
      <c r="Y435" s="318">
        <v>1289</v>
      </c>
      <c r="Z435" s="315">
        <v>0</v>
      </c>
      <c r="AA435" s="315" t="s">
        <v>1149</v>
      </c>
      <c r="AB435" s="315">
        <v>0</v>
      </c>
      <c r="AC435" s="315" t="s">
        <v>1150</v>
      </c>
    </row>
    <row r="436" spans="1:29">
      <c r="A436" s="315" t="s">
        <v>1145</v>
      </c>
      <c r="B436" s="315" t="s">
        <v>663</v>
      </c>
      <c r="C436" s="329">
        <v>3.2381052777777701</v>
      </c>
      <c r="D436" s="329">
        <v>113.05</v>
      </c>
      <c r="E436" s="316" t="s">
        <v>1798</v>
      </c>
      <c r="F436" s="316" t="s">
        <v>1799</v>
      </c>
      <c r="G436" s="317">
        <v>3.1610257009228229</v>
      </c>
      <c r="H436" s="317">
        <v>2.1570000000000001E-4</v>
      </c>
      <c r="I436" s="317">
        <v>2.1570000000000001E-4</v>
      </c>
      <c r="J436" s="317">
        <v>2.1570000000000001E-4</v>
      </c>
      <c r="K436" s="318">
        <v>6.8237344586293313E-3</v>
      </c>
      <c r="L436" s="318">
        <v>78.815259499074898</v>
      </c>
      <c r="M436" s="319">
        <v>28.584940269248499</v>
      </c>
      <c r="N436" s="319">
        <v>28.578116534789871</v>
      </c>
      <c r="O436" s="319">
        <f t="shared" si="6"/>
        <v>28.578116534789871</v>
      </c>
      <c r="P436" s="317">
        <v>0.90336160850438263</v>
      </c>
      <c r="Q436" s="315" t="s">
        <v>1148</v>
      </c>
      <c r="R436" s="318">
        <v>148</v>
      </c>
      <c r="T436" s="320">
        <v>64.444444444444443</v>
      </c>
      <c r="U436" s="318">
        <v>19.3</v>
      </c>
      <c r="V436" s="318">
        <v>29</v>
      </c>
      <c r="W436" s="318">
        <v>242.79400000000001</v>
      </c>
      <c r="X436" s="315">
        <v>0.3</v>
      </c>
      <c r="Y436" s="318">
        <v>1182</v>
      </c>
      <c r="Z436" s="315">
        <v>0</v>
      </c>
      <c r="AA436" s="315" t="s">
        <v>1149</v>
      </c>
      <c r="AB436" s="315">
        <v>0</v>
      </c>
      <c r="AC436" s="315" t="s">
        <v>1190</v>
      </c>
    </row>
    <row r="437" spans="1:29">
      <c r="A437" s="315" t="s">
        <v>1145</v>
      </c>
      <c r="B437" s="315" t="s">
        <v>663</v>
      </c>
      <c r="C437" s="329">
        <v>3.2376675000000001</v>
      </c>
      <c r="D437" s="329">
        <v>113.05</v>
      </c>
      <c r="E437" s="316" t="s">
        <v>1800</v>
      </c>
      <c r="F437" s="316" t="s">
        <v>1800</v>
      </c>
      <c r="G437" s="317">
        <v>4.1116870914237342</v>
      </c>
      <c r="H437" s="317">
        <v>0</v>
      </c>
      <c r="I437" s="317">
        <v>0</v>
      </c>
      <c r="J437" s="317">
        <v>0</v>
      </c>
      <c r="K437" s="318">
        <v>0</v>
      </c>
      <c r="L437" s="318">
        <v>85.821314385994995</v>
      </c>
      <c r="M437" s="319">
        <v>19.800305786204401</v>
      </c>
      <c r="N437" s="319">
        <v>19.800305786204401</v>
      </c>
      <c r="O437" s="319">
        <f t="shared" si="6"/>
        <v>19.800305786204401</v>
      </c>
      <c r="P437" s="317">
        <v>0.81412661707379308</v>
      </c>
      <c r="Q437" s="315" t="s">
        <v>1168</v>
      </c>
      <c r="R437" s="318">
        <v>148</v>
      </c>
      <c r="T437" s="320">
        <v>64.444444444444443</v>
      </c>
      <c r="U437" s="318">
        <v>20</v>
      </c>
      <c r="V437" s="318">
        <v>30.9</v>
      </c>
      <c r="W437" s="318">
        <v>92</v>
      </c>
      <c r="X437" s="315">
        <v>0.27500000000000002</v>
      </c>
      <c r="Y437" s="318">
        <v>1058</v>
      </c>
      <c r="Z437" s="315">
        <v>0</v>
      </c>
      <c r="AA437" s="315" t="s">
        <v>1149</v>
      </c>
      <c r="AB437" s="315">
        <v>0</v>
      </c>
      <c r="AC437" s="315" t="s">
        <v>1150</v>
      </c>
    </row>
    <row r="438" spans="1:29">
      <c r="A438" s="315" t="s">
        <v>1145</v>
      </c>
      <c r="B438" s="315" t="s">
        <v>663</v>
      </c>
      <c r="C438" s="329">
        <v>3.2445180128205098</v>
      </c>
      <c r="D438" s="329">
        <v>113.05</v>
      </c>
      <c r="E438" s="316" t="s">
        <v>1801</v>
      </c>
      <c r="F438" s="316" t="s">
        <v>1801</v>
      </c>
      <c r="G438" s="317">
        <v>5.7078813433779816</v>
      </c>
      <c r="H438" s="317">
        <v>0</v>
      </c>
      <c r="I438" s="317">
        <v>0</v>
      </c>
      <c r="J438" s="317">
        <v>2.3620000000000001</v>
      </c>
      <c r="K438" s="318">
        <v>41.381378797235904</v>
      </c>
      <c r="L438" s="318">
        <v>77.565989818347205</v>
      </c>
      <c r="M438" s="319">
        <v>27.439064391196201</v>
      </c>
      <c r="N438" s="319">
        <v>-13.942314406039703</v>
      </c>
      <c r="O438" s="319">
        <f t="shared" si="6"/>
        <v>0</v>
      </c>
      <c r="P438" s="317">
        <v>0</v>
      </c>
      <c r="Q438" s="315" t="s">
        <v>1168</v>
      </c>
      <c r="R438" s="318">
        <v>149</v>
      </c>
      <c r="T438" s="320">
        <v>65</v>
      </c>
      <c r="U438" s="318">
        <v>19</v>
      </c>
      <c r="V438" s="318">
        <v>47.38</v>
      </c>
      <c r="W438" s="318">
        <v>92</v>
      </c>
      <c r="X438" s="315">
        <v>0.33</v>
      </c>
      <c r="Y438" s="318">
        <v>899.23</v>
      </c>
      <c r="Z438" s="315">
        <v>0</v>
      </c>
      <c r="AA438" s="315" t="s">
        <v>1149</v>
      </c>
      <c r="AB438" s="315">
        <v>0</v>
      </c>
      <c r="AC438" s="315" t="s">
        <v>1150</v>
      </c>
    </row>
    <row r="439" spans="1:29">
      <c r="A439" s="315" t="s">
        <v>1145</v>
      </c>
      <c r="B439" s="315" t="s">
        <v>663</v>
      </c>
      <c r="C439" s="329">
        <v>3.2448946642246601</v>
      </c>
      <c r="D439" s="329">
        <v>113.05</v>
      </c>
      <c r="E439" s="316" t="s">
        <v>1802</v>
      </c>
      <c r="F439" s="316" t="s">
        <v>1802</v>
      </c>
      <c r="G439" s="317">
        <v>17.461560762302888</v>
      </c>
      <c r="H439" s="317">
        <v>7.3872251999999996</v>
      </c>
      <c r="I439" s="317">
        <v>7.4090276999999993</v>
      </c>
      <c r="J439" s="317">
        <v>7.4090276999999993</v>
      </c>
      <c r="K439" s="318">
        <v>42.430500920599677</v>
      </c>
      <c r="L439" s="318">
        <v>60.714314965283101</v>
      </c>
      <c r="M439" s="319">
        <v>40.787028914298702</v>
      </c>
      <c r="N439" s="319">
        <v>-1.6434720063009749</v>
      </c>
      <c r="O439" s="319">
        <f t="shared" si="6"/>
        <v>0</v>
      </c>
      <c r="P439" s="317">
        <v>0</v>
      </c>
      <c r="Q439" s="315" t="s">
        <v>1148</v>
      </c>
      <c r="R439" s="318">
        <v>150.0461</v>
      </c>
      <c r="T439" s="320">
        <v>65.581166666666661</v>
      </c>
      <c r="U439" s="318">
        <v>20</v>
      </c>
      <c r="V439" s="318">
        <v>12</v>
      </c>
      <c r="W439" s="318">
        <v>92</v>
      </c>
      <c r="X439" s="315">
        <v>0.213002</v>
      </c>
      <c r="Y439" s="318">
        <v>533.98450000000003</v>
      </c>
      <c r="Z439" s="315">
        <v>2</v>
      </c>
      <c r="AA439" s="315" t="s">
        <v>1149</v>
      </c>
      <c r="AB439" s="315">
        <v>0</v>
      </c>
      <c r="AC439" s="315" t="s">
        <v>1150</v>
      </c>
    </row>
    <row r="440" spans="1:29">
      <c r="A440" s="315" t="s">
        <v>1145</v>
      </c>
      <c r="B440" s="315" t="s">
        <v>663</v>
      </c>
      <c r="C440" s="329">
        <v>3.24527131562881</v>
      </c>
      <c r="D440" s="329">
        <v>113.05</v>
      </c>
      <c r="E440" s="316" t="s">
        <v>1803</v>
      </c>
      <c r="F440" s="316" t="s">
        <v>1804</v>
      </c>
      <c r="G440" s="317">
        <v>21.941702688802728</v>
      </c>
      <c r="H440" s="317">
        <v>2.1570000000000001E-4</v>
      </c>
      <c r="I440" s="317">
        <v>2.1570000000000001E-4</v>
      </c>
      <c r="J440" s="317">
        <v>3.8092157000000002</v>
      </c>
      <c r="K440" s="318">
        <v>17.360620340298002</v>
      </c>
      <c r="L440" s="318">
        <v>71.608492125445494</v>
      </c>
      <c r="M440" s="319">
        <v>30.531545443573798</v>
      </c>
      <c r="N440" s="319">
        <v>13.170925103275795</v>
      </c>
      <c r="O440" s="319">
        <f t="shared" si="6"/>
        <v>13.170925103275795</v>
      </c>
      <c r="P440" s="317">
        <v>2.8899252275256591</v>
      </c>
      <c r="Q440" s="315" t="s">
        <v>1148</v>
      </c>
      <c r="R440" s="318">
        <v>151</v>
      </c>
      <c r="T440" s="320">
        <v>66.111111111111114</v>
      </c>
      <c r="U440" s="318">
        <v>18</v>
      </c>
      <c r="V440" s="318">
        <v>73.97</v>
      </c>
      <c r="W440" s="318">
        <v>167</v>
      </c>
      <c r="X440" s="315">
        <v>0.3</v>
      </c>
      <c r="Y440" s="318">
        <v>5300</v>
      </c>
      <c r="Z440" s="315">
        <v>0</v>
      </c>
      <c r="AA440" s="315" t="s">
        <v>1149</v>
      </c>
      <c r="AB440" s="315">
        <v>0</v>
      </c>
      <c r="AC440" s="315" t="s">
        <v>1150</v>
      </c>
    </row>
    <row r="441" spans="1:29">
      <c r="A441" s="315" t="s">
        <v>1145</v>
      </c>
      <c r="B441" s="315" t="s">
        <v>663</v>
      </c>
      <c r="C441" s="329">
        <v>3.2456479670329599</v>
      </c>
      <c r="D441" s="329">
        <v>113.05</v>
      </c>
      <c r="E441" s="316" t="s">
        <v>1805</v>
      </c>
      <c r="F441" s="316" t="s">
        <v>1805</v>
      </c>
      <c r="G441" s="317">
        <v>3.0318249886231934</v>
      </c>
      <c r="H441" s="317">
        <v>0</v>
      </c>
      <c r="I441" s="317">
        <v>0</v>
      </c>
      <c r="J441" s="317">
        <v>1.4630000000000001</v>
      </c>
      <c r="K441" s="318">
        <v>48.254764225832666</v>
      </c>
      <c r="L441" s="318">
        <v>65.605756178816307</v>
      </c>
      <c r="M441" s="319">
        <v>32.8364220154862</v>
      </c>
      <c r="N441" s="319">
        <v>-15.418342210346466</v>
      </c>
      <c r="O441" s="319">
        <f t="shared" si="6"/>
        <v>0</v>
      </c>
      <c r="P441" s="317">
        <v>0</v>
      </c>
      <c r="Q441" s="315" t="s">
        <v>1168</v>
      </c>
      <c r="R441" s="318">
        <v>151</v>
      </c>
      <c r="T441" s="320">
        <v>66.111111111111114</v>
      </c>
      <c r="U441" s="318">
        <v>21</v>
      </c>
      <c r="V441" s="318">
        <v>41.33</v>
      </c>
      <c r="W441" s="318">
        <v>236</v>
      </c>
      <c r="X441" s="315">
        <v>0.36</v>
      </c>
      <c r="Y441" s="318">
        <v>3000</v>
      </c>
      <c r="Z441" s="315">
        <v>0</v>
      </c>
      <c r="AA441" s="315" t="s">
        <v>1149</v>
      </c>
      <c r="AB441" s="315">
        <v>0</v>
      </c>
      <c r="AC441" s="315" t="s">
        <v>1150</v>
      </c>
    </row>
    <row r="442" spans="1:29">
      <c r="A442" s="315" t="s">
        <v>1145</v>
      </c>
      <c r="B442" s="315" t="s">
        <v>663</v>
      </c>
      <c r="C442" s="329">
        <v>3.2460246184371102</v>
      </c>
      <c r="D442" s="329">
        <v>113.05</v>
      </c>
      <c r="E442" s="316" t="s">
        <v>1807</v>
      </c>
      <c r="F442" s="316" t="s">
        <v>1807</v>
      </c>
      <c r="G442" s="317">
        <v>5.6528281381370347</v>
      </c>
      <c r="H442" s="317">
        <v>0</v>
      </c>
      <c r="I442" s="317">
        <v>0</v>
      </c>
      <c r="J442" s="317">
        <v>0</v>
      </c>
      <c r="K442" s="318">
        <v>0</v>
      </c>
      <c r="L442" s="318">
        <v>89.124795550823407</v>
      </c>
      <c r="M442" s="319">
        <v>17.680781432421398</v>
      </c>
      <c r="N442" s="319">
        <v>17.680781432421398</v>
      </c>
      <c r="O442" s="319">
        <f t="shared" si="6"/>
        <v>17.680781432421398</v>
      </c>
      <c r="P442" s="317">
        <v>0.99946418785442492</v>
      </c>
      <c r="Q442" s="315" t="s">
        <v>1168</v>
      </c>
      <c r="R442" s="318">
        <v>152</v>
      </c>
      <c r="T442" s="320">
        <v>66.666666666666671</v>
      </c>
      <c r="U442" s="318">
        <v>19</v>
      </c>
      <c r="V442" s="318">
        <v>36.69</v>
      </c>
      <c r="W442" s="318">
        <v>220</v>
      </c>
      <c r="X442" s="315">
        <v>0.25</v>
      </c>
      <c r="Y442" s="318">
        <v>25.99</v>
      </c>
      <c r="Z442" s="315">
        <v>0</v>
      </c>
      <c r="AA442" s="315" t="s">
        <v>1149</v>
      </c>
      <c r="AB442" s="315">
        <v>0</v>
      </c>
      <c r="AC442" s="315" t="s">
        <v>1150</v>
      </c>
    </row>
    <row r="443" spans="1:29">
      <c r="A443" s="315" t="s">
        <v>1145</v>
      </c>
      <c r="B443" s="315" t="s">
        <v>663</v>
      </c>
      <c r="C443" s="329">
        <v>3.2464012698412601</v>
      </c>
      <c r="D443" s="329">
        <v>113.05</v>
      </c>
      <c r="E443" s="316" t="s">
        <v>1809</v>
      </c>
      <c r="F443" s="316" t="s">
        <v>1809</v>
      </c>
      <c r="G443" s="317">
        <v>2.5400002418025394</v>
      </c>
      <c r="H443" s="317">
        <v>1.1114355</v>
      </c>
      <c r="I443" s="317">
        <v>1.1214168</v>
      </c>
      <c r="J443" s="317">
        <v>1.1214168</v>
      </c>
      <c r="K443" s="318">
        <v>44.15026351352526</v>
      </c>
      <c r="L443" s="318">
        <v>67.742093944533195</v>
      </c>
      <c r="M443" s="319">
        <v>34.837344665638895</v>
      </c>
      <c r="N443" s="319">
        <v>-9.3129188478863654</v>
      </c>
      <c r="O443" s="319">
        <f t="shared" si="6"/>
        <v>0</v>
      </c>
      <c r="P443" s="317">
        <v>0</v>
      </c>
      <c r="Q443" s="315" t="s">
        <v>1148</v>
      </c>
      <c r="R443" s="318">
        <v>155</v>
      </c>
      <c r="T443" s="320">
        <v>68.333333333333329</v>
      </c>
      <c r="U443" s="318">
        <v>41</v>
      </c>
      <c r="V443" s="318">
        <v>39.869999999999997</v>
      </c>
      <c r="W443" s="318">
        <v>216.54600000000002</v>
      </c>
      <c r="X443" s="315">
        <v>0.24</v>
      </c>
      <c r="Y443" s="318">
        <v>172.85</v>
      </c>
      <c r="Z443" s="315">
        <v>1</v>
      </c>
      <c r="AA443" s="315" t="s">
        <v>1149</v>
      </c>
      <c r="AB443" s="315">
        <v>0</v>
      </c>
      <c r="AC443" s="315" t="s">
        <v>1190</v>
      </c>
    </row>
    <row r="444" spans="1:29">
      <c r="A444" s="315" t="s">
        <v>1145</v>
      </c>
      <c r="B444" s="315" t="s">
        <v>663</v>
      </c>
      <c r="C444" s="329">
        <v>3.24677792124541</v>
      </c>
      <c r="D444" s="329">
        <v>113.05</v>
      </c>
      <c r="E444" s="316" t="s">
        <v>1810</v>
      </c>
      <c r="F444" s="316" t="s">
        <v>1810</v>
      </c>
      <c r="G444" s="317">
        <v>2.9123075772453939</v>
      </c>
      <c r="H444" s="317">
        <v>0</v>
      </c>
      <c r="I444" s="317">
        <v>0</v>
      </c>
      <c r="J444" s="317">
        <v>0</v>
      </c>
      <c r="K444" s="318">
        <v>0</v>
      </c>
      <c r="L444" s="318">
        <v>82.721316170854706</v>
      </c>
      <c r="M444" s="319">
        <v>22.003884606901799</v>
      </c>
      <c r="N444" s="319">
        <v>22.003884606901799</v>
      </c>
      <c r="O444" s="319">
        <f t="shared" si="6"/>
        <v>22.003884606901799</v>
      </c>
      <c r="P444" s="317">
        <v>0.64082079869513398</v>
      </c>
      <c r="Q444" s="315" t="s">
        <v>1168</v>
      </c>
      <c r="R444" s="318">
        <v>156</v>
      </c>
      <c r="T444" s="320">
        <v>68.888888888888886</v>
      </c>
      <c r="U444" s="318">
        <v>41</v>
      </c>
      <c r="V444" s="318">
        <v>68.59</v>
      </c>
      <c r="W444" s="318">
        <v>46</v>
      </c>
      <c r="X444" s="315">
        <v>0.28999999999999998</v>
      </c>
      <c r="Y444" s="318">
        <v>10</v>
      </c>
      <c r="Z444" s="315">
        <v>0</v>
      </c>
      <c r="AA444" s="315" t="s">
        <v>1149</v>
      </c>
      <c r="AB444" s="315">
        <v>0</v>
      </c>
      <c r="AC444" s="315" t="s">
        <v>1150</v>
      </c>
    </row>
    <row r="445" spans="1:29">
      <c r="A445" s="315" t="s">
        <v>1145</v>
      </c>
      <c r="B445" s="315" t="s">
        <v>663</v>
      </c>
      <c r="C445" s="329">
        <v>3.2471545726495701</v>
      </c>
      <c r="D445" s="329">
        <v>113.05</v>
      </c>
      <c r="E445" s="316" t="s">
        <v>1811</v>
      </c>
      <c r="F445" s="316" t="s">
        <v>1812</v>
      </c>
      <c r="G445" s="317">
        <v>3.0000002855935506</v>
      </c>
      <c r="H445" s="317">
        <v>0.41198990000000002</v>
      </c>
      <c r="I445" s="317">
        <v>0.41587150000000001</v>
      </c>
      <c r="J445" s="317">
        <v>0.41587150000000001</v>
      </c>
      <c r="K445" s="318">
        <v>13.862382013664368</v>
      </c>
      <c r="L445" s="318">
        <v>69.563933099273399</v>
      </c>
      <c r="M445" s="319">
        <v>34.264061676006904</v>
      </c>
      <c r="N445" s="319">
        <v>20.401679662342538</v>
      </c>
      <c r="O445" s="319">
        <f t="shared" si="6"/>
        <v>20.401679662342538</v>
      </c>
      <c r="P445" s="317">
        <v>0.61205044813615739</v>
      </c>
      <c r="Q445" s="315" t="s">
        <v>1148</v>
      </c>
      <c r="R445" s="318">
        <v>156.8642633</v>
      </c>
      <c r="T445" s="320">
        <v>69.369035166666663</v>
      </c>
      <c r="U445" s="318">
        <v>40</v>
      </c>
      <c r="V445" s="318">
        <v>48.44</v>
      </c>
      <c r="W445" s="318">
        <v>275.60399999999998</v>
      </c>
      <c r="X445" s="315">
        <v>0.27</v>
      </c>
      <c r="Y445" s="318">
        <v>187.8</v>
      </c>
      <c r="Z445" s="315">
        <v>1</v>
      </c>
      <c r="AA445" s="315" t="s">
        <v>1149</v>
      </c>
      <c r="AB445" s="315">
        <v>0</v>
      </c>
      <c r="AC445" s="315" t="s">
        <v>1190</v>
      </c>
    </row>
    <row r="446" spans="1:29">
      <c r="A446" s="315" t="s">
        <v>1145</v>
      </c>
      <c r="B446" s="315" t="s">
        <v>663</v>
      </c>
      <c r="C446" s="329">
        <v>3.24753122405372</v>
      </c>
      <c r="D446" s="329">
        <v>113.05</v>
      </c>
      <c r="E446" s="316" t="s">
        <v>1814</v>
      </c>
      <c r="F446" s="316" t="s">
        <v>1814</v>
      </c>
      <c r="G446" s="317">
        <v>6.1792221882486125</v>
      </c>
      <c r="H446" s="317">
        <v>0</v>
      </c>
      <c r="I446" s="317">
        <v>0</v>
      </c>
      <c r="J446" s="317">
        <v>0</v>
      </c>
      <c r="K446" s="318">
        <v>0</v>
      </c>
      <c r="L446" s="318">
        <v>71.885766255578105</v>
      </c>
      <c r="M446" s="319">
        <v>30.940052264963104</v>
      </c>
      <c r="N446" s="319">
        <v>30.940052264963104</v>
      </c>
      <c r="O446" s="319">
        <f t="shared" si="6"/>
        <v>30.940052264963104</v>
      </c>
      <c r="P446" s="317">
        <v>1.9118545746123174</v>
      </c>
      <c r="Q446" s="315" t="s">
        <v>1168</v>
      </c>
      <c r="R446" s="318">
        <v>158</v>
      </c>
      <c r="T446" s="320">
        <v>70</v>
      </c>
      <c r="U446" s="318">
        <v>32</v>
      </c>
      <c r="V446" s="318">
        <v>31.82</v>
      </c>
      <c r="W446" s="318">
        <v>102</v>
      </c>
      <c r="X446" s="315">
        <v>0.3</v>
      </c>
      <c r="Y446" s="318">
        <v>3000</v>
      </c>
      <c r="Z446" s="315">
        <v>0</v>
      </c>
      <c r="AA446" s="315" t="s">
        <v>1149</v>
      </c>
      <c r="AB446" s="315">
        <v>0</v>
      </c>
      <c r="AC446" s="315" t="s">
        <v>1150</v>
      </c>
    </row>
    <row r="447" spans="1:29">
      <c r="A447" s="315" t="s">
        <v>1145</v>
      </c>
      <c r="B447" s="315" t="s">
        <v>663</v>
      </c>
      <c r="C447" s="329">
        <v>3.2479078754578699</v>
      </c>
      <c r="D447" s="329">
        <v>113.05</v>
      </c>
      <c r="E447" s="316" t="s">
        <v>1815</v>
      </c>
      <c r="F447" s="316" t="s">
        <v>1815</v>
      </c>
      <c r="G447" s="317">
        <v>10.15000096625818</v>
      </c>
      <c r="H447" s="317">
        <v>3.3714759000000001</v>
      </c>
      <c r="I447" s="317">
        <v>3.4917910999999999</v>
      </c>
      <c r="J447" s="317">
        <v>3.4917910999999999</v>
      </c>
      <c r="K447" s="318">
        <v>34.401879483635717</v>
      </c>
      <c r="L447" s="318">
        <v>72.457445698239098</v>
      </c>
      <c r="M447" s="319">
        <v>30.6456557177539</v>
      </c>
      <c r="N447" s="319">
        <v>-3.7562237658818169</v>
      </c>
      <c r="O447" s="319">
        <f t="shared" si="6"/>
        <v>0</v>
      </c>
      <c r="P447" s="317">
        <v>0</v>
      </c>
      <c r="Q447" s="315" t="s">
        <v>1148</v>
      </c>
      <c r="R447" s="318">
        <v>158</v>
      </c>
      <c r="T447" s="320">
        <v>70</v>
      </c>
      <c r="U447" s="318">
        <v>41</v>
      </c>
      <c r="V447" s="318">
        <v>36</v>
      </c>
      <c r="W447" s="318">
        <v>577</v>
      </c>
      <c r="X447" s="315">
        <v>0.23</v>
      </c>
      <c r="Y447" s="318">
        <v>71</v>
      </c>
      <c r="Z447" s="315">
        <v>1</v>
      </c>
      <c r="AA447" s="315" t="s">
        <v>1149</v>
      </c>
      <c r="AB447" s="315">
        <v>0</v>
      </c>
      <c r="AC447" s="315" t="s">
        <v>1190</v>
      </c>
    </row>
    <row r="448" spans="1:29">
      <c r="A448" s="315" t="s">
        <v>1145</v>
      </c>
      <c r="B448" s="315" t="s">
        <v>663</v>
      </c>
      <c r="C448" s="329">
        <v>3.2482845268620202</v>
      </c>
      <c r="D448" s="329">
        <v>113.05</v>
      </c>
      <c r="E448" s="316" t="s">
        <v>1816</v>
      </c>
      <c r="F448" s="316" t="s">
        <v>1816</v>
      </c>
      <c r="G448" s="317">
        <v>3.5746345402974913</v>
      </c>
      <c r="H448" s="317">
        <v>1.3438995</v>
      </c>
      <c r="I448" s="317">
        <v>1.4045198000000001</v>
      </c>
      <c r="J448" s="317">
        <v>1.4045198000000001</v>
      </c>
      <c r="K448" s="318">
        <v>39.291283742900106</v>
      </c>
      <c r="L448" s="318">
        <v>75.794208913175495</v>
      </c>
      <c r="M448" s="319">
        <v>30.013327662470601</v>
      </c>
      <c r="N448" s="319">
        <v>-9.2779560804295045</v>
      </c>
      <c r="O448" s="319">
        <f t="shared" si="6"/>
        <v>0</v>
      </c>
      <c r="P448" s="317">
        <v>0</v>
      </c>
      <c r="Q448" s="315" t="s">
        <v>1148</v>
      </c>
      <c r="R448" s="318">
        <v>159</v>
      </c>
      <c r="T448" s="320">
        <v>70.555555555555557</v>
      </c>
      <c r="U448" s="318">
        <v>20</v>
      </c>
      <c r="V448" s="318">
        <v>42.898000000000003</v>
      </c>
      <c r="W448" s="318">
        <v>183.73600000000002</v>
      </c>
      <c r="X448" s="315">
        <v>0.28000000000000003</v>
      </c>
      <c r="Y448" s="318">
        <v>3783</v>
      </c>
      <c r="Z448" s="315">
        <v>0</v>
      </c>
      <c r="AA448" s="315" t="s">
        <v>1149</v>
      </c>
      <c r="AB448" s="315">
        <v>0</v>
      </c>
      <c r="AC448" s="315" t="s">
        <v>1190</v>
      </c>
    </row>
    <row r="449" spans="1:29">
      <c r="A449" s="315" t="s">
        <v>1145</v>
      </c>
      <c r="B449" s="315" t="s">
        <v>663</v>
      </c>
      <c r="C449" s="329">
        <v>3.2486611782661701</v>
      </c>
      <c r="D449" s="329">
        <v>113.05</v>
      </c>
      <c r="E449" s="316" t="s">
        <v>1818</v>
      </c>
      <c r="F449" s="316" t="s">
        <v>1818</v>
      </c>
      <c r="G449" s="317">
        <v>6.2248980925968596</v>
      </c>
      <c r="H449" s="317">
        <v>0</v>
      </c>
      <c r="I449" s="317">
        <v>0</v>
      </c>
      <c r="J449" s="317">
        <v>0</v>
      </c>
      <c r="K449" s="318">
        <v>0</v>
      </c>
      <c r="L449" s="318">
        <v>87.120999271425305</v>
      </c>
      <c r="M449" s="319">
        <v>19.2628024514086</v>
      </c>
      <c r="N449" s="319">
        <v>19.2628024514086</v>
      </c>
      <c r="O449" s="319">
        <f t="shared" si="6"/>
        <v>19.2628024514086</v>
      </c>
      <c r="P449" s="317">
        <v>1.199089822378435</v>
      </c>
      <c r="Q449" s="315" t="s">
        <v>1168</v>
      </c>
      <c r="R449" s="318">
        <v>159</v>
      </c>
      <c r="T449" s="320">
        <v>70.555555555555557</v>
      </c>
      <c r="U449" s="318">
        <v>42</v>
      </c>
      <c r="V449" s="318">
        <v>32.72</v>
      </c>
      <c r="W449" s="318">
        <v>141</v>
      </c>
      <c r="X449" s="315">
        <v>0.12</v>
      </c>
      <c r="Y449" s="318">
        <v>6.79</v>
      </c>
      <c r="Z449" s="315">
        <v>0</v>
      </c>
      <c r="AA449" s="315" t="s">
        <v>1149</v>
      </c>
      <c r="AB449" s="315">
        <v>0</v>
      </c>
      <c r="AC449" s="315" t="s">
        <v>1150</v>
      </c>
    </row>
    <row r="450" spans="1:29">
      <c r="A450" s="315" t="s">
        <v>1145</v>
      </c>
      <c r="B450" s="315" t="s">
        <v>663</v>
      </c>
      <c r="C450" s="329">
        <v>3.24903782967032</v>
      </c>
      <c r="D450" s="329">
        <v>113.05</v>
      </c>
      <c r="E450" s="316" t="s">
        <v>1819</v>
      </c>
      <c r="F450" s="316" t="s">
        <v>1819</v>
      </c>
      <c r="G450" s="317">
        <v>2.5600002437064964</v>
      </c>
      <c r="H450" s="317">
        <v>0</v>
      </c>
      <c r="I450" s="317">
        <v>0</v>
      </c>
      <c r="J450" s="317">
        <v>0</v>
      </c>
      <c r="K450" s="318">
        <v>0</v>
      </c>
      <c r="L450" s="318">
        <v>85.160942742168899</v>
      </c>
      <c r="M450" s="319">
        <v>23.186395316304601</v>
      </c>
      <c r="N450" s="319">
        <v>23.186395316304601</v>
      </c>
      <c r="O450" s="319">
        <f t="shared" ref="O450:O513" si="7">IF(N450&lt;0,0,N450)</f>
        <v>23.186395316304601</v>
      </c>
      <c r="P450" s="317">
        <v>0.59357177660414939</v>
      </c>
      <c r="Q450" s="315" t="s">
        <v>1168</v>
      </c>
      <c r="R450" s="318">
        <v>159</v>
      </c>
      <c r="T450" s="320">
        <v>70.555555555555557</v>
      </c>
      <c r="U450" s="318">
        <v>42</v>
      </c>
      <c r="V450" s="318">
        <v>35.36</v>
      </c>
      <c r="W450" s="318">
        <v>295</v>
      </c>
      <c r="X450" s="315">
        <v>0.22</v>
      </c>
      <c r="Y450" s="318">
        <v>123</v>
      </c>
      <c r="Z450" s="315">
        <v>0</v>
      </c>
      <c r="AA450" s="315" t="s">
        <v>1149</v>
      </c>
      <c r="AB450" s="315">
        <v>0</v>
      </c>
      <c r="AC450" s="315" t="s">
        <v>1150</v>
      </c>
    </row>
    <row r="451" spans="1:29">
      <c r="A451" s="315" t="s">
        <v>1145</v>
      </c>
      <c r="B451" s="315" t="s">
        <v>663</v>
      </c>
      <c r="C451" s="329">
        <v>3.2494144810744698</v>
      </c>
      <c r="D451" s="329">
        <v>113.05</v>
      </c>
      <c r="E451" s="316" t="s">
        <v>1820</v>
      </c>
      <c r="F451" s="316" t="s">
        <v>1820</v>
      </c>
      <c r="G451" s="317">
        <v>13.677313202050689</v>
      </c>
      <c r="H451" s="317">
        <v>0</v>
      </c>
      <c r="I451" s="317">
        <v>0</v>
      </c>
      <c r="J451" s="317">
        <v>0</v>
      </c>
      <c r="K451" s="318">
        <v>0</v>
      </c>
      <c r="L451" s="318">
        <v>75.731881713055898</v>
      </c>
      <c r="M451" s="319">
        <v>24.7530201099561</v>
      </c>
      <c r="N451" s="319">
        <v>24.7530201099561</v>
      </c>
      <c r="O451" s="319">
        <f t="shared" si="7"/>
        <v>24.7530201099561</v>
      </c>
      <c r="P451" s="317">
        <v>3.3855480874052875</v>
      </c>
      <c r="Q451" s="315" t="s">
        <v>1168</v>
      </c>
      <c r="R451" s="318">
        <v>160</v>
      </c>
      <c r="T451" s="320">
        <v>71.111111111111114</v>
      </c>
      <c r="U451" s="318">
        <v>19</v>
      </c>
      <c r="V451" s="318">
        <v>23.21</v>
      </c>
      <c r="W451" s="318">
        <v>184</v>
      </c>
      <c r="X451" s="315">
        <v>0.26500000000000001</v>
      </c>
      <c r="Y451" s="318">
        <v>21</v>
      </c>
      <c r="Z451" s="315">
        <v>0</v>
      </c>
      <c r="AA451" s="315" t="s">
        <v>1149</v>
      </c>
      <c r="AB451" s="315">
        <v>0</v>
      </c>
      <c r="AC451" s="315" t="s">
        <v>1150</v>
      </c>
    </row>
    <row r="452" spans="1:29">
      <c r="A452" s="315" t="s">
        <v>1145</v>
      </c>
      <c r="B452" s="315" t="s">
        <v>663</v>
      </c>
      <c r="C452" s="329">
        <v>3.2497911324786202</v>
      </c>
      <c r="D452" s="329">
        <v>113.05</v>
      </c>
      <c r="E452" s="316" t="s">
        <v>1821</v>
      </c>
      <c r="F452" s="316" t="s">
        <v>1821</v>
      </c>
      <c r="G452" s="317">
        <v>5.53</v>
      </c>
      <c r="H452" s="317">
        <v>0</v>
      </c>
      <c r="I452" s="317">
        <v>0</v>
      </c>
      <c r="J452" s="317">
        <v>0</v>
      </c>
      <c r="K452" s="318">
        <v>0</v>
      </c>
      <c r="L452" s="318">
        <v>86.226643327923696</v>
      </c>
      <c r="M452" s="319">
        <v>19.796015724732101</v>
      </c>
      <c r="N452" s="319">
        <v>19.796015724732101</v>
      </c>
      <c r="O452" s="319">
        <f t="shared" si="7"/>
        <v>19.796015724732101</v>
      </c>
      <c r="P452" s="317">
        <v>1.0947196695776851</v>
      </c>
      <c r="Q452" s="315" t="s">
        <v>1168</v>
      </c>
      <c r="R452" s="318">
        <v>160</v>
      </c>
      <c r="T452" s="320">
        <v>71.111111111111114</v>
      </c>
      <c r="U452" s="318">
        <v>40</v>
      </c>
      <c r="V452" s="318">
        <v>43.76</v>
      </c>
      <c r="W452" s="318">
        <v>1407</v>
      </c>
      <c r="X452" s="315">
        <v>0.26</v>
      </c>
      <c r="Y452" s="318">
        <v>18.77</v>
      </c>
      <c r="Z452" s="315">
        <v>0</v>
      </c>
      <c r="AA452" s="315" t="s">
        <v>1149</v>
      </c>
      <c r="AB452" s="315">
        <v>0</v>
      </c>
      <c r="AC452" s="315" t="s">
        <v>1150</v>
      </c>
    </row>
    <row r="453" spans="1:29">
      <c r="A453" s="315" t="s">
        <v>1277</v>
      </c>
      <c r="B453" s="315" t="s">
        <v>663</v>
      </c>
      <c r="C453" s="329">
        <v>3.2501677838827798</v>
      </c>
      <c r="D453" s="329">
        <v>113.05</v>
      </c>
      <c r="E453" s="316" t="s">
        <v>1822</v>
      </c>
      <c r="F453" s="316" t="s">
        <v>1822</v>
      </c>
      <c r="G453" s="317">
        <v>16.46</v>
      </c>
      <c r="H453" s="317">
        <v>0</v>
      </c>
      <c r="I453" s="317">
        <v>0</v>
      </c>
      <c r="J453" s="317">
        <v>0</v>
      </c>
      <c r="K453" s="318">
        <v>0</v>
      </c>
      <c r="L453" s="318">
        <v>70.035728522269594</v>
      </c>
      <c r="M453" s="319">
        <v>28.020821043574202</v>
      </c>
      <c r="N453" s="319">
        <v>28.020821043574202</v>
      </c>
      <c r="O453" s="319">
        <f t="shared" si="7"/>
        <v>28.020821043574202</v>
      </c>
      <c r="P453" s="317">
        <v>4.6122271437723139</v>
      </c>
      <c r="Q453" s="315" t="s">
        <v>1168</v>
      </c>
      <c r="R453" s="318">
        <v>160</v>
      </c>
      <c r="T453" s="320">
        <v>71.111111111111114</v>
      </c>
      <c r="U453" s="318">
        <v>35</v>
      </c>
      <c r="V453" s="318">
        <v>70</v>
      </c>
      <c r="W453" s="318">
        <v>410</v>
      </c>
      <c r="X453" s="315">
        <v>0.25</v>
      </c>
      <c r="Y453" s="318">
        <v>70</v>
      </c>
      <c r="Z453" s="315">
        <v>0</v>
      </c>
      <c r="AA453" s="315" t="s">
        <v>1149</v>
      </c>
      <c r="AB453" s="315">
        <v>0</v>
      </c>
      <c r="AC453" s="315" t="s">
        <v>1150</v>
      </c>
    </row>
    <row r="454" spans="1:29">
      <c r="A454" s="315" t="s">
        <v>1432</v>
      </c>
      <c r="B454" s="315" t="s">
        <v>663</v>
      </c>
      <c r="C454" s="329">
        <v>3.2505444352869302</v>
      </c>
      <c r="D454" s="329">
        <v>113.05</v>
      </c>
      <c r="E454" s="316" t="s">
        <v>1823</v>
      </c>
      <c r="F454" s="316" t="s">
        <v>1823</v>
      </c>
      <c r="G454" s="317">
        <v>5.58</v>
      </c>
      <c r="H454" s="317">
        <v>0</v>
      </c>
      <c r="I454" s="317">
        <v>0</v>
      </c>
      <c r="J454" s="317">
        <v>0</v>
      </c>
      <c r="K454" s="318">
        <v>0</v>
      </c>
      <c r="L454" s="318">
        <v>86.574853352280101</v>
      </c>
      <c r="M454" s="319">
        <v>20.080171049589602</v>
      </c>
      <c r="N454" s="319">
        <v>20.080171049589602</v>
      </c>
      <c r="O454" s="319">
        <f t="shared" si="7"/>
        <v>20.080171049589602</v>
      </c>
      <c r="P454" s="317">
        <v>1.1204735445670997</v>
      </c>
      <c r="Q454" s="315" t="s">
        <v>1168</v>
      </c>
      <c r="R454" s="318">
        <v>160.22745234999999</v>
      </c>
      <c r="T454" s="320">
        <v>71.23747352777778</v>
      </c>
      <c r="U454" s="318">
        <v>32</v>
      </c>
      <c r="V454" s="318">
        <v>43</v>
      </c>
      <c r="W454" s="318">
        <v>331.38100000000003</v>
      </c>
      <c r="X454" s="315">
        <v>0.16800000000000001</v>
      </c>
      <c r="Y454" s="318">
        <v>6.23</v>
      </c>
      <c r="Z454" s="315">
        <v>0</v>
      </c>
      <c r="AA454" s="315" t="s">
        <v>1149</v>
      </c>
      <c r="AB454" s="315">
        <v>0</v>
      </c>
      <c r="AC454" s="315" t="s">
        <v>1190</v>
      </c>
    </row>
    <row r="455" spans="1:29">
      <c r="A455" s="315" t="s">
        <v>1145</v>
      </c>
      <c r="B455" s="315" t="s">
        <v>663</v>
      </c>
      <c r="C455" s="329">
        <v>3.25092108669108</v>
      </c>
      <c r="D455" s="329">
        <v>113.05</v>
      </c>
      <c r="E455" s="316" t="s">
        <v>1824</v>
      </c>
      <c r="F455" s="316" t="s">
        <v>1824</v>
      </c>
      <c r="G455" s="317">
        <v>3.897225871007489</v>
      </c>
      <c r="H455" s="317">
        <v>0.5501123</v>
      </c>
      <c r="I455" s="317">
        <v>0.5501123</v>
      </c>
      <c r="J455" s="317">
        <v>1.0701122999999999</v>
      </c>
      <c r="K455" s="318">
        <v>27.458308433207655</v>
      </c>
      <c r="L455" s="318">
        <v>76.276483929997696</v>
      </c>
      <c r="M455" s="319">
        <v>29.857478966972799</v>
      </c>
      <c r="N455" s="319">
        <v>2.3991705337651439</v>
      </c>
      <c r="O455" s="319">
        <f t="shared" si="7"/>
        <v>2.3991705337651439</v>
      </c>
      <c r="P455" s="317">
        <v>9.3501094731483658E-2</v>
      </c>
      <c r="Q455" s="315" t="s">
        <v>1148</v>
      </c>
      <c r="R455" s="318">
        <v>160.346</v>
      </c>
      <c r="T455" s="320">
        <v>71.303333333333342</v>
      </c>
      <c r="U455" s="318">
        <v>34.1</v>
      </c>
      <c r="V455" s="318">
        <v>22</v>
      </c>
      <c r="W455" s="318">
        <v>357.62900000000002</v>
      </c>
      <c r="X455" s="315">
        <v>0.25</v>
      </c>
      <c r="Y455" s="318">
        <v>140</v>
      </c>
      <c r="Z455" s="315">
        <v>0</v>
      </c>
      <c r="AA455" s="315" t="s">
        <v>1149</v>
      </c>
      <c r="AB455" s="315">
        <v>0</v>
      </c>
      <c r="AC455" s="315" t="s">
        <v>1190</v>
      </c>
    </row>
    <row r="456" spans="1:29">
      <c r="A456" s="315" t="s">
        <v>1145</v>
      </c>
      <c r="B456" s="315" t="s">
        <v>663</v>
      </c>
      <c r="C456" s="329">
        <v>3.2512977380952299</v>
      </c>
      <c r="D456" s="329">
        <v>113.05</v>
      </c>
      <c r="E456" s="316" t="s">
        <v>1825</v>
      </c>
      <c r="F456" s="316" t="s">
        <v>1825</v>
      </c>
      <c r="G456" s="317">
        <v>3.8600003674637016</v>
      </c>
      <c r="H456" s="317">
        <v>0</v>
      </c>
      <c r="I456" s="317">
        <v>0.15165580000000001</v>
      </c>
      <c r="J456" s="317">
        <v>0.15165580000000001</v>
      </c>
      <c r="K456" s="318">
        <v>3.9289063617278566</v>
      </c>
      <c r="L456" s="318">
        <v>81.737587770561902</v>
      </c>
      <c r="M456" s="319">
        <v>23.515275983705202</v>
      </c>
      <c r="N456" s="319">
        <v>19.586369621977344</v>
      </c>
      <c r="O456" s="319">
        <f t="shared" si="7"/>
        <v>19.586369621977344</v>
      </c>
      <c r="P456" s="317">
        <v>0.75603393938112429</v>
      </c>
      <c r="Q456" s="315" t="s">
        <v>1168</v>
      </c>
      <c r="R456" s="318">
        <v>160.346</v>
      </c>
      <c r="T456" s="320">
        <v>71.303333333333342</v>
      </c>
      <c r="U456" s="318">
        <v>34.1</v>
      </c>
      <c r="V456" s="318">
        <v>19</v>
      </c>
      <c r="W456" s="318">
        <v>357.62900000000002</v>
      </c>
      <c r="X456" s="315">
        <v>0.25</v>
      </c>
      <c r="Y456" s="318">
        <v>8</v>
      </c>
      <c r="Z456" s="315">
        <v>1</v>
      </c>
      <c r="AA456" s="315" t="s">
        <v>1149</v>
      </c>
      <c r="AB456" s="315">
        <v>0</v>
      </c>
      <c r="AC456" s="315" t="s">
        <v>1190</v>
      </c>
    </row>
    <row r="457" spans="1:29">
      <c r="A457" s="315" t="s">
        <v>1145</v>
      </c>
      <c r="B457" s="315" t="s">
        <v>663</v>
      </c>
      <c r="C457" s="329">
        <v>3.2516743894993798</v>
      </c>
      <c r="D457" s="329">
        <v>113.05</v>
      </c>
      <c r="E457" s="316" t="s">
        <v>1827</v>
      </c>
      <c r="F457" s="316" t="s">
        <v>1827</v>
      </c>
      <c r="G457" s="317">
        <v>6.552599123793291</v>
      </c>
      <c r="H457" s="317">
        <v>1.0278042000000001</v>
      </c>
      <c r="I457" s="317">
        <v>1.0278042000000001</v>
      </c>
      <c r="J457" s="317">
        <v>1.0278042000000001</v>
      </c>
      <c r="K457" s="318">
        <v>15.685442991131824</v>
      </c>
      <c r="L457" s="318">
        <v>74.0104322180146</v>
      </c>
      <c r="M457" s="319">
        <v>31.348552958023802</v>
      </c>
      <c r="N457" s="319">
        <v>15.663109966891978</v>
      </c>
      <c r="O457" s="319">
        <f t="shared" si="7"/>
        <v>15.663109966891978</v>
      </c>
      <c r="P457" s="317">
        <v>1.0263408064493433</v>
      </c>
      <c r="Q457" s="315" t="s">
        <v>1148</v>
      </c>
      <c r="R457" s="318">
        <v>161</v>
      </c>
      <c r="T457" s="320">
        <v>71.666666666666671</v>
      </c>
      <c r="U457" s="318">
        <v>40</v>
      </c>
      <c r="V457" s="318">
        <v>28.57</v>
      </c>
      <c r="W457" s="318">
        <v>652.91899999999998</v>
      </c>
      <c r="X457" s="315">
        <v>0.245</v>
      </c>
      <c r="Y457" s="318">
        <v>123.84</v>
      </c>
      <c r="Z457" s="315">
        <v>0</v>
      </c>
      <c r="AA457" s="315" t="s">
        <v>1149</v>
      </c>
      <c r="AB457" s="315">
        <v>0</v>
      </c>
      <c r="AC457" s="315" t="s">
        <v>1190</v>
      </c>
    </row>
    <row r="458" spans="1:29">
      <c r="A458" s="315" t="s">
        <v>1441</v>
      </c>
      <c r="B458" s="315" t="s">
        <v>663</v>
      </c>
      <c r="C458" s="329">
        <v>3.2520510409035301</v>
      </c>
      <c r="D458" s="329">
        <v>113.05</v>
      </c>
      <c r="E458" s="316" t="s">
        <v>1829</v>
      </c>
      <c r="F458" s="316" t="s">
        <v>1829</v>
      </c>
      <c r="G458" s="317">
        <v>5.1676258919468285</v>
      </c>
      <c r="H458" s="317">
        <v>0</v>
      </c>
      <c r="I458" s="317">
        <v>0</v>
      </c>
      <c r="J458" s="317">
        <v>0</v>
      </c>
      <c r="K458" s="318">
        <v>0</v>
      </c>
      <c r="L458" s="318">
        <v>83.361136674815299</v>
      </c>
      <c r="M458" s="319">
        <v>22.6440374708381</v>
      </c>
      <c r="N458" s="319">
        <v>22.6440374708381</v>
      </c>
      <c r="O458" s="319">
        <f t="shared" si="7"/>
        <v>22.6440374708381</v>
      </c>
      <c r="P458" s="317">
        <v>1.1701591433251715</v>
      </c>
      <c r="Q458" s="315" t="s">
        <v>1168</v>
      </c>
      <c r="R458" s="318">
        <v>161</v>
      </c>
      <c r="T458" s="320">
        <v>71.666666666666671</v>
      </c>
      <c r="U458" s="318">
        <v>41</v>
      </c>
      <c r="V458" s="318">
        <v>26.43</v>
      </c>
      <c r="W458" s="318">
        <v>653</v>
      </c>
      <c r="X458" s="315">
        <v>0.25</v>
      </c>
      <c r="Y458" s="318">
        <v>3.84</v>
      </c>
      <c r="Z458" s="315">
        <v>0</v>
      </c>
      <c r="AA458" s="315" t="s">
        <v>1149</v>
      </c>
      <c r="AB458" s="315">
        <v>0</v>
      </c>
      <c r="AC458" s="315" t="s">
        <v>1157</v>
      </c>
    </row>
    <row r="459" spans="1:29">
      <c r="A459" s="315" t="s">
        <v>1145</v>
      </c>
      <c r="B459" s="315" t="s">
        <v>663</v>
      </c>
      <c r="C459" s="329">
        <v>3.25242769230768</v>
      </c>
      <c r="D459" s="329">
        <v>113.05</v>
      </c>
      <c r="E459" s="316" t="s">
        <v>1830</v>
      </c>
      <c r="F459" s="316" t="s">
        <v>1830</v>
      </c>
      <c r="G459" s="317">
        <v>2.6991848569565713</v>
      </c>
      <c r="H459" s="317">
        <v>0</v>
      </c>
      <c r="I459" s="317">
        <v>0</v>
      </c>
      <c r="J459" s="317">
        <v>0</v>
      </c>
      <c r="K459" s="318">
        <v>0</v>
      </c>
      <c r="L459" s="318">
        <v>82.456352071723401</v>
      </c>
      <c r="M459" s="319">
        <v>23.1175556308939</v>
      </c>
      <c r="N459" s="319">
        <v>23.1175556308939</v>
      </c>
      <c r="O459" s="319">
        <f t="shared" si="7"/>
        <v>23.1175556308939</v>
      </c>
      <c r="P459" s="317">
        <v>0.62398556088759927</v>
      </c>
      <c r="Q459" s="315" t="s">
        <v>1168</v>
      </c>
      <c r="R459" s="318">
        <v>161</v>
      </c>
      <c r="T459" s="320">
        <v>71.666666666666671</v>
      </c>
      <c r="U459" s="318">
        <v>41</v>
      </c>
      <c r="V459" s="318">
        <v>17.388999999999999</v>
      </c>
      <c r="W459" s="318">
        <v>652.91899999999998</v>
      </c>
      <c r="X459" s="315">
        <v>0.22500000000000001</v>
      </c>
      <c r="Y459" s="318">
        <v>1.8</v>
      </c>
      <c r="Z459" s="315">
        <v>0</v>
      </c>
      <c r="AA459" s="315" t="s">
        <v>1149</v>
      </c>
      <c r="AB459" s="315">
        <v>0</v>
      </c>
      <c r="AC459" s="315" t="s">
        <v>1190</v>
      </c>
    </row>
    <row r="460" spans="1:29">
      <c r="A460" s="315" t="s">
        <v>1145</v>
      </c>
      <c r="B460" s="315" t="s">
        <v>663</v>
      </c>
      <c r="C460" s="329">
        <v>3.2528043437118299</v>
      </c>
      <c r="D460" s="329">
        <v>113.05</v>
      </c>
      <c r="E460" s="316" t="s">
        <v>1831</v>
      </c>
      <c r="F460" s="316" t="s">
        <v>1831</v>
      </c>
      <c r="G460" s="317">
        <v>1.9300001837318508</v>
      </c>
      <c r="H460" s="317">
        <v>0.22848260000000001</v>
      </c>
      <c r="I460" s="317">
        <v>0.22848260000000001</v>
      </c>
      <c r="J460" s="317">
        <v>0.22848260000000001</v>
      </c>
      <c r="K460" s="318">
        <v>11.838475556940402</v>
      </c>
      <c r="L460" s="318">
        <v>78.782985875227197</v>
      </c>
      <c r="M460" s="319">
        <v>25.4808056753348</v>
      </c>
      <c r="N460" s="319">
        <v>13.642330118394398</v>
      </c>
      <c r="O460" s="319">
        <f t="shared" si="7"/>
        <v>13.642330118394398</v>
      </c>
      <c r="P460" s="317">
        <v>0.26329699635031745</v>
      </c>
      <c r="Q460" s="315" t="s">
        <v>1148</v>
      </c>
      <c r="R460" s="318">
        <v>161</v>
      </c>
      <c r="T460" s="320">
        <v>71.666666666666671</v>
      </c>
      <c r="U460" s="318">
        <v>41</v>
      </c>
      <c r="V460" s="318">
        <v>18.231999999999999</v>
      </c>
      <c r="W460" s="318">
        <v>577.45600000000002</v>
      </c>
      <c r="X460" s="315">
        <v>0.23499999999999999</v>
      </c>
      <c r="Y460" s="318">
        <v>5.48</v>
      </c>
      <c r="Z460" s="315">
        <v>1</v>
      </c>
      <c r="AA460" s="315" t="s">
        <v>1149</v>
      </c>
      <c r="AB460" s="315">
        <v>0</v>
      </c>
      <c r="AC460" s="315" t="s">
        <v>1190</v>
      </c>
    </row>
    <row r="461" spans="1:29">
      <c r="A461" s="315" t="s">
        <v>1145</v>
      </c>
      <c r="B461" s="315" t="s">
        <v>663</v>
      </c>
      <c r="C461" s="329">
        <v>3.25318099511599</v>
      </c>
      <c r="D461" s="329">
        <v>113.05</v>
      </c>
      <c r="E461" s="316" t="s">
        <v>1832</v>
      </c>
      <c r="F461" s="316" t="s">
        <v>1832</v>
      </c>
      <c r="G461" s="317">
        <v>5.640000536915875</v>
      </c>
      <c r="H461" s="317">
        <v>1.2047091000000001</v>
      </c>
      <c r="I461" s="317">
        <v>1.2108655000000002</v>
      </c>
      <c r="J461" s="317">
        <v>1.2108655000000002</v>
      </c>
      <c r="K461" s="318">
        <v>21.469244410074801</v>
      </c>
      <c r="L461" s="318">
        <v>80.633154743421301</v>
      </c>
      <c r="M461" s="319">
        <v>24.5138867241693</v>
      </c>
      <c r="N461" s="319">
        <v>3.0446423140944994</v>
      </c>
      <c r="O461" s="319">
        <f t="shared" si="7"/>
        <v>3.0446423140944994</v>
      </c>
      <c r="P461" s="317">
        <v>0.17171784286209768</v>
      </c>
      <c r="Q461" s="315" t="s">
        <v>1148</v>
      </c>
      <c r="R461" s="318">
        <v>161</v>
      </c>
      <c r="T461" s="320">
        <v>71.666666666666671</v>
      </c>
      <c r="U461" s="318">
        <v>40</v>
      </c>
      <c r="V461" s="318">
        <v>32.417999999999999</v>
      </c>
      <c r="W461" s="318">
        <v>577.45600000000002</v>
      </c>
      <c r="X461" s="315">
        <v>0.215</v>
      </c>
      <c r="Y461" s="318">
        <v>3.948</v>
      </c>
      <c r="Z461" s="315">
        <v>1</v>
      </c>
      <c r="AA461" s="315" t="s">
        <v>1149</v>
      </c>
      <c r="AB461" s="315">
        <v>0</v>
      </c>
      <c r="AC461" s="315" t="s">
        <v>1190</v>
      </c>
    </row>
    <row r="462" spans="1:29">
      <c r="A462" s="315" t="s">
        <v>1145</v>
      </c>
      <c r="B462" s="315" t="s">
        <v>663</v>
      </c>
      <c r="C462" s="329">
        <v>3.2535576465201399</v>
      </c>
      <c r="D462" s="329">
        <v>113.05</v>
      </c>
      <c r="E462" s="316" t="s">
        <v>1833</v>
      </c>
      <c r="F462" s="316" t="s">
        <v>1833</v>
      </c>
      <c r="G462" s="317">
        <v>5.0096659769093845</v>
      </c>
      <c r="H462" s="317">
        <v>0</v>
      </c>
      <c r="I462" s="317">
        <v>0</v>
      </c>
      <c r="J462" s="317">
        <v>0</v>
      </c>
      <c r="K462" s="318">
        <v>0</v>
      </c>
      <c r="L462" s="318">
        <v>55.277530572637403</v>
      </c>
      <c r="M462" s="319">
        <v>30.571832109709202</v>
      </c>
      <c r="N462" s="319">
        <v>30.571832109709202</v>
      </c>
      <c r="O462" s="319">
        <f t="shared" si="7"/>
        <v>30.571832109709202</v>
      </c>
      <c r="P462" s="317">
        <v>1.5315466717179604</v>
      </c>
      <c r="Q462" s="315" t="s">
        <v>1168</v>
      </c>
      <c r="R462" s="318">
        <v>161</v>
      </c>
      <c r="T462" s="320">
        <v>71.666666666666671</v>
      </c>
      <c r="U462" s="318">
        <v>42</v>
      </c>
      <c r="V462" s="318">
        <v>40</v>
      </c>
      <c r="W462" s="318">
        <v>479.02600000000001</v>
      </c>
      <c r="X462" s="315">
        <v>0.21</v>
      </c>
      <c r="Y462" s="318">
        <v>10</v>
      </c>
      <c r="Z462" s="315">
        <v>0</v>
      </c>
      <c r="AA462" s="315" t="s">
        <v>1149</v>
      </c>
      <c r="AB462" s="315">
        <v>0</v>
      </c>
      <c r="AC462" s="315" t="s">
        <v>1190</v>
      </c>
    </row>
    <row r="463" spans="1:29">
      <c r="A463" s="315" t="s">
        <v>1277</v>
      </c>
      <c r="B463" s="315" t="s">
        <v>663</v>
      </c>
      <c r="C463" s="329">
        <v>3.2539342979242898</v>
      </c>
      <c r="D463" s="329">
        <v>113.05</v>
      </c>
      <c r="E463" s="316" t="s">
        <v>1834</v>
      </c>
      <c r="F463" s="316" t="s">
        <v>1834</v>
      </c>
      <c r="G463" s="317">
        <v>3.51</v>
      </c>
      <c r="H463" s="317">
        <v>0</v>
      </c>
      <c r="I463" s="317">
        <v>0</v>
      </c>
      <c r="J463" s="317">
        <v>0</v>
      </c>
      <c r="K463" s="318">
        <v>0</v>
      </c>
      <c r="L463" s="318">
        <v>77.038652905348599</v>
      </c>
      <c r="M463" s="319">
        <v>24.659957180352198</v>
      </c>
      <c r="N463" s="319">
        <v>24.659957180352198</v>
      </c>
      <c r="O463" s="319">
        <f t="shared" si="7"/>
        <v>24.659957180352198</v>
      </c>
      <c r="P463" s="317">
        <v>0.86556449703036209</v>
      </c>
      <c r="Q463" s="315" t="s">
        <v>1168</v>
      </c>
      <c r="R463" s="318">
        <v>161</v>
      </c>
      <c r="T463" s="320">
        <v>71.666666666666671</v>
      </c>
      <c r="U463" s="318">
        <v>35</v>
      </c>
      <c r="V463" s="318">
        <v>47.34</v>
      </c>
      <c r="W463" s="318">
        <v>305</v>
      </c>
      <c r="X463" s="315">
        <v>0.23</v>
      </c>
      <c r="Y463" s="318">
        <v>10</v>
      </c>
      <c r="Z463" s="315">
        <v>0</v>
      </c>
      <c r="AA463" s="315" t="s">
        <v>1149</v>
      </c>
      <c r="AB463" s="315">
        <v>0</v>
      </c>
      <c r="AC463" s="315" t="s">
        <v>1150</v>
      </c>
    </row>
    <row r="464" spans="1:29">
      <c r="A464" s="315" t="s">
        <v>1145</v>
      </c>
      <c r="B464" s="315" t="s">
        <v>663</v>
      </c>
      <c r="C464" s="329">
        <v>3.2543109493284401</v>
      </c>
      <c r="D464" s="329">
        <v>113.05</v>
      </c>
      <c r="E464" s="316" t="s">
        <v>1836</v>
      </c>
      <c r="F464" s="316" t="s">
        <v>1836</v>
      </c>
      <c r="G464" s="317">
        <v>21.240002022002333</v>
      </c>
      <c r="H464" s="317">
        <v>1.7207968</v>
      </c>
      <c r="I464" s="317">
        <v>1.8306990000000001</v>
      </c>
      <c r="J464" s="317">
        <v>1.8306990000000001</v>
      </c>
      <c r="K464" s="318">
        <v>8.6191093489708486</v>
      </c>
      <c r="L464" s="318">
        <v>64.8309525953388</v>
      </c>
      <c r="M464" s="319">
        <v>38.155185203770699</v>
      </c>
      <c r="N464" s="319">
        <v>29.536075854799851</v>
      </c>
      <c r="O464" s="319">
        <f t="shared" si="7"/>
        <v>29.536075854799851</v>
      </c>
      <c r="P464" s="317">
        <v>6.2734631087796302</v>
      </c>
      <c r="Q464" s="315" t="s">
        <v>1148</v>
      </c>
      <c r="R464" s="318">
        <v>161.07884900000002</v>
      </c>
      <c r="T464" s="320">
        <v>71.710471666666677</v>
      </c>
      <c r="U464" s="318">
        <v>27.3</v>
      </c>
      <c r="V464" s="318">
        <v>12</v>
      </c>
      <c r="W464" s="318">
        <v>70</v>
      </c>
      <c r="X464" s="315">
        <v>0.21293200000000001</v>
      </c>
      <c r="Y464" s="318">
        <v>527.99689999999998</v>
      </c>
      <c r="Z464" s="315">
        <v>0</v>
      </c>
      <c r="AA464" s="315" t="s">
        <v>1149</v>
      </c>
      <c r="AB464" s="315">
        <v>0</v>
      </c>
      <c r="AC464" s="315" t="s">
        <v>1150</v>
      </c>
    </row>
    <row r="465" spans="1:29">
      <c r="A465" s="315" t="s">
        <v>1145</v>
      </c>
      <c r="B465" s="315" t="s">
        <v>663</v>
      </c>
      <c r="C465" s="329">
        <v>3.25468760073259</v>
      </c>
      <c r="D465" s="329">
        <v>113.05</v>
      </c>
      <c r="E465" s="316" t="s">
        <v>1837</v>
      </c>
      <c r="F465" s="316" t="s">
        <v>1837</v>
      </c>
      <c r="G465" s="317">
        <v>4.1600003960230563</v>
      </c>
      <c r="H465" s="317">
        <v>0.63951760000000002</v>
      </c>
      <c r="I465" s="317">
        <v>0.64606980000000003</v>
      </c>
      <c r="J465" s="317">
        <v>0.64606980000000003</v>
      </c>
      <c r="K465" s="318">
        <v>15.530522559989182</v>
      </c>
      <c r="L465" s="318">
        <v>81.497422372782694</v>
      </c>
      <c r="M465" s="319">
        <v>24.0447514282844</v>
      </c>
      <c r="N465" s="319">
        <v>8.5142288682952181</v>
      </c>
      <c r="O465" s="319">
        <f t="shared" si="7"/>
        <v>8.5142288682952181</v>
      </c>
      <c r="P465" s="317">
        <v>0.35419195463939046</v>
      </c>
      <c r="Q465" s="315" t="s">
        <v>1148</v>
      </c>
      <c r="R465" s="318">
        <v>162.5196</v>
      </c>
      <c r="T465" s="320">
        <v>72.510888888888886</v>
      </c>
      <c r="U465" s="318">
        <v>40</v>
      </c>
      <c r="V465" s="318">
        <v>54.061</v>
      </c>
      <c r="W465" s="318">
        <v>495.43100000000004</v>
      </c>
      <c r="X465" s="315">
        <v>0.25</v>
      </c>
      <c r="Y465" s="318">
        <v>23.295999999999999</v>
      </c>
      <c r="Z465" s="315">
        <v>2</v>
      </c>
      <c r="AA465" s="315" t="s">
        <v>1149</v>
      </c>
      <c r="AB465" s="315">
        <v>0</v>
      </c>
      <c r="AC465" s="315" t="s">
        <v>1190</v>
      </c>
    </row>
    <row r="466" spans="1:29">
      <c r="A466" s="315" t="s">
        <v>1277</v>
      </c>
      <c r="B466" s="315" t="s">
        <v>663</v>
      </c>
      <c r="C466" s="329">
        <v>3.2550642521367399</v>
      </c>
      <c r="D466" s="329">
        <v>113.05</v>
      </c>
      <c r="E466" s="316" t="s">
        <v>1838</v>
      </c>
      <c r="F466" s="316" t="s">
        <v>1838</v>
      </c>
      <c r="G466" s="317">
        <v>8.9295578500746302</v>
      </c>
      <c r="H466" s="317">
        <v>0</v>
      </c>
      <c r="I466" s="317">
        <v>0</v>
      </c>
      <c r="J466" s="317">
        <v>0</v>
      </c>
      <c r="K466" s="318">
        <v>0</v>
      </c>
      <c r="L466" s="318">
        <v>69.180715781151093</v>
      </c>
      <c r="M466" s="319">
        <v>29.124567355806004</v>
      </c>
      <c r="N466" s="319">
        <v>29.124567355806004</v>
      </c>
      <c r="O466" s="319">
        <f t="shared" si="7"/>
        <v>29.124567355806004</v>
      </c>
      <c r="P466" s="317">
        <v>2.6006950906206479</v>
      </c>
      <c r="Q466" s="315" t="s">
        <v>1168</v>
      </c>
      <c r="R466" s="318">
        <v>163</v>
      </c>
      <c r="T466" s="320">
        <v>72.777777777777771</v>
      </c>
      <c r="U466" s="318">
        <v>42</v>
      </c>
      <c r="V466" s="318">
        <v>46.12</v>
      </c>
      <c r="W466" s="318">
        <v>200</v>
      </c>
      <c r="X466" s="315">
        <v>0.28999999999999998</v>
      </c>
      <c r="Y466" s="318">
        <v>5727</v>
      </c>
      <c r="Z466" s="315">
        <v>0</v>
      </c>
      <c r="AA466" s="315" t="s">
        <v>1149</v>
      </c>
      <c r="AB466" s="315">
        <v>0</v>
      </c>
      <c r="AC466" s="315" t="s">
        <v>1150</v>
      </c>
    </row>
    <row r="467" spans="1:29">
      <c r="A467" s="315" t="s">
        <v>1145</v>
      </c>
      <c r="B467" s="315" t="s">
        <v>663</v>
      </c>
      <c r="C467" s="329">
        <v>3.2554409035408902</v>
      </c>
      <c r="D467" s="329">
        <v>113.05</v>
      </c>
      <c r="E467" s="316" t="s">
        <v>1839</v>
      </c>
      <c r="F467" s="316" t="s">
        <v>1839</v>
      </c>
      <c r="G467" s="317">
        <v>7.5758708212065455</v>
      </c>
      <c r="H467" s="317">
        <v>0</v>
      </c>
      <c r="I467" s="317">
        <v>0</v>
      </c>
      <c r="J467" s="317">
        <v>0.505</v>
      </c>
      <c r="K467" s="318">
        <v>6.6659003554600318</v>
      </c>
      <c r="L467" s="318">
        <v>80.546954674422807</v>
      </c>
      <c r="M467" s="319">
        <v>23.222785940998598</v>
      </c>
      <c r="N467" s="319">
        <v>16.556885585538566</v>
      </c>
      <c r="O467" s="319">
        <f t="shared" si="7"/>
        <v>16.556885585538566</v>
      </c>
      <c r="P467" s="317">
        <v>1.2543282639753688</v>
      </c>
      <c r="Q467" s="315" t="s">
        <v>1168</v>
      </c>
      <c r="R467" s="318">
        <v>163</v>
      </c>
      <c r="T467" s="320">
        <v>72.777777777777771</v>
      </c>
      <c r="U467" s="318">
        <v>42</v>
      </c>
      <c r="V467" s="318">
        <v>29.65</v>
      </c>
      <c r="W467" s="318">
        <v>200</v>
      </c>
      <c r="X467" s="315">
        <v>0.214</v>
      </c>
      <c r="Y467" s="318">
        <v>10</v>
      </c>
      <c r="Z467" s="315">
        <v>0</v>
      </c>
      <c r="AA467" s="315" t="s">
        <v>1149</v>
      </c>
      <c r="AB467" s="315">
        <v>0</v>
      </c>
      <c r="AC467" s="315" t="s">
        <v>1150</v>
      </c>
    </row>
    <row r="468" spans="1:29">
      <c r="A468" s="315" t="s">
        <v>1277</v>
      </c>
      <c r="B468" s="315" t="s">
        <v>663</v>
      </c>
      <c r="C468" s="329">
        <v>3.2558175549450401</v>
      </c>
      <c r="D468" s="329">
        <v>113.05</v>
      </c>
      <c r="E468" s="316" t="s">
        <v>1841</v>
      </c>
      <c r="F468" s="316" t="s">
        <v>1841</v>
      </c>
      <c r="G468" s="317">
        <v>5.2</v>
      </c>
      <c r="H468" s="317">
        <v>0</v>
      </c>
      <c r="I468" s="317">
        <v>0</v>
      </c>
      <c r="J468" s="317">
        <v>0</v>
      </c>
      <c r="K468" s="318">
        <v>0</v>
      </c>
      <c r="L468" s="318">
        <v>84.0851559413898</v>
      </c>
      <c r="M468" s="319">
        <v>21.032804154292801</v>
      </c>
      <c r="N468" s="319">
        <v>21.032804154292801</v>
      </c>
      <c r="O468" s="319">
        <f t="shared" si="7"/>
        <v>21.032804154292801</v>
      </c>
      <c r="P468" s="317">
        <v>1.0937058160232256</v>
      </c>
      <c r="Q468" s="315" t="s">
        <v>1168</v>
      </c>
      <c r="R468" s="318">
        <v>163</v>
      </c>
      <c r="T468" s="320">
        <v>72.777777777777771</v>
      </c>
      <c r="U468" s="318">
        <v>34</v>
      </c>
      <c r="V468" s="318">
        <v>32.200000000000003</v>
      </c>
      <c r="W468" s="318">
        <v>210</v>
      </c>
      <c r="X468" s="315">
        <v>0.19500000000000001</v>
      </c>
      <c r="Y468" s="318">
        <v>8.44</v>
      </c>
      <c r="Z468" s="315">
        <v>0</v>
      </c>
      <c r="AA468" s="315" t="s">
        <v>1149</v>
      </c>
      <c r="AB468" s="315">
        <v>0</v>
      </c>
      <c r="AC468" s="315" t="s">
        <v>1150</v>
      </c>
    </row>
    <row r="469" spans="1:29">
      <c r="A469" s="315" t="s">
        <v>1145</v>
      </c>
      <c r="B469" s="315" t="s">
        <v>663</v>
      </c>
      <c r="C469" s="329">
        <v>3.2561942063492002</v>
      </c>
      <c r="D469" s="329">
        <v>113.05</v>
      </c>
      <c r="E469" s="316" t="s">
        <v>1842</v>
      </c>
      <c r="F469" s="316" t="s">
        <v>1842</v>
      </c>
      <c r="G469" s="317">
        <v>91.85000874392253</v>
      </c>
      <c r="H469" s="317">
        <v>30.109845400000001</v>
      </c>
      <c r="I469" s="317">
        <v>31.144473300000001</v>
      </c>
      <c r="J469" s="317">
        <v>31.144473300000001</v>
      </c>
      <c r="K469" s="318">
        <v>33.907969880362963</v>
      </c>
      <c r="L469" s="318">
        <v>59.014001470675296</v>
      </c>
      <c r="M469" s="319">
        <v>41.867563512683695</v>
      </c>
      <c r="N469" s="319">
        <v>7.9595936323207326</v>
      </c>
      <c r="O469" s="319">
        <f t="shared" si="7"/>
        <v>7.9595936323207326</v>
      </c>
      <c r="P469" s="317">
        <v>7.3108874472672936</v>
      </c>
      <c r="Q469" s="315" t="s">
        <v>1148</v>
      </c>
      <c r="R469" s="318">
        <v>163.26060000000001</v>
      </c>
      <c r="T469" s="320">
        <v>72.922555555555562</v>
      </c>
      <c r="U469" s="318">
        <v>46</v>
      </c>
      <c r="V469" s="318">
        <v>17</v>
      </c>
      <c r="W469" s="318">
        <v>371</v>
      </c>
      <c r="X469" s="315">
        <v>0.21274299999999999</v>
      </c>
      <c r="Y469" s="318">
        <v>530.82299999999998</v>
      </c>
      <c r="Z469" s="315">
        <v>1</v>
      </c>
      <c r="AA469" s="315" t="s">
        <v>1149</v>
      </c>
      <c r="AB469" s="315">
        <v>0</v>
      </c>
      <c r="AC469" s="315" t="s">
        <v>1190</v>
      </c>
    </row>
    <row r="470" spans="1:29">
      <c r="A470" s="315" t="s">
        <v>1145</v>
      </c>
      <c r="B470" s="315" t="s">
        <v>663</v>
      </c>
      <c r="C470" s="329">
        <v>3.2565708577533501</v>
      </c>
      <c r="D470" s="329">
        <v>113.05</v>
      </c>
      <c r="E470" s="316" t="s">
        <v>1843</v>
      </c>
      <c r="F470" s="316" t="s">
        <v>1843</v>
      </c>
      <c r="G470" s="317">
        <v>10.496225199217978</v>
      </c>
      <c r="H470" s="317">
        <v>2.7092263999999999</v>
      </c>
      <c r="I470" s="317">
        <v>2.7092263999999999</v>
      </c>
      <c r="J470" s="317">
        <v>2.7092263999999999</v>
      </c>
      <c r="K470" s="318">
        <v>25.811435526381914</v>
      </c>
      <c r="L470" s="318">
        <v>77.118168508919794</v>
      </c>
      <c r="M470" s="319">
        <v>29.260028837410502</v>
      </c>
      <c r="N470" s="319">
        <v>3.4485933110285885</v>
      </c>
      <c r="O470" s="319">
        <f t="shared" si="7"/>
        <v>3.4485933110285885</v>
      </c>
      <c r="P470" s="317">
        <v>0.36197212013072838</v>
      </c>
      <c r="Q470" s="315" t="s">
        <v>1148</v>
      </c>
      <c r="R470" s="318">
        <v>164.9649</v>
      </c>
      <c r="T470" s="320">
        <v>73.869388888888878</v>
      </c>
      <c r="U470" s="318">
        <v>20</v>
      </c>
      <c r="V470" s="318">
        <v>35</v>
      </c>
      <c r="W470" s="318">
        <v>252.637</v>
      </c>
      <c r="X470" s="315">
        <v>0.24</v>
      </c>
      <c r="Y470" s="318">
        <v>2584</v>
      </c>
      <c r="Z470" s="315">
        <v>1</v>
      </c>
      <c r="AA470" s="315" t="s">
        <v>1149</v>
      </c>
      <c r="AB470" s="315">
        <v>0</v>
      </c>
      <c r="AC470" s="315" t="s">
        <v>1190</v>
      </c>
    </row>
    <row r="471" spans="1:29">
      <c r="A471" s="315" t="s">
        <v>1145</v>
      </c>
      <c r="B471" s="315" t="s">
        <v>663</v>
      </c>
      <c r="C471" s="329">
        <v>3.2569475091575</v>
      </c>
      <c r="D471" s="329">
        <v>113.05</v>
      </c>
      <c r="E471" s="316" t="s">
        <v>1844</v>
      </c>
      <c r="F471" s="316" t="s">
        <v>1844</v>
      </c>
      <c r="G471" s="317">
        <v>4.9413908704097427</v>
      </c>
      <c r="H471" s="317">
        <v>0</v>
      </c>
      <c r="I471" s="317">
        <v>0</v>
      </c>
      <c r="J471" s="317">
        <v>0</v>
      </c>
      <c r="K471" s="318">
        <v>0</v>
      </c>
      <c r="L471" s="318">
        <v>83.638885590762598</v>
      </c>
      <c r="M471" s="319">
        <v>21.6448482827244</v>
      </c>
      <c r="N471" s="319">
        <v>21.6448482827244</v>
      </c>
      <c r="O471" s="319">
        <f t="shared" si="7"/>
        <v>21.6448482827244</v>
      </c>
      <c r="P471" s="317">
        <v>1.0695565569565835</v>
      </c>
      <c r="Q471" s="315" t="s">
        <v>1168</v>
      </c>
      <c r="R471" s="318">
        <v>165</v>
      </c>
      <c r="T471" s="320">
        <v>73.888888888888886</v>
      </c>
      <c r="U471" s="318">
        <v>42</v>
      </c>
      <c r="V471" s="318">
        <v>18.149999999999999</v>
      </c>
      <c r="W471" s="318">
        <v>180</v>
      </c>
      <c r="X471" s="315">
        <v>0.21</v>
      </c>
      <c r="Y471" s="318">
        <v>231.79</v>
      </c>
      <c r="Z471" s="315">
        <v>0</v>
      </c>
      <c r="AA471" s="315" t="s">
        <v>1149</v>
      </c>
      <c r="AB471" s="315">
        <v>0</v>
      </c>
      <c r="AC471" s="315" t="s">
        <v>1150</v>
      </c>
    </row>
    <row r="472" spans="1:29">
      <c r="A472" s="315" t="s">
        <v>1485</v>
      </c>
      <c r="B472" s="315" t="s">
        <v>663</v>
      </c>
      <c r="C472" s="329">
        <v>3.2573241605616499</v>
      </c>
      <c r="D472" s="329">
        <v>113.05</v>
      </c>
      <c r="E472" s="316" t="s">
        <v>1845</v>
      </c>
      <c r="F472" s="316" t="s">
        <v>1845</v>
      </c>
      <c r="G472" s="317">
        <v>10.76982102526371</v>
      </c>
      <c r="H472" s="317">
        <v>2.5292837000000001</v>
      </c>
      <c r="I472" s="317">
        <v>2.8807341000000002</v>
      </c>
      <c r="J472" s="317">
        <v>2.8807341000000002</v>
      </c>
      <c r="K472" s="318">
        <v>26.748207730123003</v>
      </c>
      <c r="L472" s="318">
        <v>72.490574694243804</v>
      </c>
      <c r="M472" s="319">
        <v>31.033804160793601</v>
      </c>
      <c r="N472" s="319">
        <v>4.2855964306705978</v>
      </c>
      <c r="O472" s="319">
        <f t="shared" si="7"/>
        <v>4.2855964306705978</v>
      </c>
      <c r="P472" s="317">
        <v>0.46155106544831309</v>
      </c>
      <c r="Q472" s="315" t="s">
        <v>1148</v>
      </c>
      <c r="R472" s="318">
        <v>165</v>
      </c>
      <c r="T472" s="320">
        <v>73.888888888888886</v>
      </c>
      <c r="U472" s="318">
        <v>35</v>
      </c>
      <c r="V472" s="318">
        <v>80</v>
      </c>
      <c r="W472" s="318">
        <v>210</v>
      </c>
      <c r="X472" s="315">
        <v>0.16</v>
      </c>
      <c r="Y472" s="318">
        <v>6.5</v>
      </c>
      <c r="Z472" s="315">
        <v>1</v>
      </c>
      <c r="AA472" s="315" t="s">
        <v>1149</v>
      </c>
      <c r="AB472" s="315">
        <v>0</v>
      </c>
      <c r="AC472" s="315" t="s">
        <v>1190</v>
      </c>
    </row>
    <row r="473" spans="1:29">
      <c r="A473" s="315" t="s">
        <v>1145</v>
      </c>
      <c r="B473" s="315" t="s">
        <v>663</v>
      </c>
      <c r="C473" s="329">
        <v>3.2577008119658002</v>
      </c>
      <c r="D473" s="329">
        <v>113.05</v>
      </c>
      <c r="E473" s="316" t="s">
        <v>1846</v>
      </c>
      <c r="F473" s="316" t="s">
        <v>1846</v>
      </c>
      <c r="G473" s="317">
        <v>5.6600005388198324</v>
      </c>
      <c r="H473" s="317">
        <v>0.4932107</v>
      </c>
      <c r="I473" s="317">
        <v>0.61220419999999998</v>
      </c>
      <c r="J473" s="317">
        <v>0.61220419999999998</v>
      </c>
      <c r="K473" s="318">
        <v>10.816327592216993</v>
      </c>
      <c r="L473" s="318">
        <v>83.631219510146394</v>
      </c>
      <c r="M473" s="319">
        <v>22.285282336315401</v>
      </c>
      <c r="N473" s="319">
        <v>11.468954744098408</v>
      </c>
      <c r="O473" s="319">
        <f t="shared" si="7"/>
        <v>11.468954744098408</v>
      </c>
      <c r="P473" s="317">
        <v>0.64914290031297261</v>
      </c>
      <c r="Q473" s="315" t="s">
        <v>1148</v>
      </c>
      <c r="R473" s="318">
        <v>166</v>
      </c>
      <c r="T473" s="320">
        <v>74.444444444444443</v>
      </c>
      <c r="U473" s="318">
        <v>37.6</v>
      </c>
      <c r="V473" s="318">
        <v>40.299999999999997</v>
      </c>
      <c r="W473" s="318">
        <v>538.08400000000006</v>
      </c>
      <c r="X473" s="315">
        <v>0.21</v>
      </c>
      <c r="Y473" s="318">
        <v>7.3</v>
      </c>
      <c r="Z473" s="315">
        <v>1</v>
      </c>
      <c r="AA473" s="315" t="s">
        <v>1149</v>
      </c>
      <c r="AB473" s="315">
        <v>0</v>
      </c>
      <c r="AC473" s="315" t="s">
        <v>1190</v>
      </c>
    </row>
    <row r="474" spans="1:29">
      <c r="A474" s="315" t="s">
        <v>1277</v>
      </c>
      <c r="B474" s="315" t="s">
        <v>663</v>
      </c>
      <c r="C474" s="329">
        <v>3.2580774633699501</v>
      </c>
      <c r="D474" s="329">
        <v>113.05</v>
      </c>
      <c r="E474" s="316" t="s">
        <v>1847</v>
      </c>
      <c r="F474" s="316" t="s">
        <v>1847</v>
      </c>
      <c r="G474" s="317">
        <v>16.47</v>
      </c>
      <c r="H474" s="317">
        <v>0</v>
      </c>
      <c r="I474" s="317">
        <v>0</v>
      </c>
      <c r="J474" s="317">
        <v>0</v>
      </c>
      <c r="K474" s="318">
        <v>0</v>
      </c>
      <c r="L474" s="318">
        <v>78.791563204102104</v>
      </c>
      <c r="M474" s="319">
        <v>24.1113503920554</v>
      </c>
      <c r="N474" s="319">
        <v>24.1113503920554</v>
      </c>
      <c r="O474" s="319">
        <f t="shared" si="7"/>
        <v>24.1113503920554</v>
      </c>
      <c r="P474" s="317">
        <v>3.9711394095715242</v>
      </c>
      <c r="Q474" s="315" t="s">
        <v>1168</v>
      </c>
      <c r="R474" s="318">
        <v>167</v>
      </c>
      <c r="T474" s="320">
        <v>75</v>
      </c>
      <c r="U474" s="318">
        <v>34</v>
      </c>
      <c r="V474" s="318">
        <v>59.32</v>
      </c>
      <c r="W474" s="318">
        <v>259</v>
      </c>
      <c r="X474" s="315">
        <v>0.25</v>
      </c>
      <c r="Y474" s="318">
        <v>15.05</v>
      </c>
      <c r="Z474" s="315">
        <v>0</v>
      </c>
      <c r="AA474" s="315" t="s">
        <v>1149</v>
      </c>
      <c r="AB474" s="315">
        <v>0</v>
      </c>
      <c r="AC474" s="315" t="s">
        <v>1150</v>
      </c>
    </row>
    <row r="475" spans="1:29">
      <c r="A475" s="315" t="s">
        <v>1145</v>
      </c>
      <c r="B475" s="315" t="s">
        <v>663</v>
      </c>
      <c r="C475" s="329">
        <v>3.2584541147741</v>
      </c>
      <c r="D475" s="329">
        <v>113.05</v>
      </c>
      <c r="E475" s="316" t="s">
        <v>1848</v>
      </c>
      <c r="F475" s="316" t="s">
        <v>1848</v>
      </c>
      <c r="G475" s="317">
        <v>1.3700001304210547</v>
      </c>
      <c r="H475" s="317">
        <v>0.82371439999999996</v>
      </c>
      <c r="I475" s="317">
        <v>0.82371439999999996</v>
      </c>
      <c r="J475" s="317">
        <v>0.82371439999999996</v>
      </c>
      <c r="K475" s="318">
        <v>60.125132962347983</v>
      </c>
      <c r="L475" s="318">
        <v>83.385725475910107</v>
      </c>
      <c r="M475" s="319">
        <v>22.8200909366095</v>
      </c>
      <c r="N475" s="319">
        <v>-37.305042025738487</v>
      </c>
      <c r="O475" s="319">
        <f t="shared" si="7"/>
        <v>0</v>
      </c>
      <c r="P475" s="317">
        <v>0</v>
      </c>
      <c r="Q475" s="315" t="s">
        <v>1148</v>
      </c>
      <c r="R475" s="318">
        <v>168</v>
      </c>
      <c r="T475" s="320">
        <v>75.555555555555557</v>
      </c>
      <c r="U475" s="318">
        <v>41</v>
      </c>
      <c r="V475" s="318">
        <v>15.36</v>
      </c>
      <c r="W475" s="318">
        <v>311.69499999999999</v>
      </c>
      <c r="X475" s="315">
        <v>0.21</v>
      </c>
      <c r="Y475" s="318">
        <v>15.15</v>
      </c>
      <c r="Z475" s="315">
        <v>0</v>
      </c>
      <c r="AA475" s="315" t="s">
        <v>1149</v>
      </c>
      <c r="AB475" s="315">
        <v>0</v>
      </c>
      <c r="AC475" s="315" t="s">
        <v>1190</v>
      </c>
    </row>
    <row r="476" spans="1:29">
      <c r="A476" s="315" t="s">
        <v>1145</v>
      </c>
      <c r="B476" s="315" t="s">
        <v>663</v>
      </c>
      <c r="C476" s="329">
        <v>3.2588307661782601</v>
      </c>
      <c r="D476" s="329">
        <v>113.05</v>
      </c>
      <c r="E476" s="316" t="s">
        <v>1849</v>
      </c>
      <c r="F476" s="316" t="s">
        <v>1849</v>
      </c>
      <c r="G476" s="317">
        <v>1.40000013327699</v>
      </c>
      <c r="H476" s="317">
        <v>7.4366500000000002E-2</v>
      </c>
      <c r="I476" s="317">
        <v>7.4366500000000002E-2</v>
      </c>
      <c r="J476" s="317">
        <v>7.4366500000000002E-2</v>
      </c>
      <c r="K476" s="318">
        <v>5.3118923514621263</v>
      </c>
      <c r="L476" s="318">
        <v>78.635317347006406</v>
      </c>
      <c r="M476" s="319">
        <v>29.102388743949998</v>
      </c>
      <c r="N476" s="319">
        <v>23.790496392487871</v>
      </c>
      <c r="O476" s="319">
        <f t="shared" si="7"/>
        <v>23.790496392487871</v>
      </c>
      <c r="P476" s="317">
        <v>0.33306698120208766</v>
      </c>
      <c r="Q476" s="315" t="s">
        <v>1148</v>
      </c>
      <c r="R476" s="318">
        <v>168</v>
      </c>
      <c r="T476" s="320">
        <v>75.555555555555557</v>
      </c>
      <c r="U476" s="318">
        <v>41</v>
      </c>
      <c r="V476" s="318">
        <v>58.78</v>
      </c>
      <c r="W476" s="318">
        <v>272.32300000000004</v>
      </c>
      <c r="X476" s="315">
        <v>0.23</v>
      </c>
      <c r="Y476" s="318">
        <v>844.38</v>
      </c>
      <c r="Z476" s="315">
        <v>0</v>
      </c>
      <c r="AA476" s="315" t="s">
        <v>1149</v>
      </c>
      <c r="AB476" s="315">
        <v>0</v>
      </c>
      <c r="AC476" s="315" t="s">
        <v>1190</v>
      </c>
    </row>
    <row r="477" spans="1:29">
      <c r="A477" s="315" t="s">
        <v>1145</v>
      </c>
      <c r="B477" s="315" t="s">
        <v>663</v>
      </c>
      <c r="C477" s="329">
        <v>3.2592074175824099</v>
      </c>
      <c r="D477" s="329">
        <v>113.05</v>
      </c>
      <c r="E477" s="316" t="s">
        <v>1850</v>
      </c>
      <c r="F477" s="316" t="s">
        <v>1850</v>
      </c>
      <c r="G477" s="317">
        <v>4.5089185292393097</v>
      </c>
      <c r="H477" s="317">
        <v>0</v>
      </c>
      <c r="I477" s="317">
        <v>0</v>
      </c>
      <c r="J477" s="317">
        <v>0.29299999999999998</v>
      </c>
      <c r="K477" s="318">
        <v>6.4982322945061375</v>
      </c>
      <c r="L477" s="318">
        <v>84.266600454285907</v>
      </c>
      <c r="M477" s="319">
        <v>20.704824237048001</v>
      </c>
      <c r="N477" s="319">
        <v>14.206591942541863</v>
      </c>
      <c r="O477" s="319">
        <f t="shared" si="7"/>
        <v>14.206591942541863</v>
      </c>
      <c r="P477" s="317">
        <v>0.6405636564706888</v>
      </c>
      <c r="Q477" s="315" t="s">
        <v>1168</v>
      </c>
      <c r="R477" s="318">
        <v>171</v>
      </c>
      <c r="T477" s="320">
        <v>77.222222222222229</v>
      </c>
      <c r="U477" s="318">
        <v>28</v>
      </c>
      <c r="V477" s="318">
        <v>25.59</v>
      </c>
      <c r="W477" s="318">
        <v>125</v>
      </c>
      <c r="X477" s="315">
        <v>0.22</v>
      </c>
      <c r="Y477" s="318">
        <v>19.059999999999999</v>
      </c>
      <c r="Z477" s="315">
        <v>0</v>
      </c>
      <c r="AA477" s="315" t="s">
        <v>1149</v>
      </c>
      <c r="AB477" s="315">
        <v>0</v>
      </c>
      <c r="AC477" s="315" t="s">
        <v>1150</v>
      </c>
    </row>
    <row r="478" spans="1:29">
      <c r="A478" s="315" t="s">
        <v>1145</v>
      </c>
      <c r="B478" s="315" t="s">
        <v>663</v>
      </c>
      <c r="C478" s="329">
        <v>3.2595840689865598</v>
      </c>
      <c r="D478" s="329">
        <v>113.05</v>
      </c>
      <c r="E478" s="316" t="s">
        <v>1851</v>
      </c>
      <c r="F478" s="316" t="s">
        <v>1851</v>
      </c>
      <c r="G478" s="317">
        <v>3.27000031129697</v>
      </c>
      <c r="H478" s="317">
        <v>0</v>
      </c>
      <c r="I478" s="317">
        <v>0</v>
      </c>
      <c r="J478" s="317">
        <v>0</v>
      </c>
      <c r="K478" s="318">
        <v>0</v>
      </c>
      <c r="L478" s="318">
        <v>84.948860595734203</v>
      </c>
      <c r="M478" s="319">
        <v>20.786786186126101</v>
      </c>
      <c r="N478" s="319">
        <v>20.786786186126101</v>
      </c>
      <c r="O478" s="319">
        <f t="shared" si="7"/>
        <v>20.786786186126101</v>
      </c>
      <c r="P478" s="317">
        <v>0.67972797299495902</v>
      </c>
      <c r="Q478" s="315" t="s">
        <v>1168</v>
      </c>
      <c r="R478" s="318">
        <v>171</v>
      </c>
      <c r="T478" s="320">
        <v>77.222222222222229</v>
      </c>
      <c r="U478" s="318">
        <v>42</v>
      </c>
      <c r="V478" s="318">
        <v>36.700000000000003</v>
      </c>
      <c r="W478" s="318">
        <v>213</v>
      </c>
      <c r="X478" s="315">
        <v>0.22</v>
      </c>
      <c r="Y478" s="318">
        <v>236.02</v>
      </c>
      <c r="Z478" s="315">
        <v>0</v>
      </c>
      <c r="AA478" s="315" t="s">
        <v>1149</v>
      </c>
      <c r="AB478" s="315">
        <v>0</v>
      </c>
      <c r="AC478" s="315" t="s">
        <v>1150</v>
      </c>
    </row>
    <row r="479" spans="1:29">
      <c r="A479" s="315" t="s">
        <v>1277</v>
      </c>
      <c r="B479" s="315" t="s">
        <v>663</v>
      </c>
      <c r="C479" s="329">
        <v>3.2599607203907102</v>
      </c>
      <c r="D479" s="329">
        <v>113.05</v>
      </c>
      <c r="E479" s="316" t="s">
        <v>1853</v>
      </c>
      <c r="F479" s="316" t="s">
        <v>1853</v>
      </c>
      <c r="G479" s="317">
        <v>2.48</v>
      </c>
      <c r="H479" s="317">
        <v>0</v>
      </c>
      <c r="I479" s="317">
        <v>0</v>
      </c>
      <c r="J479" s="317">
        <v>0</v>
      </c>
      <c r="K479" s="318">
        <v>0</v>
      </c>
      <c r="L479" s="318">
        <v>71.391962154137204</v>
      </c>
      <c r="M479" s="319">
        <v>27.765307015313802</v>
      </c>
      <c r="N479" s="319">
        <v>27.765307015313802</v>
      </c>
      <c r="O479" s="319">
        <f t="shared" si="7"/>
        <v>27.765307015313802</v>
      </c>
      <c r="P479" s="317">
        <v>0.68857961397978229</v>
      </c>
      <c r="Q479" s="315" t="s">
        <v>1168</v>
      </c>
      <c r="R479" s="318">
        <v>171</v>
      </c>
      <c r="T479" s="320">
        <v>77.222222222222229</v>
      </c>
      <c r="U479" s="318">
        <v>35</v>
      </c>
      <c r="V479" s="318">
        <v>47.66</v>
      </c>
      <c r="W479" s="318">
        <v>361</v>
      </c>
      <c r="X479" s="315">
        <v>0.21</v>
      </c>
      <c r="Y479" s="318">
        <v>10</v>
      </c>
      <c r="Z479" s="315">
        <v>0</v>
      </c>
      <c r="AA479" s="315" t="s">
        <v>1149</v>
      </c>
      <c r="AB479" s="315">
        <v>0</v>
      </c>
      <c r="AC479" s="315" t="s">
        <v>1150</v>
      </c>
    </row>
    <row r="480" spans="1:29">
      <c r="B480" s="315" t="s">
        <v>663</v>
      </c>
      <c r="C480" s="329">
        <v>3.2603373717948601</v>
      </c>
      <c r="D480" s="329">
        <v>113.05</v>
      </c>
      <c r="E480" s="316" t="s">
        <v>1854</v>
      </c>
      <c r="F480" s="316" t="s">
        <v>1854</v>
      </c>
      <c r="G480" s="317">
        <v>10.010000952930479</v>
      </c>
      <c r="H480" s="317">
        <v>2.9196542000000001</v>
      </c>
      <c r="I480" s="317">
        <v>2.9874668</v>
      </c>
      <c r="J480" s="317">
        <v>2.9874668</v>
      </c>
      <c r="K480" s="318">
        <v>29.844820335660444</v>
      </c>
      <c r="L480" s="318">
        <v>69.767287478676806</v>
      </c>
      <c r="M480" s="319">
        <v>32.160517394881197</v>
      </c>
      <c r="N480" s="319">
        <v>2.3156970592207529</v>
      </c>
      <c r="O480" s="319">
        <f t="shared" si="7"/>
        <v>2.3156970592207529</v>
      </c>
      <c r="P480" s="317">
        <v>0.23180129769498045</v>
      </c>
      <c r="Q480" s="315" t="s">
        <v>1148</v>
      </c>
      <c r="R480" s="318">
        <v>171.33002825</v>
      </c>
      <c r="T480" s="320">
        <v>77.405571249999994</v>
      </c>
      <c r="U480" s="318">
        <v>32</v>
      </c>
      <c r="V480" s="318">
        <v>58.47</v>
      </c>
      <c r="W480" s="318">
        <v>410.125</v>
      </c>
      <c r="X480" s="315">
        <v>0.24</v>
      </c>
      <c r="Y480" s="318">
        <v>53.43</v>
      </c>
      <c r="Z480" s="315">
        <v>1</v>
      </c>
      <c r="AA480" s="315" t="s">
        <v>1149</v>
      </c>
      <c r="AB480" s="315">
        <v>0</v>
      </c>
      <c r="AC480" s="315" t="s">
        <v>1190</v>
      </c>
    </row>
    <row r="481" spans="1:29">
      <c r="A481" s="315" t="s">
        <v>1145</v>
      </c>
      <c r="B481" s="315" t="s">
        <v>663</v>
      </c>
      <c r="C481" s="329">
        <v>3.2607140231990099</v>
      </c>
      <c r="D481" s="329">
        <v>113.05</v>
      </c>
      <c r="E481" s="316" t="s">
        <v>1855</v>
      </c>
      <c r="F481" s="316" t="s">
        <v>1855</v>
      </c>
      <c r="G481" s="317">
        <v>3.2600003103449913</v>
      </c>
      <c r="H481" s="317">
        <v>0.66169679999999997</v>
      </c>
      <c r="I481" s="317">
        <v>0.66357179999999993</v>
      </c>
      <c r="J481" s="317">
        <v>0.66357179999999993</v>
      </c>
      <c r="K481" s="318">
        <v>20.354961252435498</v>
      </c>
      <c r="L481" s="318">
        <v>79.473201806460096</v>
      </c>
      <c r="M481" s="319">
        <v>24.823773692645901</v>
      </c>
      <c r="N481" s="319">
        <v>4.468812440210403</v>
      </c>
      <c r="O481" s="319">
        <f t="shared" si="7"/>
        <v>4.468812440210403</v>
      </c>
      <c r="P481" s="317">
        <v>0.14568329941959474</v>
      </c>
      <c r="Q481" s="315" t="s">
        <v>1148</v>
      </c>
      <c r="R481" s="318">
        <v>171.6136707</v>
      </c>
      <c r="T481" s="320">
        <v>77.5631503888889</v>
      </c>
      <c r="U481" s="318">
        <v>40</v>
      </c>
      <c r="V481" s="318">
        <v>31.11</v>
      </c>
      <c r="W481" s="318">
        <v>406.84399999999999</v>
      </c>
      <c r="X481" s="315">
        <v>0.23</v>
      </c>
      <c r="Y481" s="318">
        <v>3.6259999999999999</v>
      </c>
      <c r="Z481" s="315">
        <v>4</v>
      </c>
      <c r="AA481" s="315" t="s">
        <v>1149</v>
      </c>
      <c r="AB481" s="315">
        <v>0</v>
      </c>
      <c r="AC481" s="315" t="s">
        <v>1190</v>
      </c>
    </row>
    <row r="482" spans="1:29">
      <c r="A482" s="315" t="s">
        <v>1145</v>
      </c>
      <c r="B482" s="315" t="s">
        <v>663</v>
      </c>
      <c r="C482" s="329">
        <v>3.2610906746031598</v>
      </c>
      <c r="D482" s="329">
        <v>113.05</v>
      </c>
      <c r="E482" s="316" t="s">
        <v>1856</v>
      </c>
      <c r="F482" s="316" t="s">
        <v>1856</v>
      </c>
      <c r="G482" s="317">
        <v>4.3800004169665829</v>
      </c>
      <c r="H482" s="317">
        <v>0.79396960000000005</v>
      </c>
      <c r="I482" s="317">
        <v>0.7962612</v>
      </c>
      <c r="J482" s="317">
        <v>0.7962612</v>
      </c>
      <c r="K482" s="318">
        <v>18.179477721407604</v>
      </c>
      <c r="L482" s="318">
        <v>80.657799651637106</v>
      </c>
      <c r="M482" s="319">
        <v>24.175096901381298</v>
      </c>
      <c r="N482" s="319">
        <v>5.9956191799736942</v>
      </c>
      <c r="O482" s="319">
        <f t="shared" si="7"/>
        <v>5.9956191799736942</v>
      </c>
      <c r="P482" s="317">
        <v>0.26260814508257624</v>
      </c>
      <c r="Q482" s="315" t="s">
        <v>1148</v>
      </c>
      <c r="R482" s="318">
        <v>172.62667944999998</v>
      </c>
      <c r="T482" s="320">
        <v>78.125933027777762</v>
      </c>
      <c r="U482" s="318">
        <v>40</v>
      </c>
      <c r="V482" s="318">
        <v>41.91</v>
      </c>
      <c r="W482" s="318">
        <v>324.81900000000002</v>
      </c>
      <c r="X482" s="315">
        <v>0.24</v>
      </c>
      <c r="Y482" s="318">
        <v>4.2480000000000002</v>
      </c>
      <c r="Z482" s="315">
        <v>3</v>
      </c>
      <c r="AA482" s="315" t="s">
        <v>1149</v>
      </c>
      <c r="AB482" s="315">
        <v>0</v>
      </c>
      <c r="AC482" s="315" t="s">
        <v>1190</v>
      </c>
    </row>
    <row r="483" spans="1:29">
      <c r="A483" s="315" t="s">
        <v>1145</v>
      </c>
      <c r="B483" s="315" t="s">
        <v>663</v>
      </c>
      <c r="C483" s="329">
        <v>3.2614673260073102</v>
      </c>
      <c r="D483" s="329">
        <v>113.05</v>
      </c>
      <c r="E483" s="316" t="s">
        <v>1857</v>
      </c>
      <c r="F483" s="316" t="s">
        <v>1857</v>
      </c>
      <c r="G483" s="317">
        <v>22.510002142903609</v>
      </c>
      <c r="H483" s="317">
        <v>5.4414958000000002</v>
      </c>
      <c r="I483" s="317">
        <v>5.4758686000000001</v>
      </c>
      <c r="J483" s="317">
        <v>5.4758686000000001</v>
      </c>
      <c r="K483" s="318">
        <v>24.326379736602092</v>
      </c>
      <c r="L483" s="318">
        <v>70.567639051808499</v>
      </c>
      <c r="M483" s="319">
        <v>36.471538143163897</v>
      </c>
      <c r="N483" s="319">
        <v>12.145158406561805</v>
      </c>
      <c r="O483" s="319">
        <f t="shared" si="7"/>
        <v>12.145158406561805</v>
      </c>
      <c r="P483" s="317">
        <v>2.7338754175761002</v>
      </c>
      <c r="Q483" s="315" t="s">
        <v>1148</v>
      </c>
      <c r="R483" s="318">
        <v>172.69409809999999</v>
      </c>
      <c r="T483" s="320">
        <v>78.163387833333331</v>
      </c>
      <c r="U483" s="318">
        <v>44</v>
      </c>
      <c r="V483" s="318">
        <v>12</v>
      </c>
      <c r="W483" s="318">
        <v>317</v>
      </c>
      <c r="X483" s="315">
        <v>0.212673</v>
      </c>
      <c r="Y483" s="318">
        <v>530.76179999999999</v>
      </c>
      <c r="Z483" s="315">
        <v>0</v>
      </c>
      <c r="AA483" s="315" t="s">
        <v>1149</v>
      </c>
      <c r="AB483" s="315">
        <v>0</v>
      </c>
      <c r="AC483" s="315" t="s">
        <v>1190</v>
      </c>
    </row>
    <row r="484" spans="1:29">
      <c r="A484" s="315" t="s">
        <v>1145</v>
      </c>
      <c r="B484" s="315" t="s">
        <v>663</v>
      </c>
      <c r="C484" s="329">
        <v>3.2618439774114698</v>
      </c>
      <c r="D484" s="329">
        <v>113.05</v>
      </c>
      <c r="E484" s="316" t="s">
        <v>1858</v>
      </c>
      <c r="F484" s="316" t="s">
        <v>1858</v>
      </c>
      <c r="G484" s="317">
        <v>1.3600001294690762</v>
      </c>
      <c r="H484" s="317">
        <v>0</v>
      </c>
      <c r="I484" s="317">
        <v>0</v>
      </c>
      <c r="J484" s="317">
        <v>0</v>
      </c>
      <c r="K484" s="318">
        <v>0</v>
      </c>
      <c r="L484" s="318">
        <v>61.824336703963297</v>
      </c>
      <c r="M484" s="319">
        <v>30.7970669303111</v>
      </c>
      <c r="N484" s="319">
        <v>30.7970669303111</v>
      </c>
      <c r="O484" s="319">
        <f t="shared" si="7"/>
        <v>30.7970669303111</v>
      </c>
      <c r="P484" s="317">
        <v>0.41884015012490905</v>
      </c>
      <c r="Q484" s="315" t="s">
        <v>1168</v>
      </c>
      <c r="R484" s="318">
        <v>173.31552540000001</v>
      </c>
      <c r="T484" s="320">
        <v>78.508625222222236</v>
      </c>
      <c r="U484" s="318">
        <v>40</v>
      </c>
      <c r="V484" s="318">
        <v>32.200000000000003</v>
      </c>
      <c r="W484" s="318">
        <v>393.72</v>
      </c>
      <c r="X484" s="315">
        <v>0.17499999999999999</v>
      </c>
      <c r="Y484" s="318">
        <v>10</v>
      </c>
      <c r="Z484" s="315">
        <v>0</v>
      </c>
      <c r="AA484" s="315" t="s">
        <v>1149</v>
      </c>
      <c r="AB484" s="315">
        <v>0</v>
      </c>
      <c r="AC484" s="315" t="s">
        <v>1190</v>
      </c>
    </row>
    <row r="485" spans="1:29">
      <c r="A485" s="315" t="s">
        <v>1145</v>
      </c>
      <c r="B485" s="315" t="s">
        <v>663</v>
      </c>
      <c r="C485" s="329">
        <v>3.2622206288156201</v>
      </c>
      <c r="D485" s="329">
        <v>113.05</v>
      </c>
      <c r="E485" s="316" t="s">
        <v>1859</v>
      </c>
      <c r="F485" s="316" t="s">
        <v>1859</v>
      </c>
      <c r="G485" s="317">
        <v>1.6700001589804097</v>
      </c>
      <c r="H485" s="317">
        <v>0</v>
      </c>
      <c r="I485" s="317">
        <v>0</v>
      </c>
      <c r="J485" s="317">
        <v>0</v>
      </c>
      <c r="K485" s="318">
        <v>0</v>
      </c>
      <c r="L485" s="318">
        <v>61.7251408318374</v>
      </c>
      <c r="M485" s="319">
        <v>30.8904768484397</v>
      </c>
      <c r="N485" s="319">
        <v>30.8904768484397</v>
      </c>
      <c r="O485" s="319">
        <f t="shared" si="7"/>
        <v>30.8904768484397</v>
      </c>
      <c r="P485" s="317">
        <v>0.51587101247874967</v>
      </c>
      <c r="Q485" s="315" t="s">
        <v>1168</v>
      </c>
      <c r="R485" s="318">
        <v>174.04489169999999</v>
      </c>
      <c r="T485" s="320">
        <v>78.91382872222222</v>
      </c>
      <c r="U485" s="318">
        <v>40</v>
      </c>
      <c r="V485" s="318">
        <v>43.6</v>
      </c>
      <c r="W485" s="318">
        <v>334.66200000000003</v>
      </c>
      <c r="X485" s="315">
        <v>0.2</v>
      </c>
      <c r="Y485" s="318">
        <v>13.81</v>
      </c>
      <c r="Z485" s="315">
        <v>0</v>
      </c>
      <c r="AA485" s="315" t="s">
        <v>1149</v>
      </c>
      <c r="AB485" s="315">
        <v>0</v>
      </c>
      <c r="AC485" s="315" t="s">
        <v>1190</v>
      </c>
    </row>
    <row r="486" spans="1:29">
      <c r="A486" s="315" t="s">
        <v>1145</v>
      </c>
      <c r="B486" s="315" t="s">
        <v>663</v>
      </c>
      <c r="C486" s="329">
        <v>3.26259728021977</v>
      </c>
      <c r="D486" s="329">
        <v>113.05</v>
      </c>
      <c r="E486" s="316" t="s">
        <v>1860</v>
      </c>
      <c r="F486" s="316" t="s">
        <v>1860</v>
      </c>
      <c r="G486" s="317">
        <v>5.0300004788451869</v>
      </c>
      <c r="H486" s="317">
        <v>0</v>
      </c>
      <c r="I486" s="317">
        <v>0</v>
      </c>
      <c r="J486" s="317">
        <v>0</v>
      </c>
      <c r="K486" s="318">
        <v>0</v>
      </c>
      <c r="L486" s="318">
        <v>52.572885872232703</v>
      </c>
      <c r="M486" s="319">
        <v>32.215198762749999</v>
      </c>
      <c r="N486" s="319">
        <v>32.215198762749999</v>
      </c>
      <c r="O486" s="319">
        <f t="shared" si="7"/>
        <v>32.215198762749999</v>
      </c>
      <c r="P486" s="317">
        <v>1.6204246520272536</v>
      </c>
      <c r="Q486" s="315" t="s">
        <v>1168</v>
      </c>
      <c r="R486" s="318">
        <v>175</v>
      </c>
      <c r="T486" s="320">
        <v>79.444444444444443</v>
      </c>
      <c r="U486" s="318">
        <v>42</v>
      </c>
      <c r="V486" s="318">
        <v>59</v>
      </c>
      <c r="W486" s="318">
        <v>449.49700000000001</v>
      </c>
      <c r="X486" s="315">
        <v>0.21</v>
      </c>
      <c r="Y486" s="318">
        <v>35</v>
      </c>
      <c r="Z486" s="315">
        <v>0</v>
      </c>
      <c r="AA486" s="315" t="s">
        <v>1149</v>
      </c>
      <c r="AB486" s="315">
        <v>0</v>
      </c>
      <c r="AC486" s="315" t="s">
        <v>1190</v>
      </c>
    </row>
    <row r="487" spans="1:29">
      <c r="A487" s="315" t="s">
        <v>1277</v>
      </c>
      <c r="B487" s="315" t="s">
        <v>663</v>
      </c>
      <c r="C487" s="329">
        <v>3.2629739316239199</v>
      </c>
      <c r="D487" s="329">
        <v>113.05</v>
      </c>
      <c r="E487" s="316" t="s">
        <v>1861</v>
      </c>
      <c r="F487" s="316" t="s">
        <v>1861</v>
      </c>
      <c r="G487" s="317">
        <v>4.5199999999999996</v>
      </c>
      <c r="H487" s="317">
        <v>0</v>
      </c>
      <c r="I487" s="317">
        <v>0</v>
      </c>
      <c r="J487" s="317">
        <v>0</v>
      </c>
      <c r="K487" s="318">
        <v>0</v>
      </c>
      <c r="L487" s="318">
        <v>72.339509166573905</v>
      </c>
      <c r="M487" s="319">
        <v>26.719172012499698</v>
      </c>
      <c r="N487" s="319">
        <v>26.719172012499698</v>
      </c>
      <c r="O487" s="319">
        <f t="shared" si="7"/>
        <v>26.719172012499698</v>
      </c>
      <c r="P487" s="317">
        <v>1.2077065749649862</v>
      </c>
      <c r="Q487" s="315" t="s">
        <v>1168</v>
      </c>
      <c r="R487" s="318">
        <v>175</v>
      </c>
      <c r="T487" s="320">
        <v>79.444444444444443</v>
      </c>
      <c r="U487" s="318">
        <v>34</v>
      </c>
      <c r="V487" s="318">
        <v>31.63</v>
      </c>
      <c r="W487" s="318">
        <v>584</v>
      </c>
      <c r="X487" s="315">
        <v>0.21</v>
      </c>
      <c r="Y487" s="318">
        <v>10</v>
      </c>
      <c r="Z487" s="315">
        <v>0</v>
      </c>
      <c r="AA487" s="315" t="s">
        <v>1149</v>
      </c>
      <c r="AB487" s="315">
        <v>0</v>
      </c>
      <c r="AC487" s="315" t="s">
        <v>1150</v>
      </c>
    </row>
    <row r="488" spans="1:29">
      <c r="A488" s="315" t="s">
        <v>1145</v>
      </c>
      <c r="B488" s="315" t="s">
        <v>663</v>
      </c>
      <c r="C488" s="329">
        <v>3.2633505830280698</v>
      </c>
      <c r="D488" s="329">
        <v>113.05</v>
      </c>
      <c r="E488" s="316" t="s">
        <v>1862</v>
      </c>
      <c r="F488" s="316" t="s">
        <v>1862</v>
      </c>
      <c r="G488" s="317">
        <v>2.290000218003077</v>
      </c>
      <c r="H488" s="317">
        <v>0.34194790000000003</v>
      </c>
      <c r="I488" s="317">
        <v>0.35331420000000002</v>
      </c>
      <c r="J488" s="317">
        <v>0.35331420000000002</v>
      </c>
      <c r="K488" s="318">
        <v>15.428566216823187</v>
      </c>
      <c r="L488" s="318">
        <v>87.917907973063294</v>
      </c>
      <c r="M488" s="319">
        <v>18.817265671249299</v>
      </c>
      <c r="N488" s="319">
        <v>3.3886994544261118</v>
      </c>
      <c r="O488" s="319">
        <f t="shared" si="7"/>
        <v>3.3886994544261118</v>
      </c>
      <c r="P488" s="317">
        <v>7.7601224893827037E-2</v>
      </c>
      <c r="Q488" s="315" t="s">
        <v>1148</v>
      </c>
      <c r="R488" s="318">
        <v>176</v>
      </c>
      <c r="T488" s="320">
        <v>80</v>
      </c>
      <c r="U488" s="318">
        <v>40</v>
      </c>
      <c r="V488" s="318">
        <v>20.84</v>
      </c>
      <c r="W488" s="318">
        <v>249.35600000000002</v>
      </c>
      <c r="X488" s="315">
        <v>0.2</v>
      </c>
      <c r="Y488" s="318">
        <v>10</v>
      </c>
      <c r="Z488" s="315">
        <v>1</v>
      </c>
      <c r="AA488" s="315" t="s">
        <v>1149</v>
      </c>
      <c r="AB488" s="315">
        <v>0</v>
      </c>
      <c r="AC488" s="315" t="s">
        <v>1190</v>
      </c>
    </row>
    <row r="489" spans="1:29">
      <c r="A489" s="315" t="s">
        <v>1145</v>
      </c>
      <c r="B489" s="315" t="s">
        <v>663</v>
      </c>
      <c r="C489" s="329">
        <v>3.2637272344322201</v>
      </c>
      <c r="D489" s="329">
        <v>113.05</v>
      </c>
      <c r="E489" s="316" t="s">
        <v>1863</v>
      </c>
      <c r="F489" s="316" t="s">
        <v>1863</v>
      </c>
      <c r="G489" s="317">
        <v>31.630003011108002</v>
      </c>
      <c r="H489" s="317">
        <v>0</v>
      </c>
      <c r="I489" s="317">
        <v>0</v>
      </c>
      <c r="J489" s="317">
        <v>0</v>
      </c>
      <c r="K489" s="318">
        <v>0</v>
      </c>
      <c r="L489" s="318">
        <v>58.6918039752154</v>
      </c>
      <c r="M489" s="319">
        <v>41.982402717567901</v>
      </c>
      <c r="N489" s="319">
        <v>41.982402717567901</v>
      </c>
      <c r="O489" s="319">
        <f t="shared" si="7"/>
        <v>41.982402717567901</v>
      </c>
      <c r="P489" s="317">
        <v>13.279035243702214</v>
      </c>
      <c r="Q489" s="315" t="s">
        <v>1168</v>
      </c>
      <c r="R489" s="318">
        <v>176.21575000000001</v>
      </c>
      <c r="T489" s="320">
        <v>80.119861111111121</v>
      </c>
      <c r="U489" s="318">
        <v>46</v>
      </c>
      <c r="V489" s="318">
        <v>17</v>
      </c>
      <c r="W489" s="318">
        <v>429</v>
      </c>
      <c r="X489" s="315">
        <v>0.21274299999999999</v>
      </c>
      <c r="Y489" s="318">
        <v>530.82299999999998</v>
      </c>
      <c r="Z489" s="315">
        <v>0</v>
      </c>
      <c r="AA489" s="315" t="s">
        <v>1149</v>
      </c>
      <c r="AB489" s="315">
        <v>0</v>
      </c>
      <c r="AC489" s="315" t="s">
        <v>1157</v>
      </c>
    </row>
    <row r="490" spans="1:29">
      <c r="A490" s="315" t="s">
        <v>1145</v>
      </c>
      <c r="B490" s="315" t="s">
        <v>663</v>
      </c>
      <c r="C490" s="329">
        <v>3.26410388583637</v>
      </c>
      <c r="D490" s="329">
        <v>113.05</v>
      </c>
      <c r="E490" s="316" t="s">
        <v>1864</v>
      </c>
      <c r="F490" s="316" t="s">
        <v>1864</v>
      </c>
      <c r="G490" s="317">
        <v>10.43</v>
      </c>
      <c r="H490" s="317">
        <v>0</v>
      </c>
      <c r="I490" s="317">
        <v>0</v>
      </c>
      <c r="J490" s="317">
        <v>0</v>
      </c>
      <c r="K490" s="318">
        <v>0</v>
      </c>
      <c r="L490" s="318">
        <v>79.017783098267103</v>
      </c>
      <c r="M490" s="319">
        <v>23.969560092661698</v>
      </c>
      <c r="N490" s="319">
        <v>23.969560092661698</v>
      </c>
      <c r="O490" s="319">
        <f t="shared" si="7"/>
        <v>23.969560092661698</v>
      </c>
      <c r="P490" s="317">
        <v>2.5000251176646149</v>
      </c>
      <c r="Q490" s="315" t="s">
        <v>1168</v>
      </c>
      <c r="R490" s="318">
        <v>177</v>
      </c>
      <c r="T490" s="320">
        <v>80.555555555555557</v>
      </c>
      <c r="U490" s="318">
        <v>41</v>
      </c>
      <c r="V490" s="318">
        <v>68.55</v>
      </c>
      <c r="W490" s="318">
        <v>545</v>
      </c>
      <c r="X490" s="315">
        <v>0.2</v>
      </c>
      <c r="Y490" s="318">
        <v>62.66</v>
      </c>
      <c r="Z490" s="315">
        <v>0</v>
      </c>
      <c r="AA490" s="315" t="s">
        <v>1149</v>
      </c>
      <c r="AB490" s="315">
        <v>0</v>
      </c>
      <c r="AC490" s="315" t="s">
        <v>1150</v>
      </c>
    </row>
    <row r="491" spans="1:29">
      <c r="A491" s="315" t="s">
        <v>1562</v>
      </c>
      <c r="B491" s="315" t="s">
        <v>663</v>
      </c>
      <c r="C491" s="329">
        <v>3.2644805372405199</v>
      </c>
      <c r="D491" s="329">
        <v>113.05</v>
      </c>
      <c r="E491" s="316" t="s">
        <v>1865</v>
      </c>
      <c r="F491" s="316" t="s">
        <v>1865</v>
      </c>
      <c r="G491" s="317">
        <v>7.48</v>
      </c>
      <c r="H491" s="317">
        <v>0</v>
      </c>
      <c r="I491" s="317">
        <v>0</v>
      </c>
      <c r="J491" s="317">
        <v>0</v>
      </c>
      <c r="K491" s="318">
        <v>0</v>
      </c>
      <c r="L491" s="318">
        <v>83.423707463901096</v>
      </c>
      <c r="M491" s="319">
        <v>21.691631627440199</v>
      </c>
      <c r="N491" s="319">
        <v>21.691631627440199</v>
      </c>
      <c r="O491" s="319">
        <f t="shared" si="7"/>
        <v>21.691631627440199</v>
      </c>
      <c r="P491" s="317">
        <v>1.622534045732527</v>
      </c>
      <c r="Q491" s="315" t="s">
        <v>1168</v>
      </c>
      <c r="R491" s="318">
        <v>177</v>
      </c>
      <c r="T491" s="320">
        <v>80.555555555555557</v>
      </c>
      <c r="U491" s="318">
        <v>34</v>
      </c>
      <c r="V491" s="318">
        <v>88.47</v>
      </c>
      <c r="W491" s="318">
        <v>164</v>
      </c>
      <c r="X491" s="315">
        <v>0.22</v>
      </c>
      <c r="Y491" s="318">
        <v>17.72</v>
      </c>
      <c r="Z491" s="315">
        <v>0</v>
      </c>
      <c r="AA491" s="315" t="s">
        <v>1149</v>
      </c>
      <c r="AB491" s="315">
        <v>0</v>
      </c>
      <c r="AC491" s="315" t="s">
        <v>1150</v>
      </c>
    </row>
    <row r="492" spans="1:29">
      <c r="B492" s="315" t="s">
        <v>663</v>
      </c>
      <c r="C492" s="329">
        <v>3.26485718864468</v>
      </c>
      <c r="D492" s="329">
        <v>113.05</v>
      </c>
      <c r="E492" s="316" t="s">
        <v>1866</v>
      </c>
      <c r="F492" s="316" t="s">
        <v>1866</v>
      </c>
      <c r="G492" s="317">
        <v>1.0200000971018073</v>
      </c>
      <c r="H492" s="317">
        <v>1.4101499999999999E-2</v>
      </c>
      <c r="I492" s="317">
        <v>1.4101499999999999E-2</v>
      </c>
      <c r="J492" s="317">
        <v>1.4101499999999999E-2</v>
      </c>
      <c r="K492" s="318">
        <v>1.3824998683889844</v>
      </c>
      <c r="L492" s="318">
        <v>67.064013273092897</v>
      </c>
      <c r="M492" s="319">
        <v>31.351549878982997</v>
      </c>
      <c r="N492" s="319">
        <v>29.969050010594014</v>
      </c>
      <c r="O492" s="319">
        <f t="shared" si="7"/>
        <v>29.969050010594014</v>
      </c>
      <c r="P492" s="317">
        <v>0.30568433920854809</v>
      </c>
      <c r="Q492" s="315" t="s">
        <v>1148</v>
      </c>
      <c r="R492" s="318">
        <v>178</v>
      </c>
      <c r="T492" s="320">
        <v>81.111111111111114</v>
      </c>
      <c r="U492" s="318">
        <v>42</v>
      </c>
      <c r="V492" s="318">
        <v>66.78</v>
      </c>
      <c r="W492" s="318">
        <v>141.083</v>
      </c>
      <c r="X492" s="315">
        <v>0.22</v>
      </c>
      <c r="Y492" s="318">
        <v>21.47</v>
      </c>
      <c r="Z492" s="315">
        <v>0</v>
      </c>
      <c r="AA492" s="315" t="s">
        <v>1149</v>
      </c>
      <c r="AB492" s="315">
        <v>0</v>
      </c>
      <c r="AC492" s="315" t="s">
        <v>1190</v>
      </c>
    </row>
    <row r="493" spans="1:29">
      <c r="A493" s="315" t="s">
        <v>1145</v>
      </c>
      <c r="B493" s="315" t="s">
        <v>663</v>
      </c>
      <c r="C493" s="329">
        <v>3.2652338400488299</v>
      </c>
      <c r="D493" s="329">
        <v>113.05</v>
      </c>
      <c r="E493" s="316" t="s">
        <v>1867</v>
      </c>
      <c r="F493" s="316" t="s">
        <v>1867</v>
      </c>
      <c r="G493" s="317">
        <v>0.38000003617518302</v>
      </c>
      <c r="H493" s="317">
        <v>0</v>
      </c>
      <c r="I493" s="317">
        <v>0</v>
      </c>
      <c r="J493" s="317">
        <v>0</v>
      </c>
      <c r="K493" s="318">
        <v>0</v>
      </c>
      <c r="L493" s="318">
        <v>88.467003949836894</v>
      </c>
      <c r="M493" s="319">
        <v>18.426493716258499</v>
      </c>
      <c r="N493" s="319">
        <v>18.426493716258499</v>
      </c>
      <c r="O493" s="319">
        <f t="shared" si="7"/>
        <v>18.426493716258499</v>
      </c>
      <c r="P493" s="317">
        <v>7.0020682787600125E-2</v>
      </c>
      <c r="Q493" s="315" t="s">
        <v>1168</v>
      </c>
      <c r="R493" s="318">
        <v>178.70473195</v>
      </c>
      <c r="T493" s="320">
        <v>81.502628861111106</v>
      </c>
      <c r="U493" s="318">
        <v>40</v>
      </c>
      <c r="V493" s="318">
        <v>19.88</v>
      </c>
      <c r="W493" s="318">
        <v>488.86900000000003</v>
      </c>
      <c r="X493" s="315">
        <v>0.18</v>
      </c>
      <c r="Y493" s="318">
        <v>10</v>
      </c>
      <c r="Z493" s="315">
        <v>1</v>
      </c>
      <c r="AA493" s="315" t="s">
        <v>1149</v>
      </c>
      <c r="AB493" s="315">
        <v>0</v>
      </c>
      <c r="AC493" s="315" t="s">
        <v>1190</v>
      </c>
    </row>
    <row r="494" spans="1:29">
      <c r="A494" s="315" t="s">
        <v>1145</v>
      </c>
      <c r="B494" s="315" t="s">
        <v>663</v>
      </c>
      <c r="C494" s="329">
        <v>3.2656104914529802</v>
      </c>
      <c r="D494" s="329">
        <v>113.05</v>
      </c>
      <c r="E494" s="316" t="s">
        <v>1868</v>
      </c>
      <c r="F494" s="316" t="s">
        <v>1868</v>
      </c>
      <c r="G494" s="317">
        <v>2.430000231330776</v>
      </c>
      <c r="H494" s="317">
        <v>0.10795159999999999</v>
      </c>
      <c r="I494" s="317">
        <v>0.1186709</v>
      </c>
      <c r="J494" s="317">
        <v>0.1186709</v>
      </c>
      <c r="K494" s="318">
        <v>4.8835756667813373</v>
      </c>
      <c r="L494" s="318">
        <v>83.902127951186202</v>
      </c>
      <c r="M494" s="319">
        <v>22.395865991414901</v>
      </c>
      <c r="N494" s="319">
        <v>17.512290324633565</v>
      </c>
      <c r="O494" s="319">
        <f t="shared" si="7"/>
        <v>17.512290324633565</v>
      </c>
      <c r="P494" s="317">
        <v>0.42554869539991275</v>
      </c>
      <c r="Q494" s="315" t="s">
        <v>1148</v>
      </c>
      <c r="R494" s="318">
        <v>179.79725000000002</v>
      </c>
      <c r="T494" s="320">
        <v>82.109583333333347</v>
      </c>
      <c r="U494" s="318">
        <v>40</v>
      </c>
      <c r="V494" s="318">
        <v>27.95</v>
      </c>
      <c r="W494" s="318">
        <v>305.13300000000004</v>
      </c>
      <c r="X494" s="315">
        <v>0.23</v>
      </c>
      <c r="Y494" s="318">
        <v>46.67</v>
      </c>
      <c r="Z494" s="315">
        <v>1</v>
      </c>
      <c r="AA494" s="315" t="s">
        <v>1149</v>
      </c>
      <c r="AB494" s="315">
        <v>1</v>
      </c>
      <c r="AC494" s="315" t="s">
        <v>1190</v>
      </c>
    </row>
    <row r="495" spans="1:29">
      <c r="A495" s="315" t="s">
        <v>1145</v>
      </c>
      <c r="B495" s="315" t="s">
        <v>663</v>
      </c>
      <c r="C495" s="329">
        <v>3.2659871428571301</v>
      </c>
      <c r="D495" s="329">
        <v>113.05</v>
      </c>
      <c r="E495" s="316" t="s">
        <v>1869</v>
      </c>
      <c r="F495" s="316" t="s">
        <v>1869</v>
      </c>
      <c r="G495" s="317">
        <v>3.5900003417602817</v>
      </c>
      <c r="H495" s="317">
        <v>0</v>
      </c>
      <c r="I495" s="317">
        <v>0</v>
      </c>
      <c r="J495" s="317">
        <v>0</v>
      </c>
      <c r="K495" s="318">
        <v>0</v>
      </c>
      <c r="L495" s="318">
        <v>50.197970612116798</v>
      </c>
      <c r="M495" s="319">
        <v>33.737373604526802</v>
      </c>
      <c r="N495" s="319">
        <v>33.737373604526802</v>
      </c>
      <c r="O495" s="319">
        <f t="shared" si="7"/>
        <v>33.737373604526802</v>
      </c>
      <c r="P495" s="317">
        <v>1.2111718277034551</v>
      </c>
      <c r="Q495" s="315" t="s">
        <v>1168</v>
      </c>
      <c r="R495" s="318">
        <v>179.79725000000002</v>
      </c>
      <c r="T495" s="320">
        <v>82.109583333333347</v>
      </c>
      <c r="U495" s="318">
        <v>40</v>
      </c>
      <c r="V495" s="318">
        <v>41.79</v>
      </c>
      <c r="W495" s="318">
        <v>298.57100000000003</v>
      </c>
      <c r="X495" s="315">
        <v>0.2</v>
      </c>
      <c r="Y495" s="318">
        <v>10</v>
      </c>
      <c r="Z495" s="315">
        <v>0</v>
      </c>
      <c r="AA495" s="315" t="s">
        <v>1149</v>
      </c>
      <c r="AB495" s="315">
        <v>0</v>
      </c>
      <c r="AC495" s="315" t="s">
        <v>1190</v>
      </c>
    </row>
    <row r="496" spans="1:29">
      <c r="A496" s="315" t="s">
        <v>1145</v>
      </c>
      <c r="B496" s="315" t="s">
        <v>663</v>
      </c>
      <c r="C496" s="329">
        <v>3.26636379426128</v>
      </c>
      <c r="D496" s="329">
        <v>113.05</v>
      </c>
      <c r="E496" s="316" t="s">
        <v>1870</v>
      </c>
      <c r="F496" s="316" t="s">
        <v>1870</v>
      </c>
      <c r="G496" s="317">
        <v>2.780000264650023</v>
      </c>
      <c r="H496" s="317">
        <v>9.3099999999999997E-4</v>
      </c>
      <c r="I496" s="317">
        <v>1.4090000000000001E-3</v>
      </c>
      <c r="J496" s="317">
        <v>1.4090000000000001E-3</v>
      </c>
      <c r="K496" s="318">
        <v>5.0683448412454757E-2</v>
      </c>
      <c r="L496" s="318">
        <v>81.456828243992305</v>
      </c>
      <c r="M496" s="319">
        <v>22.745048628350101</v>
      </c>
      <c r="N496" s="319">
        <v>22.694365179937648</v>
      </c>
      <c r="O496" s="319">
        <f t="shared" si="7"/>
        <v>22.694365179937648</v>
      </c>
      <c r="P496" s="317">
        <v>0.63090341206290923</v>
      </c>
      <c r="Q496" s="315" t="s">
        <v>1148</v>
      </c>
      <c r="R496" s="318">
        <v>180</v>
      </c>
      <c r="T496" s="320">
        <v>82.222222222222229</v>
      </c>
      <c r="U496" s="318">
        <v>40</v>
      </c>
      <c r="V496" s="318">
        <v>24.07</v>
      </c>
      <c r="W496" s="318">
        <v>849.779</v>
      </c>
      <c r="X496" s="315">
        <v>0.2</v>
      </c>
      <c r="Y496" s="318">
        <v>10</v>
      </c>
      <c r="Z496" s="315">
        <v>1</v>
      </c>
      <c r="AA496" s="315" t="s">
        <v>1149</v>
      </c>
      <c r="AB496" s="315">
        <v>0</v>
      </c>
      <c r="AC496" s="315" t="s">
        <v>1190</v>
      </c>
    </row>
    <row r="497" spans="1:29">
      <c r="A497" s="315" t="s">
        <v>1145</v>
      </c>
      <c r="B497" s="315" t="s">
        <v>663</v>
      </c>
      <c r="C497" s="329">
        <v>3.2667404456654299</v>
      </c>
      <c r="D497" s="329">
        <v>113.05</v>
      </c>
      <c r="E497" s="316" t="s">
        <v>1871</v>
      </c>
      <c r="F497" s="316" t="s">
        <v>1871</v>
      </c>
      <c r="G497" s="317">
        <v>1.5800001504126033</v>
      </c>
      <c r="H497" s="317">
        <v>0</v>
      </c>
      <c r="I497" s="317">
        <v>0</v>
      </c>
      <c r="J497" s="317">
        <v>0</v>
      </c>
      <c r="K497" s="318">
        <v>0</v>
      </c>
      <c r="L497" s="318">
        <v>77.835991140621203</v>
      </c>
      <c r="M497" s="319">
        <v>28.4625712560252</v>
      </c>
      <c r="N497" s="319">
        <v>28.4625712560252</v>
      </c>
      <c r="O497" s="319">
        <f t="shared" si="7"/>
        <v>28.4625712560252</v>
      </c>
      <c r="P497" s="317">
        <v>0.44970866865649256</v>
      </c>
      <c r="Q497" s="315" t="s">
        <v>1168</v>
      </c>
      <c r="R497" s="318">
        <v>180.10599999999999</v>
      </c>
      <c r="T497" s="320">
        <v>82.281111111111102</v>
      </c>
      <c r="U497" s="318">
        <v>40</v>
      </c>
      <c r="V497" s="318">
        <v>22.6</v>
      </c>
      <c r="W497" s="318">
        <v>180.45500000000001</v>
      </c>
      <c r="X497" s="315">
        <v>0.2</v>
      </c>
      <c r="Y497" s="318">
        <v>112</v>
      </c>
      <c r="Z497" s="315">
        <v>0</v>
      </c>
      <c r="AA497" s="315" t="s">
        <v>1149</v>
      </c>
      <c r="AB497" s="315">
        <v>0</v>
      </c>
      <c r="AC497" s="315" t="s">
        <v>1190</v>
      </c>
    </row>
    <row r="498" spans="1:29">
      <c r="A498" s="315" t="s">
        <v>1145</v>
      </c>
      <c r="B498" s="315" t="s">
        <v>663</v>
      </c>
      <c r="C498" s="329">
        <v>3.2671170970695802</v>
      </c>
      <c r="D498" s="329">
        <v>113.05</v>
      </c>
      <c r="E498" s="316" t="s">
        <v>1873</v>
      </c>
      <c r="F498" s="316" t="s">
        <v>1873</v>
      </c>
      <c r="G498" s="317">
        <v>0.99000009424587165</v>
      </c>
      <c r="H498" s="317">
        <v>0.25971519999999998</v>
      </c>
      <c r="I498" s="317">
        <v>0.25971519999999998</v>
      </c>
      <c r="J498" s="317">
        <v>0.25971519999999998</v>
      </c>
      <c r="K498" s="318">
        <v>26.233856088451883</v>
      </c>
      <c r="L498" s="318">
        <v>87.435241614639594</v>
      </c>
      <c r="M498" s="319">
        <v>19.916714765895101</v>
      </c>
      <c r="N498" s="319">
        <v>-6.3171413225567825</v>
      </c>
      <c r="O498" s="319">
        <f t="shared" si="7"/>
        <v>0</v>
      </c>
      <c r="P498" s="317">
        <v>0</v>
      </c>
      <c r="Q498" s="315" t="s">
        <v>1148</v>
      </c>
      <c r="R498" s="318">
        <v>180.16346455000001</v>
      </c>
      <c r="T498" s="320">
        <v>82.313035861111132</v>
      </c>
      <c r="U498" s="318">
        <v>40</v>
      </c>
      <c r="V498" s="318">
        <v>19.690000000000001</v>
      </c>
      <c r="W498" s="318">
        <v>370.75300000000004</v>
      </c>
      <c r="X498" s="315">
        <v>0.19</v>
      </c>
      <c r="Y498" s="318">
        <v>10.98</v>
      </c>
      <c r="Z498" s="315">
        <v>1</v>
      </c>
      <c r="AA498" s="315" t="s">
        <v>1149</v>
      </c>
      <c r="AB498" s="315">
        <v>0</v>
      </c>
      <c r="AC498" s="315" t="s">
        <v>1190</v>
      </c>
    </row>
    <row r="499" spans="1:29">
      <c r="A499" s="315" t="s">
        <v>1145</v>
      </c>
      <c r="B499" s="315" t="s">
        <v>663</v>
      </c>
      <c r="C499" s="329">
        <v>3.2674937484737301</v>
      </c>
      <c r="D499" s="329">
        <v>113.05</v>
      </c>
      <c r="E499" s="316" t="s">
        <v>1875</v>
      </c>
      <c r="F499" s="316" t="s">
        <v>1875</v>
      </c>
      <c r="G499" s="317">
        <v>2.4764545357531254</v>
      </c>
      <c r="H499" s="317">
        <v>0</v>
      </c>
      <c r="I499" s="317">
        <v>0</v>
      </c>
      <c r="J499" s="317">
        <v>0</v>
      </c>
      <c r="K499" s="318">
        <v>0</v>
      </c>
      <c r="L499" s="318">
        <v>87.092332850413797</v>
      </c>
      <c r="M499" s="319">
        <v>19.3247518870829</v>
      </c>
      <c r="N499" s="319">
        <v>19.3247518870829</v>
      </c>
      <c r="O499" s="319">
        <f t="shared" si="7"/>
        <v>19.3247518870829</v>
      </c>
      <c r="P499" s="317">
        <v>0.47856869463070217</v>
      </c>
      <c r="Q499" s="315" t="s">
        <v>1168</v>
      </c>
      <c r="R499" s="318">
        <v>181</v>
      </c>
      <c r="T499" s="320">
        <v>82.777777777777771</v>
      </c>
      <c r="U499" s="318">
        <v>41</v>
      </c>
      <c r="V499" s="318">
        <v>21.62</v>
      </c>
      <c r="W499" s="318">
        <v>433</v>
      </c>
      <c r="X499" s="315">
        <v>0.18</v>
      </c>
      <c r="Y499" s="318">
        <v>10</v>
      </c>
      <c r="Z499" s="315">
        <v>0</v>
      </c>
      <c r="AA499" s="315" t="s">
        <v>1149</v>
      </c>
      <c r="AB499" s="315">
        <v>0</v>
      </c>
      <c r="AC499" s="315" t="s">
        <v>1157</v>
      </c>
    </row>
    <row r="500" spans="1:29">
      <c r="A500" s="315" t="s">
        <v>1145</v>
      </c>
      <c r="B500" s="315" t="s">
        <v>663</v>
      </c>
      <c r="C500" s="329">
        <v>3.2678703998778902</v>
      </c>
      <c r="D500" s="329">
        <v>113.05</v>
      </c>
      <c r="E500" s="316" t="s">
        <v>1876</v>
      </c>
      <c r="F500" s="316" t="s">
        <v>1876</v>
      </c>
      <c r="G500" s="317">
        <v>12.960001233764139</v>
      </c>
      <c r="H500" s="317">
        <v>0</v>
      </c>
      <c r="I500" s="317">
        <v>0</v>
      </c>
      <c r="J500" s="317">
        <v>3.8479999999999999</v>
      </c>
      <c r="K500" s="318">
        <v>29.691355198138169</v>
      </c>
      <c r="L500" s="318">
        <v>63.149583364344402</v>
      </c>
      <c r="M500" s="319">
        <v>39.964945737278597</v>
      </c>
      <c r="N500" s="319">
        <v>10.273590539140429</v>
      </c>
      <c r="O500" s="319">
        <f t="shared" si="7"/>
        <v>10.273590539140429</v>
      </c>
      <c r="P500" s="317">
        <v>1.3314574606244753</v>
      </c>
      <c r="Q500" s="315" t="s">
        <v>1168</v>
      </c>
      <c r="R500" s="318">
        <v>181.09543260000001</v>
      </c>
      <c r="T500" s="320">
        <v>82.830795888888886</v>
      </c>
      <c r="U500" s="318">
        <v>32</v>
      </c>
      <c r="V500" s="318">
        <v>10</v>
      </c>
      <c r="W500" s="318">
        <v>106</v>
      </c>
      <c r="X500" s="315">
        <v>0.21204400000000001</v>
      </c>
      <c r="Y500" s="318">
        <v>539.89490000000001</v>
      </c>
      <c r="Z500" s="315">
        <v>0</v>
      </c>
      <c r="AA500" s="315" t="s">
        <v>1149</v>
      </c>
      <c r="AB500" s="315">
        <v>0</v>
      </c>
      <c r="AC500" s="315" t="s">
        <v>1157</v>
      </c>
    </row>
    <row r="501" spans="1:29">
      <c r="A501" s="315" t="s">
        <v>1145</v>
      </c>
      <c r="B501" s="315" t="s">
        <v>663</v>
      </c>
      <c r="C501" s="329">
        <v>3.2682470512820401</v>
      </c>
      <c r="D501" s="329">
        <v>113.05</v>
      </c>
      <c r="E501" s="316" t="s">
        <v>1878</v>
      </c>
      <c r="F501" s="316" t="s">
        <v>1878</v>
      </c>
      <c r="G501" s="317">
        <v>37.220003543263978</v>
      </c>
      <c r="H501" s="317">
        <v>9.8125914999999999</v>
      </c>
      <c r="I501" s="317">
        <v>10.582183799999999</v>
      </c>
      <c r="J501" s="317">
        <v>12.7951838</v>
      </c>
      <c r="K501" s="318">
        <v>34.377169752622585</v>
      </c>
      <c r="L501" s="318">
        <v>63.0208185656235</v>
      </c>
      <c r="M501" s="319">
        <v>40.191610016979403</v>
      </c>
      <c r="N501" s="319">
        <v>5.8144402643568185</v>
      </c>
      <c r="O501" s="319">
        <f t="shared" si="7"/>
        <v>5.8144402643568185</v>
      </c>
      <c r="P501" s="317">
        <v>2.164134872414575</v>
      </c>
      <c r="Q501" s="315" t="s">
        <v>1148</v>
      </c>
      <c r="R501" s="318">
        <v>181.09543260000001</v>
      </c>
      <c r="T501" s="320">
        <v>82.830795888888886</v>
      </c>
      <c r="U501" s="318">
        <v>32</v>
      </c>
      <c r="V501" s="318">
        <v>10</v>
      </c>
      <c r="W501" s="318">
        <v>192</v>
      </c>
      <c r="X501" s="315">
        <v>0.21205499999999999</v>
      </c>
      <c r="Y501" s="318">
        <v>539.90049999999997</v>
      </c>
      <c r="Z501" s="315">
        <v>0</v>
      </c>
      <c r="AA501" s="315" t="s">
        <v>1149</v>
      </c>
      <c r="AB501" s="315">
        <v>0</v>
      </c>
      <c r="AC501" s="315" t="s">
        <v>1150</v>
      </c>
    </row>
    <row r="502" spans="1:29">
      <c r="A502" s="315" t="s">
        <v>1145</v>
      </c>
      <c r="B502" s="315" t="s">
        <v>663</v>
      </c>
      <c r="C502" s="329">
        <v>3.26862370268619</v>
      </c>
      <c r="D502" s="329">
        <v>113.05</v>
      </c>
      <c r="E502" s="316" t="s">
        <v>1879</v>
      </c>
      <c r="F502" s="316" t="s">
        <v>1879</v>
      </c>
      <c r="G502" s="317">
        <v>2.390000227522862</v>
      </c>
      <c r="H502" s="317">
        <v>0</v>
      </c>
      <c r="I502" s="317">
        <v>0.22101460000000001</v>
      </c>
      <c r="J502" s="317">
        <v>0.37401459999999997</v>
      </c>
      <c r="K502" s="318">
        <v>15.649144953749685</v>
      </c>
      <c r="L502" s="318">
        <v>86.278811281243193</v>
      </c>
      <c r="M502" s="319">
        <v>20.8675497958241</v>
      </c>
      <c r="N502" s="319">
        <v>5.2184048420744151</v>
      </c>
      <c r="O502" s="319">
        <f t="shared" si="7"/>
        <v>5.2184048420744151</v>
      </c>
      <c r="P502" s="317">
        <v>0.12471988759864257</v>
      </c>
      <c r="Q502" s="315" t="s">
        <v>1168</v>
      </c>
      <c r="R502" s="318">
        <v>182.32900000000001</v>
      </c>
      <c r="T502" s="320">
        <v>83.516111111111115</v>
      </c>
      <c r="U502" s="318">
        <v>40</v>
      </c>
      <c r="V502" s="318">
        <v>40.31</v>
      </c>
      <c r="W502" s="318">
        <v>180</v>
      </c>
      <c r="X502" s="315">
        <v>0.22</v>
      </c>
      <c r="Y502" s="318">
        <v>28.56</v>
      </c>
      <c r="Z502" s="315">
        <v>1</v>
      </c>
      <c r="AA502" s="315" t="s">
        <v>1149</v>
      </c>
      <c r="AB502" s="315">
        <v>0</v>
      </c>
      <c r="AC502" s="315" t="s">
        <v>1190</v>
      </c>
    </row>
    <row r="503" spans="1:29">
      <c r="A503" s="315" t="s">
        <v>1145</v>
      </c>
      <c r="B503" s="315" t="s">
        <v>663</v>
      </c>
      <c r="C503" s="329">
        <v>3.2690003540903398</v>
      </c>
      <c r="D503" s="329">
        <v>113.05</v>
      </c>
      <c r="E503" s="316" t="s">
        <v>1880</v>
      </c>
      <c r="F503" s="316" t="s">
        <v>1880</v>
      </c>
      <c r="G503" s="317">
        <v>11.600001104295062</v>
      </c>
      <c r="H503" s="317">
        <v>1.9241588000000001</v>
      </c>
      <c r="I503" s="317">
        <v>1.9241588000000001</v>
      </c>
      <c r="J503" s="317">
        <v>1.9241588000000001</v>
      </c>
      <c r="K503" s="318">
        <v>16.587574282967555</v>
      </c>
      <c r="L503" s="318">
        <v>77.178441298941195</v>
      </c>
      <c r="M503" s="319">
        <v>28.641591985674296</v>
      </c>
      <c r="N503" s="319">
        <v>12.054017702706741</v>
      </c>
      <c r="O503" s="319">
        <f t="shared" si="7"/>
        <v>12.054017702706741</v>
      </c>
      <c r="P503" s="317">
        <v>1.3982661866259041</v>
      </c>
      <c r="Q503" s="315" t="s">
        <v>1148</v>
      </c>
      <c r="R503" s="318">
        <v>182.45249999999999</v>
      </c>
      <c r="T503" s="320">
        <v>83.584722222222211</v>
      </c>
      <c r="U503" s="318">
        <v>42</v>
      </c>
      <c r="V503" s="318">
        <v>31.5</v>
      </c>
      <c r="W503" s="318">
        <v>354.34800000000001</v>
      </c>
      <c r="X503" s="315">
        <v>0.22</v>
      </c>
      <c r="Y503" s="318">
        <v>69</v>
      </c>
      <c r="Z503" s="315">
        <v>0</v>
      </c>
      <c r="AA503" s="315" t="s">
        <v>1149</v>
      </c>
      <c r="AB503" s="315">
        <v>0</v>
      </c>
      <c r="AC503" s="315" t="s">
        <v>1190</v>
      </c>
    </row>
    <row r="504" spans="1:29">
      <c r="B504" s="315" t="s">
        <v>663</v>
      </c>
      <c r="C504" s="329">
        <v>3.2693770054944902</v>
      </c>
      <c r="D504" s="329">
        <v>113.05</v>
      </c>
      <c r="E504" s="316" t="s">
        <v>1881</v>
      </c>
      <c r="F504" s="316" t="s">
        <v>1881</v>
      </c>
      <c r="G504" s="317">
        <v>2.1531449049747464</v>
      </c>
      <c r="H504" s="317">
        <v>1.5393071</v>
      </c>
      <c r="I504" s="317">
        <v>1.5393071</v>
      </c>
      <c r="J504" s="317">
        <v>1.5393071</v>
      </c>
      <c r="K504" s="318">
        <v>71.491105705124568</v>
      </c>
      <c r="L504" s="318">
        <v>83.756578223378895</v>
      </c>
      <c r="M504" s="319">
        <v>24.707466815224301</v>
      </c>
      <c r="N504" s="319">
        <v>-46.783638889900267</v>
      </c>
      <c r="O504" s="319">
        <f t="shared" si="7"/>
        <v>0</v>
      </c>
      <c r="P504" s="317">
        <v>0</v>
      </c>
      <c r="Q504" s="315" t="s">
        <v>1148</v>
      </c>
      <c r="R504" s="318">
        <v>182.79728729999999</v>
      </c>
      <c r="T504" s="320">
        <v>83.776270722222222</v>
      </c>
      <c r="U504" s="318">
        <v>40</v>
      </c>
      <c r="V504" s="318">
        <v>24.513999999999999</v>
      </c>
      <c r="W504" s="318">
        <v>400.28200000000004</v>
      </c>
      <c r="X504" s="315">
        <v>0.23</v>
      </c>
      <c r="Y504" s="318">
        <v>219.35</v>
      </c>
      <c r="Z504" s="315">
        <v>1</v>
      </c>
      <c r="AA504" s="315" t="s">
        <v>1149</v>
      </c>
      <c r="AB504" s="315">
        <v>0</v>
      </c>
      <c r="AC504" s="315" t="s">
        <v>1190</v>
      </c>
    </row>
    <row r="505" spans="1:29">
      <c r="A505" s="315" t="s">
        <v>1277</v>
      </c>
      <c r="B505" s="315" t="s">
        <v>663</v>
      </c>
      <c r="C505" s="329">
        <v>3.2697536568986401</v>
      </c>
      <c r="D505" s="329">
        <v>113.05</v>
      </c>
      <c r="E505" s="316" t="s">
        <v>1882</v>
      </c>
      <c r="F505" s="316" t="s">
        <v>1882</v>
      </c>
      <c r="G505" s="317">
        <v>2.4900000000000002</v>
      </c>
      <c r="H505" s="317">
        <v>0</v>
      </c>
      <c r="I505" s="317">
        <v>0</v>
      </c>
      <c r="J505" s="317">
        <v>0</v>
      </c>
      <c r="K505" s="318">
        <v>0</v>
      </c>
      <c r="L505" s="318">
        <v>83.196875633733498</v>
      </c>
      <c r="M505" s="319">
        <v>21.296142828400701</v>
      </c>
      <c r="N505" s="319">
        <v>21.296142828400701</v>
      </c>
      <c r="O505" s="319">
        <f t="shared" si="7"/>
        <v>21.296142828400701</v>
      </c>
      <c r="P505" s="317">
        <v>0.53027395642717745</v>
      </c>
      <c r="Q505" s="315" t="s">
        <v>1168</v>
      </c>
      <c r="R505" s="318">
        <v>183</v>
      </c>
      <c r="T505" s="320">
        <v>83.888888888888886</v>
      </c>
      <c r="U505" s="318">
        <v>34</v>
      </c>
      <c r="V505" s="318">
        <v>30.46</v>
      </c>
      <c r="W505" s="318">
        <v>492</v>
      </c>
      <c r="X505" s="315">
        <v>0.17</v>
      </c>
      <c r="Y505" s="318">
        <v>10</v>
      </c>
      <c r="Z505" s="315">
        <v>0</v>
      </c>
      <c r="AA505" s="315" t="s">
        <v>1149</v>
      </c>
      <c r="AB505" s="315">
        <v>0</v>
      </c>
      <c r="AC505" s="315" t="s">
        <v>1150</v>
      </c>
    </row>
    <row r="506" spans="1:29">
      <c r="A506" s="315" t="s">
        <v>1277</v>
      </c>
      <c r="B506" s="315" t="s">
        <v>663</v>
      </c>
      <c r="C506" s="329">
        <v>3.2701303083027899</v>
      </c>
      <c r="D506" s="329">
        <v>113.05</v>
      </c>
      <c r="E506" s="316" t="s">
        <v>1884</v>
      </c>
      <c r="F506" s="316" t="s">
        <v>1884</v>
      </c>
      <c r="G506" s="317">
        <v>12.69</v>
      </c>
      <c r="H506" s="317">
        <v>0</v>
      </c>
      <c r="I506" s="317">
        <v>0</v>
      </c>
      <c r="J506" s="317">
        <v>0</v>
      </c>
      <c r="K506" s="318">
        <v>0</v>
      </c>
      <c r="L506" s="318">
        <v>80.222041669796894</v>
      </c>
      <c r="M506" s="319">
        <v>23.165460194654202</v>
      </c>
      <c r="N506" s="319">
        <v>23.165460194654202</v>
      </c>
      <c r="O506" s="319">
        <f t="shared" si="7"/>
        <v>23.165460194654202</v>
      </c>
      <c r="P506" s="317">
        <v>2.9396968987016181</v>
      </c>
      <c r="Q506" s="315" t="s">
        <v>1168</v>
      </c>
      <c r="R506" s="318">
        <v>183</v>
      </c>
      <c r="T506" s="320">
        <v>83.888888888888886</v>
      </c>
      <c r="U506" s="318">
        <v>34</v>
      </c>
      <c r="V506" s="318">
        <v>15.45</v>
      </c>
      <c r="W506" s="318">
        <v>591</v>
      </c>
      <c r="X506" s="315">
        <v>0.13</v>
      </c>
      <c r="Y506" s="318">
        <v>10</v>
      </c>
      <c r="Z506" s="315">
        <v>0</v>
      </c>
      <c r="AA506" s="315" t="s">
        <v>1149</v>
      </c>
      <c r="AB506" s="315">
        <v>0</v>
      </c>
      <c r="AC506" s="315" t="s">
        <v>1150</v>
      </c>
    </row>
    <row r="507" spans="1:29">
      <c r="A507" s="315" t="s">
        <v>1618</v>
      </c>
      <c r="B507" s="315" t="s">
        <v>663</v>
      </c>
      <c r="C507" s="329">
        <v>3.2705069597069398</v>
      </c>
      <c r="D507" s="329">
        <v>113.05</v>
      </c>
      <c r="E507" s="316" t="s">
        <v>1885</v>
      </c>
      <c r="F507" s="316" t="s">
        <v>1885</v>
      </c>
      <c r="G507" s="317">
        <v>7.47</v>
      </c>
      <c r="H507" s="317">
        <v>0</v>
      </c>
      <c r="I507" s="317">
        <v>0</v>
      </c>
      <c r="J507" s="317">
        <v>0</v>
      </c>
      <c r="K507" s="318">
        <v>0</v>
      </c>
      <c r="L507" s="318">
        <v>88.629228011304505</v>
      </c>
      <c r="M507" s="319">
        <v>18.3344525820205</v>
      </c>
      <c r="N507" s="319">
        <v>18.3344525820205</v>
      </c>
      <c r="O507" s="319">
        <f t="shared" si="7"/>
        <v>18.3344525820205</v>
      </c>
      <c r="P507" s="317">
        <v>1.3695836078769312</v>
      </c>
      <c r="Q507" s="315" t="s">
        <v>1168</v>
      </c>
      <c r="R507" s="318">
        <v>184</v>
      </c>
      <c r="T507" s="320">
        <v>84.444444444444443</v>
      </c>
      <c r="U507" s="318">
        <v>34</v>
      </c>
      <c r="V507" s="318">
        <v>37.729999999999997</v>
      </c>
      <c r="W507" s="318">
        <v>613</v>
      </c>
      <c r="X507" s="315">
        <v>0.19</v>
      </c>
      <c r="Y507" s="318">
        <v>10</v>
      </c>
      <c r="Z507" s="315">
        <v>0</v>
      </c>
      <c r="AA507" s="315" t="s">
        <v>1149</v>
      </c>
      <c r="AB507" s="315">
        <v>0</v>
      </c>
      <c r="AC507" s="315" t="s">
        <v>1150</v>
      </c>
    </row>
    <row r="508" spans="1:29">
      <c r="A508" s="315" t="s">
        <v>1145</v>
      </c>
      <c r="B508" s="315" t="s">
        <v>663</v>
      </c>
      <c r="C508" s="329">
        <v>3.2708836111110999</v>
      </c>
      <c r="D508" s="329">
        <v>113.05</v>
      </c>
      <c r="E508" s="316" t="s">
        <v>1886</v>
      </c>
      <c r="F508" s="316" t="s">
        <v>1886</v>
      </c>
      <c r="G508" s="317">
        <v>3.7328700553611704</v>
      </c>
      <c r="H508" s="317">
        <v>0</v>
      </c>
      <c r="I508" s="317">
        <v>0</v>
      </c>
      <c r="J508" s="317">
        <v>0</v>
      </c>
      <c r="K508" s="318">
        <v>0</v>
      </c>
      <c r="L508" s="318">
        <v>89.485959757162703</v>
      </c>
      <c r="M508" s="319">
        <v>17.515183509053699</v>
      </c>
      <c r="N508" s="319">
        <v>17.515183509053699</v>
      </c>
      <c r="O508" s="319">
        <f t="shared" si="7"/>
        <v>17.515183509053699</v>
      </c>
      <c r="P508" s="317">
        <v>0.65381904035102345</v>
      </c>
      <c r="Q508" s="315" t="s">
        <v>1168</v>
      </c>
      <c r="R508" s="318">
        <v>184.36675</v>
      </c>
      <c r="T508" s="320">
        <v>84.648194444444442</v>
      </c>
      <c r="U508" s="318">
        <v>18</v>
      </c>
      <c r="V508" s="318">
        <v>26.83</v>
      </c>
      <c r="W508" s="318">
        <v>259</v>
      </c>
      <c r="X508" s="315">
        <v>0.24</v>
      </c>
      <c r="Y508" s="318">
        <v>26.27</v>
      </c>
      <c r="Z508" s="315">
        <v>0</v>
      </c>
      <c r="AA508" s="315" t="s">
        <v>1149</v>
      </c>
      <c r="AB508" s="315">
        <v>0</v>
      </c>
      <c r="AC508" s="315" t="s">
        <v>1150</v>
      </c>
    </row>
    <row r="509" spans="1:29">
      <c r="A509" s="315" t="s">
        <v>1145</v>
      </c>
      <c r="B509" s="315" t="s">
        <v>663</v>
      </c>
      <c r="C509" s="329">
        <v>3.2712602625152498</v>
      </c>
      <c r="D509" s="329">
        <v>113.05</v>
      </c>
      <c r="E509" s="316" t="s">
        <v>1887</v>
      </c>
      <c r="F509" s="316" t="s">
        <v>1887</v>
      </c>
      <c r="G509" s="317">
        <v>38.700003684156805</v>
      </c>
      <c r="H509" s="317">
        <v>12.266476000000001</v>
      </c>
      <c r="I509" s="317">
        <v>13.273937200000001</v>
      </c>
      <c r="J509" s="317">
        <v>15.8359372</v>
      </c>
      <c r="K509" s="318">
        <v>40.919730471454692</v>
      </c>
      <c r="L509" s="318">
        <v>53.136223202272198</v>
      </c>
      <c r="M509" s="319">
        <v>43.702603817312301</v>
      </c>
      <c r="N509" s="319">
        <v>2.7828733458576096</v>
      </c>
      <c r="O509" s="319">
        <f t="shared" si="7"/>
        <v>2.7828733458576096</v>
      </c>
      <c r="P509" s="317">
        <v>1.0769720873723125</v>
      </c>
      <c r="Q509" s="315" t="s">
        <v>1148</v>
      </c>
      <c r="R509" s="318">
        <v>184.42849999999999</v>
      </c>
      <c r="T509" s="320">
        <v>84.68249999999999</v>
      </c>
      <c r="U509" s="318">
        <v>41</v>
      </c>
      <c r="V509" s="318">
        <v>18</v>
      </c>
      <c r="W509" s="318">
        <v>126</v>
      </c>
      <c r="X509" s="315">
        <v>0.212728</v>
      </c>
      <c r="Y509" s="318">
        <v>530.6182</v>
      </c>
      <c r="Z509" s="315">
        <v>0</v>
      </c>
      <c r="AA509" s="315" t="s">
        <v>1149</v>
      </c>
      <c r="AB509" s="315">
        <v>1</v>
      </c>
      <c r="AC509" s="315" t="s">
        <v>1190</v>
      </c>
    </row>
    <row r="510" spans="1:29">
      <c r="B510" s="315" t="s">
        <v>663</v>
      </c>
      <c r="C510" s="329">
        <v>3.2716369139194001</v>
      </c>
      <c r="D510" s="329">
        <v>113.05</v>
      </c>
      <c r="E510" s="316" t="s">
        <v>1888</v>
      </c>
      <c r="F510" s="316" t="s">
        <v>1888</v>
      </c>
      <c r="G510" s="317">
        <v>10.130000964354224</v>
      </c>
      <c r="H510" s="317">
        <v>0.98985009999999996</v>
      </c>
      <c r="I510" s="317">
        <v>1.0124971</v>
      </c>
      <c r="J510" s="317">
        <v>1.0124971</v>
      </c>
      <c r="K510" s="318">
        <v>9.9950345865001164</v>
      </c>
      <c r="L510" s="318">
        <v>65.734534335853397</v>
      </c>
      <c r="M510" s="319">
        <v>29.8441442696863</v>
      </c>
      <c r="N510" s="319">
        <v>19.849109683186185</v>
      </c>
      <c r="O510" s="319">
        <f t="shared" si="7"/>
        <v>19.849109683186185</v>
      </c>
      <c r="P510" s="317">
        <v>2.0107150023224882</v>
      </c>
      <c r="Q510" s="315" t="s">
        <v>1148</v>
      </c>
      <c r="R510" s="318">
        <v>185.67423215000002</v>
      </c>
      <c r="T510" s="320">
        <v>85.374573416666692</v>
      </c>
      <c r="U510" s="318">
        <v>42</v>
      </c>
      <c r="V510" s="318">
        <v>47</v>
      </c>
      <c r="W510" s="318">
        <v>547.92700000000002</v>
      </c>
      <c r="X510" s="315">
        <v>0.2</v>
      </c>
      <c r="Y510" s="318">
        <v>10</v>
      </c>
      <c r="Z510" s="315">
        <v>1</v>
      </c>
      <c r="AA510" s="315" t="s">
        <v>1149</v>
      </c>
      <c r="AB510" s="315">
        <v>0</v>
      </c>
      <c r="AC510" s="315" t="s">
        <v>1190</v>
      </c>
    </row>
    <row r="511" spans="1:29">
      <c r="A511" s="315" t="s">
        <v>1145</v>
      </c>
      <c r="B511" s="315" t="s">
        <v>663</v>
      </c>
      <c r="C511" s="329">
        <v>3.27201356532355</v>
      </c>
      <c r="D511" s="329">
        <v>113.05</v>
      </c>
      <c r="E511" s="316" t="s">
        <v>1889</v>
      </c>
      <c r="F511" s="316" t="s">
        <v>1889</v>
      </c>
      <c r="G511" s="317">
        <v>3.4400003274806044</v>
      </c>
      <c r="H511" s="317">
        <v>0</v>
      </c>
      <c r="I511" s="317">
        <v>0</v>
      </c>
      <c r="J511" s="317">
        <v>0</v>
      </c>
      <c r="K511" s="318">
        <v>0</v>
      </c>
      <c r="L511" s="318">
        <v>87.777980954836394</v>
      </c>
      <c r="M511" s="319">
        <v>18.680915302789799</v>
      </c>
      <c r="N511" s="319">
        <v>18.680915302789799</v>
      </c>
      <c r="O511" s="319">
        <f t="shared" si="7"/>
        <v>18.680915302789799</v>
      </c>
      <c r="P511" s="317">
        <v>0.64262354759234341</v>
      </c>
      <c r="Q511" s="315" t="s">
        <v>1168</v>
      </c>
      <c r="R511" s="318">
        <v>188</v>
      </c>
      <c r="T511" s="320">
        <v>86.666666666666671</v>
      </c>
      <c r="U511" s="318">
        <v>40</v>
      </c>
      <c r="V511" s="318">
        <v>39.369999999999997</v>
      </c>
      <c r="W511" s="318">
        <v>269</v>
      </c>
      <c r="X511" s="315">
        <v>0.12</v>
      </c>
      <c r="Y511" s="318">
        <v>10</v>
      </c>
      <c r="Z511" s="315">
        <v>0</v>
      </c>
      <c r="AA511" s="315" t="s">
        <v>1149</v>
      </c>
      <c r="AB511" s="315">
        <v>0</v>
      </c>
      <c r="AC511" s="315" t="s">
        <v>1150</v>
      </c>
    </row>
    <row r="512" spans="1:29">
      <c r="A512" s="315" t="s">
        <v>1145</v>
      </c>
      <c r="B512" s="315" t="s">
        <v>663</v>
      </c>
      <c r="C512" s="329">
        <v>3.2723902167276999</v>
      </c>
      <c r="D512" s="329">
        <v>113.05</v>
      </c>
      <c r="E512" s="316" t="s">
        <v>1891</v>
      </c>
      <c r="F512" s="316" t="s">
        <v>1891</v>
      </c>
      <c r="G512" s="317">
        <v>5.677967940530289</v>
      </c>
      <c r="H512" s="317">
        <v>0</v>
      </c>
      <c r="I512" s="317">
        <v>0</v>
      </c>
      <c r="J512" s="317">
        <v>0</v>
      </c>
      <c r="K512" s="318">
        <v>0</v>
      </c>
      <c r="L512" s="318">
        <v>85.612741346575405</v>
      </c>
      <c r="M512" s="319">
        <v>20.338538709025698</v>
      </c>
      <c r="N512" s="319">
        <v>20.338538709025698</v>
      </c>
      <c r="O512" s="319">
        <f t="shared" si="7"/>
        <v>20.338538709025698</v>
      </c>
      <c r="P512" s="317">
        <v>1.1548157074708221</v>
      </c>
      <c r="Q512" s="315" t="s">
        <v>1168</v>
      </c>
      <c r="R512" s="318">
        <v>189</v>
      </c>
      <c r="T512" s="320">
        <v>87.222222222222229</v>
      </c>
      <c r="U512" s="318">
        <v>40</v>
      </c>
      <c r="V512" s="318">
        <v>25</v>
      </c>
      <c r="W512" s="318">
        <v>216</v>
      </c>
      <c r="X512" s="315">
        <v>0.317</v>
      </c>
      <c r="Y512" s="318">
        <v>200</v>
      </c>
      <c r="Z512" s="315">
        <v>0</v>
      </c>
      <c r="AA512" s="315" t="s">
        <v>1149</v>
      </c>
      <c r="AB512" s="315">
        <v>0</v>
      </c>
      <c r="AC512" s="315" t="s">
        <v>1150</v>
      </c>
    </row>
    <row r="513" spans="1:29">
      <c r="A513" s="315" t="s">
        <v>1145</v>
      </c>
      <c r="B513" s="315" t="s">
        <v>663</v>
      </c>
      <c r="C513" s="329">
        <v>3.2727668681318498</v>
      </c>
      <c r="D513" s="329">
        <v>113.05</v>
      </c>
      <c r="E513" s="316" t="s">
        <v>1892</v>
      </c>
      <c r="F513" s="316" t="s">
        <v>1892</v>
      </c>
      <c r="G513" s="317">
        <v>8.7200008301252545</v>
      </c>
      <c r="H513" s="317">
        <v>0</v>
      </c>
      <c r="I513" s="317">
        <v>0</v>
      </c>
      <c r="J513" s="317">
        <v>0</v>
      </c>
      <c r="K513" s="318">
        <v>0</v>
      </c>
      <c r="L513" s="318">
        <v>89.145728266699095</v>
      </c>
      <c r="M513" s="319">
        <v>18.652114002502302</v>
      </c>
      <c r="N513" s="319">
        <v>18.652114002502302</v>
      </c>
      <c r="O513" s="319">
        <f t="shared" si="7"/>
        <v>18.652114002502302</v>
      </c>
      <c r="P513" s="317">
        <v>1.6264644958541095</v>
      </c>
      <c r="Q513" s="315" t="s">
        <v>1168</v>
      </c>
      <c r="R513" s="318">
        <v>190</v>
      </c>
      <c r="T513" s="320">
        <v>87.777777777777771</v>
      </c>
      <c r="U513" s="318">
        <v>38</v>
      </c>
      <c r="V513" s="318">
        <v>37.450000000000003</v>
      </c>
      <c r="W513" s="318">
        <v>492</v>
      </c>
      <c r="X513" s="315">
        <v>0.19</v>
      </c>
      <c r="Y513" s="318">
        <v>1.5</v>
      </c>
      <c r="Z513" s="315">
        <v>0</v>
      </c>
      <c r="AA513" s="315" t="s">
        <v>1149</v>
      </c>
      <c r="AB513" s="315">
        <v>0</v>
      </c>
      <c r="AC513" s="315" t="s">
        <v>1157</v>
      </c>
    </row>
    <row r="514" spans="1:29">
      <c r="A514" s="315" t="s">
        <v>1145</v>
      </c>
      <c r="B514" s="315" t="s">
        <v>663</v>
      </c>
      <c r="C514" s="329">
        <v>3.2731435195360001</v>
      </c>
      <c r="D514" s="329">
        <v>113.05</v>
      </c>
      <c r="E514" s="316" t="s">
        <v>1894</v>
      </c>
      <c r="F514" s="316" t="s">
        <v>1894</v>
      </c>
      <c r="G514" s="317">
        <v>1.5779170502142965</v>
      </c>
      <c r="H514" s="317">
        <v>3.5555000000000003E-2</v>
      </c>
      <c r="I514" s="317">
        <v>3.5555000000000003E-2</v>
      </c>
      <c r="J514" s="317">
        <v>3.5555000000000003E-2</v>
      </c>
      <c r="K514" s="318">
        <v>2.2532870150031834</v>
      </c>
      <c r="L514" s="318">
        <v>76.280837243618095</v>
      </c>
      <c r="M514" s="319">
        <v>26.940731669277202</v>
      </c>
      <c r="N514" s="319">
        <v>24.687444654274017</v>
      </c>
      <c r="O514" s="319">
        <f t="shared" ref="O514:O577" si="8">IF(N514&lt;0,0,N514)</f>
        <v>24.687444654274017</v>
      </c>
      <c r="P514" s="317">
        <v>0.38954739846200764</v>
      </c>
      <c r="Q514" s="315" t="s">
        <v>1148</v>
      </c>
      <c r="R514" s="318">
        <v>190</v>
      </c>
      <c r="T514" s="320">
        <v>87.777777777777771</v>
      </c>
      <c r="U514" s="318">
        <v>41</v>
      </c>
      <c r="V514" s="318">
        <v>23.61</v>
      </c>
      <c r="W514" s="318">
        <v>180.45500000000001</v>
      </c>
      <c r="X514" s="315">
        <v>0.19</v>
      </c>
      <c r="Y514" s="318">
        <v>7.12</v>
      </c>
      <c r="Z514" s="315">
        <v>0</v>
      </c>
      <c r="AA514" s="315" t="s">
        <v>1149</v>
      </c>
      <c r="AB514" s="315">
        <v>0</v>
      </c>
      <c r="AC514" s="315" t="s">
        <v>1190</v>
      </c>
    </row>
    <row r="515" spans="1:29">
      <c r="A515" s="315" t="s">
        <v>1145</v>
      </c>
      <c r="B515" s="315" t="s">
        <v>663</v>
      </c>
      <c r="C515" s="329">
        <v>3.27352017094015</v>
      </c>
      <c r="D515" s="329">
        <v>113.05</v>
      </c>
      <c r="E515" s="316" t="s">
        <v>1896</v>
      </c>
      <c r="F515" s="316" t="s">
        <v>1896</v>
      </c>
      <c r="G515" s="317">
        <v>7.2400006892324358</v>
      </c>
      <c r="H515" s="317">
        <v>0</v>
      </c>
      <c r="I515" s="317">
        <v>0</v>
      </c>
      <c r="J515" s="317">
        <v>0</v>
      </c>
      <c r="K515" s="318">
        <v>0</v>
      </c>
      <c r="L515" s="318">
        <v>79.524592681529796</v>
      </c>
      <c r="M515" s="319">
        <v>23.7522685660287</v>
      </c>
      <c r="N515" s="319">
        <v>23.7522685660287</v>
      </c>
      <c r="O515" s="319">
        <f t="shared" si="8"/>
        <v>23.7522685660287</v>
      </c>
      <c r="P515" s="317">
        <v>1.719664407888817</v>
      </c>
      <c r="Q515" s="315" t="s">
        <v>1168</v>
      </c>
      <c r="R515" s="318">
        <v>190</v>
      </c>
      <c r="T515" s="320">
        <v>87.777777777777771</v>
      </c>
      <c r="U515" s="318">
        <v>41</v>
      </c>
      <c r="V515" s="318">
        <v>47.23</v>
      </c>
      <c r="W515" s="318">
        <v>354</v>
      </c>
      <c r="X515" s="315">
        <v>0.2</v>
      </c>
      <c r="Y515" s="318">
        <v>39.32</v>
      </c>
      <c r="Z515" s="315">
        <v>0</v>
      </c>
      <c r="AA515" s="315" t="s">
        <v>1149</v>
      </c>
      <c r="AB515" s="315">
        <v>0</v>
      </c>
      <c r="AC515" s="315" t="s">
        <v>1150</v>
      </c>
    </row>
    <row r="516" spans="1:29">
      <c r="A516" s="315" t="s">
        <v>1145</v>
      </c>
      <c r="B516" s="315" t="s">
        <v>663</v>
      </c>
      <c r="C516" s="329">
        <v>3.2738968223443101</v>
      </c>
      <c r="D516" s="329">
        <v>113.05</v>
      </c>
      <c r="E516" s="316" t="s">
        <v>1897</v>
      </c>
      <c r="F516" s="316" t="s">
        <v>1897</v>
      </c>
      <c r="G516" s="317">
        <v>6.6600006340176812</v>
      </c>
      <c r="H516" s="317">
        <v>0</v>
      </c>
      <c r="I516" s="317">
        <v>0</v>
      </c>
      <c r="J516" s="317">
        <v>0</v>
      </c>
      <c r="K516" s="318">
        <v>0</v>
      </c>
      <c r="L516" s="318">
        <v>79.494353621695495</v>
      </c>
      <c r="M516" s="319">
        <v>24.1622796259139</v>
      </c>
      <c r="N516" s="319">
        <v>24.1622796259139</v>
      </c>
      <c r="O516" s="319">
        <f t="shared" si="8"/>
        <v>24.1622796259139</v>
      </c>
      <c r="P516" s="317">
        <v>1.6092079762789906</v>
      </c>
      <c r="Q516" s="315" t="s">
        <v>1168</v>
      </c>
      <c r="R516" s="318">
        <v>191</v>
      </c>
      <c r="T516" s="320">
        <v>88.333333333333329</v>
      </c>
      <c r="U516" s="318">
        <v>40</v>
      </c>
      <c r="V516" s="318">
        <v>65.61</v>
      </c>
      <c r="W516" s="318">
        <v>348</v>
      </c>
      <c r="X516" s="315">
        <v>0.23499999999999999</v>
      </c>
      <c r="Y516" s="318">
        <v>44.23</v>
      </c>
      <c r="Z516" s="315">
        <v>0</v>
      </c>
      <c r="AA516" s="315" t="s">
        <v>1149</v>
      </c>
      <c r="AB516" s="315">
        <v>0</v>
      </c>
      <c r="AC516" s="315" t="s">
        <v>1150</v>
      </c>
    </row>
    <row r="517" spans="1:29">
      <c r="A517" s="315" t="s">
        <v>1145</v>
      </c>
      <c r="B517" s="315" t="s">
        <v>663</v>
      </c>
      <c r="C517" s="329">
        <v>3.27427347374846</v>
      </c>
      <c r="D517" s="329">
        <v>113.05</v>
      </c>
      <c r="E517" s="316" t="s">
        <v>1898</v>
      </c>
      <c r="F517" s="316" t="s">
        <v>1898</v>
      </c>
      <c r="G517" s="317">
        <v>3.52</v>
      </c>
      <c r="H517" s="317">
        <v>0</v>
      </c>
      <c r="I517" s="317">
        <v>0</v>
      </c>
      <c r="J517" s="317">
        <v>0</v>
      </c>
      <c r="K517" s="318">
        <v>0</v>
      </c>
      <c r="L517" s="318">
        <v>66.8088036957909</v>
      </c>
      <c r="M517" s="319">
        <v>28.748861186781099</v>
      </c>
      <c r="N517" s="319">
        <v>28.748861186781099</v>
      </c>
      <c r="O517" s="319">
        <f t="shared" si="8"/>
        <v>28.748861186781099</v>
      </c>
      <c r="P517" s="317">
        <v>1.0119599137746946</v>
      </c>
      <c r="Q517" s="315" t="s">
        <v>1168</v>
      </c>
      <c r="R517" s="318">
        <v>191.38760150000002</v>
      </c>
      <c r="T517" s="320">
        <v>88.548667500000022</v>
      </c>
      <c r="U517" s="318">
        <v>32</v>
      </c>
      <c r="V517" s="318">
        <v>42.5</v>
      </c>
      <c r="W517" s="318">
        <v>557.77</v>
      </c>
      <c r="X517" s="315">
        <v>0.14099999999999999</v>
      </c>
      <c r="Y517" s="318">
        <v>10</v>
      </c>
      <c r="Z517" s="315">
        <v>0</v>
      </c>
      <c r="AA517" s="315" t="s">
        <v>1149</v>
      </c>
      <c r="AB517" s="315">
        <v>0</v>
      </c>
      <c r="AC517" s="315" t="s">
        <v>1190</v>
      </c>
    </row>
    <row r="518" spans="1:29">
      <c r="A518" s="315" t="s">
        <v>1145</v>
      </c>
      <c r="B518" s="315" t="s">
        <v>663</v>
      </c>
      <c r="C518" s="329">
        <v>3.2746501251526099</v>
      </c>
      <c r="D518" s="329">
        <v>113.05</v>
      </c>
      <c r="E518" s="316" t="s">
        <v>1899</v>
      </c>
      <c r="F518" s="316" t="s">
        <v>1899</v>
      </c>
      <c r="G518" s="317">
        <v>1.27</v>
      </c>
      <c r="H518" s="317">
        <v>0</v>
      </c>
      <c r="I518" s="317">
        <v>0</v>
      </c>
      <c r="J518" s="317">
        <v>0</v>
      </c>
      <c r="K518" s="318">
        <v>0</v>
      </c>
      <c r="L518" s="318">
        <v>69.080267501217904</v>
      </c>
      <c r="M518" s="319">
        <v>27.780695328139</v>
      </c>
      <c r="N518" s="319">
        <v>27.780695328139</v>
      </c>
      <c r="O518" s="319">
        <f t="shared" si="8"/>
        <v>27.780695328139</v>
      </c>
      <c r="P518" s="317">
        <v>0.3528148306673653</v>
      </c>
      <c r="Q518" s="315" t="s">
        <v>1168</v>
      </c>
      <c r="R518" s="318">
        <v>193</v>
      </c>
      <c r="T518" s="320">
        <v>89.444444444444443</v>
      </c>
      <c r="U518" s="318">
        <v>40</v>
      </c>
      <c r="V518" s="318">
        <v>18.02</v>
      </c>
      <c r="W518" s="318">
        <v>610</v>
      </c>
      <c r="X518" s="315">
        <v>0.18</v>
      </c>
      <c r="Y518" s="318">
        <v>10</v>
      </c>
      <c r="Z518" s="315">
        <v>0</v>
      </c>
      <c r="AA518" s="315" t="s">
        <v>1149</v>
      </c>
      <c r="AB518" s="315">
        <v>0</v>
      </c>
      <c r="AC518" s="315" t="s">
        <v>1150</v>
      </c>
    </row>
    <row r="519" spans="1:29">
      <c r="A519" s="315" t="s">
        <v>1145</v>
      </c>
      <c r="B519" s="315" t="s">
        <v>663</v>
      </c>
      <c r="C519" s="329">
        <v>3.2750267765567602</v>
      </c>
      <c r="D519" s="329">
        <v>113.05</v>
      </c>
      <c r="E519" s="316" t="s">
        <v>1900</v>
      </c>
      <c r="F519" s="316" t="s">
        <v>1900</v>
      </c>
      <c r="G519" s="317">
        <v>2.0500001951555928</v>
      </c>
      <c r="H519" s="317">
        <v>0</v>
      </c>
      <c r="I519" s="317">
        <v>5.3596E-3</v>
      </c>
      <c r="J519" s="317">
        <v>5.3596E-3</v>
      </c>
      <c r="K519" s="318">
        <v>0.26144387755012932</v>
      </c>
      <c r="L519" s="318">
        <v>86.058545132594801</v>
      </c>
      <c r="M519" s="319">
        <v>19.985445681003199</v>
      </c>
      <c r="N519" s="319">
        <v>19.724001803453071</v>
      </c>
      <c r="O519" s="319">
        <f t="shared" si="8"/>
        <v>19.724001803453071</v>
      </c>
      <c r="P519" s="317">
        <v>0.4043420754632806</v>
      </c>
      <c r="Q519" s="315" t="s">
        <v>1168</v>
      </c>
      <c r="R519" s="318">
        <v>194.50766844999998</v>
      </c>
      <c r="T519" s="320">
        <v>90.282038027777773</v>
      </c>
      <c r="U519" s="318">
        <v>40</v>
      </c>
      <c r="V519" s="318">
        <v>34.4</v>
      </c>
      <c r="W519" s="318">
        <v>698.85300000000007</v>
      </c>
      <c r="X519" s="315">
        <v>0.21</v>
      </c>
      <c r="Y519" s="318">
        <v>10</v>
      </c>
      <c r="Z519" s="315">
        <v>1</v>
      </c>
      <c r="AA519" s="315" t="s">
        <v>1149</v>
      </c>
      <c r="AB519" s="315">
        <v>0</v>
      </c>
      <c r="AC519" s="315" t="s">
        <v>1190</v>
      </c>
    </row>
    <row r="520" spans="1:29">
      <c r="A520" s="315" t="s">
        <v>1145</v>
      </c>
      <c r="B520" s="315" t="s">
        <v>663</v>
      </c>
      <c r="C520" s="329">
        <v>3.2754034279609101</v>
      </c>
      <c r="D520" s="329">
        <v>113.05</v>
      </c>
      <c r="E520" s="316" t="s">
        <v>1901</v>
      </c>
      <c r="F520" s="316" t="s">
        <v>1901</v>
      </c>
      <c r="G520" s="317">
        <v>1.9800001884917433</v>
      </c>
      <c r="H520" s="317">
        <v>0.39262449999999999</v>
      </c>
      <c r="I520" s="317">
        <v>0.39262449999999999</v>
      </c>
      <c r="J520" s="317">
        <v>0.39262449999999999</v>
      </c>
      <c r="K520" s="318">
        <v>19.829518314292688</v>
      </c>
      <c r="L520" s="318">
        <v>78.350949153058593</v>
      </c>
      <c r="M520" s="319">
        <v>25.210460188118098</v>
      </c>
      <c r="N520" s="319">
        <v>5.3809418738254102</v>
      </c>
      <c r="O520" s="319">
        <f t="shared" si="8"/>
        <v>5.3809418738254102</v>
      </c>
      <c r="P520" s="317">
        <v>0.10654265924437427</v>
      </c>
      <c r="Q520" s="315" t="s">
        <v>1148</v>
      </c>
      <c r="R520" s="318">
        <v>195.07495334999999</v>
      </c>
      <c r="T520" s="320">
        <v>90.597196305555542</v>
      </c>
      <c r="U520" s="318">
        <v>40</v>
      </c>
      <c r="V520" s="318">
        <v>18.53</v>
      </c>
      <c r="W520" s="318">
        <v>331.38100000000003</v>
      </c>
      <c r="X520" s="315">
        <v>0.19</v>
      </c>
      <c r="Y520" s="318">
        <v>11.145</v>
      </c>
      <c r="Z520" s="315">
        <v>1</v>
      </c>
      <c r="AA520" s="315" t="s">
        <v>1149</v>
      </c>
      <c r="AB520" s="315">
        <v>0</v>
      </c>
      <c r="AC520" s="315" t="s">
        <v>1190</v>
      </c>
    </row>
    <row r="521" spans="1:29">
      <c r="A521" s="315" t="s">
        <v>1758</v>
      </c>
      <c r="B521" s="315" t="s">
        <v>663</v>
      </c>
      <c r="C521" s="329">
        <v>3.27578007936506</v>
      </c>
      <c r="D521" s="329">
        <v>113.05</v>
      </c>
      <c r="E521" s="316" t="s">
        <v>1902</v>
      </c>
      <c r="F521" s="316" t="s">
        <v>1902</v>
      </c>
      <c r="G521" s="317">
        <v>6.69</v>
      </c>
      <c r="H521" s="317">
        <v>0</v>
      </c>
      <c r="I521" s="317">
        <v>0</v>
      </c>
      <c r="J521" s="317">
        <v>0</v>
      </c>
      <c r="K521" s="318">
        <v>0</v>
      </c>
      <c r="L521" s="318">
        <v>77.083553446724494</v>
      </c>
      <c r="M521" s="319">
        <v>24.772771786460702</v>
      </c>
      <c r="N521" s="319">
        <v>24.772771786460702</v>
      </c>
      <c r="O521" s="319">
        <f t="shared" si="8"/>
        <v>24.772771786460702</v>
      </c>
      <c r="P521" s="317">
        <v>1.657298432514221</v>
      </c>
      <c r="Q521" s="315" t="s">
        <v>1168</v>
      </c>
      <c r="R521" s="318">
        <v>198</v>
      </c>
      <c r="T521" s="320">
        <v>92.222222222222229</v>
      </c>
      <c r="U521" s="318">
        <v>34</v>
      </c>
      <c r="V521" s="318">
        <v>37.65</v>
      </c>
      <c r="W521" s="318">
        <v>630</v>
      </c>
      <c r="X521" s="315">
        <v>0.17</v>
      </c>
      <c r="Y521" s="318">
        <v>10</v>
      </c>
      <c r="Z521" s="315">
        <v>0</v>
      </c>
      <c r="AA521" s="315" t="s">
        <v>1149</v>
      </c>
      <c r="AB521" s="315">
        <v>0</v>
      </c>
      <c r="AC521" s="315" t="s">
        <v>1150</v>
      </c>
    </row>
    <row r="522" spans="1:29">
      <c r="A522" s="315" t="s">
        <v>1828</v>
      </c>
      <c r="B522" s="315" t="s">
        <v>663</v>
      </c>
      <c r="C522" s="329">
        <v>3.2761567307692099</v>
      </c>
      <c r="D522" s="329">
        <v>113.05</v>
      </c>
      <c r="E522" s="316" t="s">
        <v>1903</v>
      </c>
      <c r="F522" s="316" t="s">
        <v>1903</v>
      </c>
      <c r="G522" s="317">
        <v>26.192636193482421</v>
      </c>
      <c r="H522" s="317">
        <v>0.57089520000000016</v>
      </c>
      <c r="I522" s="317">
        <v>0.68072850000000018</v>
      </c>
      <c r="J522" s="317">
        <v>0.68072850000000018</v>
      </c>
      <c r="K522" s="318">
        <v>2.5989308406054503</v>
      </c>
      <c r="L522" s="318">
        <v>82.408513452667293</v>
      </c>
      <c r="M522" s="319">
        <v>22.561163620714801</v>
      </c>
      <c r="N522" s="319">
        <v>19.96223278010935</v>
      </c>
      <c r="O522" s="319">
        <f t="shared" si="8"/>
        <v>19.96223278010935</v>
      </c>
      <c r="P522" s="317">
        <v>5.2286350081901336</v>
      </c>
      <c r="Q522" s="315" t="s">
        <v>1148</v>
      </c>
      <c r="R522" s="318">
        <v>203</v>
      </c>
      <c r="T522" s="320">
        <v>95</v>
      </c>
      <c r="U522" s="318">
        <v>34</v>
      </c>
      <c r="V522" s="318">
        <v>56.82</v>
      </c>
      <c r="W522" s="318">
        <v>597</v>
      </c>
      <c r="X522" s="315">
        <v>0.18</v>
      </c>
      <c r="Y522" s="318">
        <v>21.13</v>
      </c>
      <c r="Z522" s="315">
        <v>0</v>
      </c>
      <c r="AA522" s="315" t="s">
        <v>1149</v>
      </c>
      <c r="AB522" s="315">
        <v>0</v>
      </c>
      <c r="AC522" s="315" t="s">
        <v>1150</v>
      </c>
    </row>
    <row r="523" spans="1:29">
      <c r="A523" s="315" t="s">
        <v>1877</v>
      </c>
      <c r="B523" s="315" t="s">
        <v>663</v>
      </c>
      <c r="C523" s="329">
        <v>3.2765333821733602</v>
      </c>
      <c r="D523" s="329">
        <v>113.05</v>
      </c>
      <c r="E523" s="316" t="s">
        <v>1904</v>
      </c>
      <c r="F523" s="316" t="s">
        <v>1904</v>
      </c>
      <c r="G523" s="317">
        <v>0.38000003617518302</v>
      </c>
      <c r="H523" s="317">
        <v>0</v>
      </c>
      <c r="I523" s="317">
        <v>0</v>
      </c>
      <c r="J523" s="317">
        <v>0</v>
      </c>
      <c r="K523" s="318">
        <v>0</v>
      </c>
      <c r="L523" s="318">
        <v>84.359389773448498</v>
      </c>
      <c r="M523" s="319">
        <v>21.022402773266897</v>
      </c>
      <c r="N523" s="319">
        <v>21.022402773266897</v>
      </c>
      <c r="O523" s="319">
        <f t="shared" si="8"/>
        <v>21.022402773266897</v>
      </c>
      <c r="P523" s="317">
        <v>7.9885138143306889E-2</v>
      </c>
      <c r="Q523" s="315" t="s">
        <v>1168</v>
      </c>
      <c r="R523" s="318">
        <v>207</v>
      </c>
      <c r="T523" s="320">
        <v>97.222222222222229</v>
      </c>
      <c r="U523" s="318">
        <v>33</v>
      </c>
      <c r="V523" s="318">
        <v>29.6</v>
      </c>
      <c r="W523" s="318">
        <v>512</v>
      </c>
      <c r="X523" s="315">
        <v>0.15</v>
      </c>
      <c r="Y523" s="318">
        <v>13</v>
      </c>
      <c r="Z523" s="315">
        <v>0</v>
      </c>
      <c r="AA523" s="315" t="s">
        <v>1149</v>
      </c>
      <c r="AB523" s="315">
        <v>0</v>
      </c>
      <c r="AC523" s="315" t="s">
        <v>1150</v>
      </c>
    </row>
    <row r="524" spans="1:29">
      <c r="A524" s="315" t="s">
        <v>1758</v>
      </c>
      <c r="B524" s="315" t="s">
        <v>663</v>
      </c>
      <c r="C524" s="329">
        <v>3.2769100335775199</v>
      </c>
      <c r="D524" s="329">
        <v>113.05</v>
      </c>
      <c r="E524" s="316" t="s">
        <v>1905</v>
      </c>
      <c r="F524" s="316" t="s">
        <v>1905</v>
      </c>
      <c r="G524" s="317">
        <v>1.56</v>
      </c>
      <c r="H524" s="317">
        <v>0</v>
      </c>
      <c r="I524" s="317">
        <v>0</v>
      </c>
      <c r="J524" s="317">
        <v>0</v>
      </c>
      <c r="K524" s="318">
        <v>0</v>
      </c>
      <c r="L524" s="318">
        <v>68.030662111119895</v>
      </c>
      <c r="M524" s="319">
        <v>28.499026528681199</v>
      </c>
      <c r="N524" s="319">
        <v>28.499026528681199</v>
      </c>
      <c r="O524" s="319">
        <f t="shared" si="8"/>
        <v>28.499026528681199</v>
      </c>
      <c r="P524" s="317">
        <v>0.44458481384742671</v>
      </c>
      <c r="Q524" s="315" t="s">
        <v>1168</v>
      </c>
      <c r="R524" s="318">
        <v>208</v>
      </c>
      <c r="T524" s="320">
        <v>97.777777777777771</v>
      </c>
      <c r="U524" s="318">
        <v>32</v>
      </c>
      <c r="V524" s="318">
        <v>30.49</v>
      </c>
      <c r="W524" s="318">
        <v>256</v>
      </c>
      <c r="X524" s="315">
        <v>0.14000000000000001</v>
      </c>
      <c r="Y524" s="318">
        <v>16.350000000000001</v>
      </c>
      <c r="Z524" s="315">
        <v>0</v>
      </c>
      <c r="AA524" s="315" t="s">
        <v>1149</v>
      </c>
      <c r="AB524" s="315">
        <v>0</v>
      </c>
      <c r="AC524" s="315" t="s">
        <v>1150</v>
      </c>
    </row>
    <row r="525" spans="1:29">
      <c r="A525" s="315" t="s">
        <v>1145</v>
      </c>
      <c r="B525" s="315" t="s">
        <v>663</v>
      </c>
      <c r="C525" s="329">
        <v>3.2772866849816702</v>
      </c>
      <c r="D525" s="329">
        <v>113.05</v>
      </c>
      <c r="E525" s="316" t="s">
        <v>1907</v>
      </c>
      <c r="F525" s="316" t="s">
        <v>1907</v>
      </c>
      <c r="G525" s="317">
        <v>5.9000005616673166</v>
      </c>
      <c r="H525" s="317">
        <v>0.24698329999999999</v>
      </c>
      <c r="I525" s="317">
        <v>0.24698329999999999</v>
      </c>
      <c r="J525" s="317">
        <v>0.24698329999999999</v>
      </c>
      <c r="K525" s="318">
        <v>4.1861572286054747</v>
      </c>
      <c r="L525" s="318">
        <v>64.071270959360305</v>
      </c>
      <c r="M525" s="319">
        <v>30.166226628087102</v>
      </c>
      <c r="N525" s="319">
        <v>25.980069399481629</v>
      </c>
      <c r="O525" s="319">
        <f t="shared" si="8"/>
        <v>25.980069399481629</v>
      </c>
      <c r="P525" s="317">
        <v>1.5328242404909749</v>
      </c>
      <c r="Q525" s="315" t="s">
        <v>1148</v>
      </c>
      <c r="R525" s="318">
        <v>210.1890439</v>
      </c>
      <c r="T525" s="320">
        <v>98.993913277777779</v>
      </c>
      <c r="U525" s="318">
        <v>32</v>
      </c>
      <c r="V525" s="318">
        <v>80</v>
      </c>
      <c r="W525" s="318">
        <v>334.66200000000003</v>
      </c>
      <c r="X525" s="315">
        <v>0.13100000000000001</v>
      </c>
      <c r="Y525" s="318">
        <v>10</v>
      </c>
      <c r="Z525" s="315">
        <v>0</v>
      </c>
      <c r="AA525" s="315" t="s">
        <v>1149</v>
      </c>
      <c r="AB525" s="315">
        <v>0</v>
      </c>
      <c r="AC525" s="315" t="s">
        <v>1190</v>
      </c>
    </row>
    <row r="526" spans="1:29">
      <c r="A526" s="315" t="s">
        <v>1758</v>
      </c>
      <c r="B526" s="315" t="s">
        <v>663</v>
      </c>
      <c r="C526" s="329">
        <v>3.2776633363858201</v>
      </c>
      <c r="D526" s="329">
        <v>113.05</v>
      </c>
      <c r="E526" s="316" t="s">
        <v>1908</v>
      </c>
      <c r="F526" s="316" t="s">
        <v>1908</v>
      </c>
      <c r="G526" s="317">
        <v>1.56</v>
      </c>
      <c r="H526" s="317">
        <v>0</v>
      </c>
      <c r="I526" s="317">
        <v>0</v>
      </c>
      <c r="J526" s="317">
        <v>0</v>
      </c>
      <c r="K526" s="318">
        <v>0</v>
      </c>
      <c r="L526" s="318">
        <v>67.393280595811106</v>
      </c>
      <c r="M526" s="319">
        <v>28.362143414733897</v>
      </c>
      <c r="N526" s="319">
        <v>28.362143414733897</v>
      </c>
      <c r="O526" s="319">
        <f t="shared" si="8"/>
        <v>28.362143414733897</v>
      </c>
      <c r="P526" s="317">
        <v>0.44244943726984881</v>
      </c>
      <c r="Q526" s="315" t="s">
        <v>1168</v>
      </c>
      <c r="R526" s="318">
        <v>212</v>
      </c>
      <c r="T526" s="320">
        <v>100</v>
      </c>
      <c r="U526" s="318">
        <v>32</v>
      </c>
      <c r="V526" s="318">
        <v>24.36</v>
      </c>
      <c r="W526" s="318">
        <v>646</v>
      </c>
      <c r="X526" s="315">
        <v>0.06</v>
      </c>
      <c r="Y526" s="318">
        <v>10</v>
      </c>
      <c r="Z526" s="315">
        <v>0</v>
      </c>
      <c r="AA526" s="315" t="s">
        <v>1149</v>
      </c>
      <c r="AB526" s="315">
        <v>0</v>
      </c>
      <c r="AC526" s="315" t="s">
        <v>1150</v>
      </c>
    </row>
    <row r="527" spans="1:29">
      <c r="A527" s="315" t="s">
        <v>1906</v>
      </c>
      <c r="B527" s="315" t="s">
        <v>663</v>
      </c>
      <c r="C527" s="329">
        <v>3.27803998778997</v>
      </c>
      <c r="D527" s="329">
        <v>113.05</v>
      </c>
      <c r="E527" s="316" t="s">
        <v>1909</v>
      </c>
      <c r="F527" s="316" t="s">
        <v>1909</v>
      </c>
      <c r="G527" s="317">
        <v>2.290000218003077</v>
      </c>
      <c r="H527" s="317">
        <v>0</v>
      </c>
      <c r="I527" s="317">
        <v>0</v>
      </c>
      <c r="J527" s="317">
        <v>0</v>
      </c>
      <c r="K527" s="318">
        <v>0</v>
      </c>
      <c r="L527" s="318">
        <v>69.823046595668501</v>
      </c>
      <c r="M527" s="319">
        <v>27.708660573507199</v>
      </c>
      <c r="N527" s="319">
        <v>27.708660573507199</v>
      </c>
      <c r="O527" s="319">
        <f t="shared" si="8"/>
        <v>27.708660573507199</v>
      </c>
      <c r="P527" s="317">
        <v>0.6345283875390475</v>
      </c>
      <c r="Q527" s="315" t="s">
        <v>1168</v>
      </c>
      <c r="R527" s="318">
        <v>212</v>
      </c>
      <c r="T527" s="320">
        <v>100</v>
      </c>
      <c r="U527" s="318">
        <v>32</v>
      </c>
      <c r="V527" s="318">
        <v>38.94</v>
      </c>
      <c r="W527" s="318">
        <v>535</v>
      </c>
      <c r="X527" s="315">
        <v>0.10299999999999999</v>
      </c>
      <c r="Y527" s="318">
        <v>17</v>
      </c>
      <c r="Z527" s="315">
        <v>0</v>
      </c>
      <c r="AA527" s="315" t="s">
        <v>1149</v>
      </c>
      <c r="AB527" s="315">
        <v>0</v>
      </c>
      <c r="AC527" s="315" t="s">
        <v>1157</v>
      </c>
    </row>
    <row r="528" spans="1:29">
      <c r="A528" s="315" t="s">
        <v>1277</v>
      </c>
      <c r="B528" s="315" t="s">
        <v>663</v>
      </c>
      <c r="C528" s="329">
        <v>3.2784166391941199</v>
      </c>
      <c r="D528" s="329">
        <v>113.05</v>
      </c>
      <c r="E528" s="316" t="s">
        <v>1910</v>
      </c>
      <c r="F528" s="316" t="s">
        <v>1910</v>
      </c>
      <c r="G528" s="317">
        <v>11.12</v>
      </c>
      <c r="H528" s="317">
        <v>0</v>
      </c>
      <c r="I528" s="317">
        <v>0</v>
      </c>
      <c r="J528" s="317">
        <v>0</v>
      </c>
      <c r="K528" s="318">
        <v>0</v>
      </c>
      <c r="L528" s="318">
        <v>87.454169386728694</v>
      </c>
      <c r="M528" s="319">
        <v>18.9269407069255</v>
      </c>
      <c r="N528" s="319">
        <v>18.9269407069255</v>
      </c>
      <c r="O528" s="319">
        <f t="shared" si="8"/>
        <v>18.9269407069255</v>
      </c>
      <c r="P528" s="317">
        <v>2.1046758066101154</v>
      </c>
      <c r="Q528" s="315" t="s">
        <v>1168</v>
      </c>
      <c r="R528" s="318">
        <v>215</v>
      </c>
      <c r="T528" s="320">
        <v>101.66666666666667</v>
      </c>
      <c r="U528" s="318">
        <v>32</v>
      </c>
      <c r="V528" s="318">
        <v>41.17</v>
      </c>
      <c r="W528" s="318">
        <v>128</v>
      </c>
      <c r="X528" s="315">
        <v>0.1462</v>
      </c>
      <c r="Y528" s="318">
        <v>10</v>
      </c>
      <c r="Z528" s="315">
        <v>0</v>
      </c>
      <c r="AA528" s="315" t="s">
        <v>1149</v>
      </c>
      <c r="AB528" s="315">
        <v>0</v>
      </c>
      <c r="AC528" s="315" t="s">
        <v>1150</v>
      </c>
    </row>
    <row r="529" spans="1:29">
      <c r="A529" s="315" t="s">
        <v>1951</v>
      </c>
      <c r="B529" s="315" t="s">
        <v>663</v>
      </c>
      <c r="C529" s="329">
        <v>3.2787932905982702</v>
      </c>
      <c r="D529" s="329">
        <v>113.05</v>
      </c>
      <c r="E529" s="316" t="s">
        <v>1911</v>
      </c>
      <c r="F529" s="316" t="s">
        <v>1911</v>
      </c>
      <c r="G529" s="317">
        <v>7.7945991420290106</v>
      </c>
      <c r="H529" s="317">
        <v>0</v>
      </c>
      <c r="I529" s="317">
        <v>0</v>
      </c>
      <c r="J529" s="317">
        <v>0</v>
      </c>
      <c r="K529" s="318">
        <v>0</v>
      </c>
      <c r="L529" s="318">
        <v>85.587139653537605</v>
      </c>
      <c r="M529" s="319">
        <v>20.125332475581899</v>
      </c>
      <c r="N529" s="319">
        <v>20.125332475581899</v>
      </c>
      <c r="O529" s="319">
        <f t="shared" si="8"/>
        <v>20.125332475581899</v>
      </c>
      <c r="P529" s="317">
        <v>1.5686889924721927</v>
      </c>
      <c r="Q529" s="315" t="s">
        <v>1168</v>
      </c>
      <c r="R529" s="318">
        <v>224</v>
      </c>
      <c r="T529" s="320">
        <v>106.66666666666667</v>
      </c>
      <c r="U529" s="318">
        <v>32</v>
      </c>
      <c r="V529" s="318">
        <v>33.94</v>
      </c>
      <c r="W529" s="318">
        <v>184</v>
      </c>
      <c r="X529" s="315">
        <v>0.108</v>
      </c>
      <c r="Y529" s="318">
        <v>10</v>
      </c>
      <c r="Z529" s="315">
        <v>0</v>
      </c>
      <c r="AA529" s="315" t="s">
        <v>1149</v>
      </c>
      <c r="AB529" s="315">
        <v>0</v>
      </c>
      <c r="AC529" s="315" t="s">
        <v>1150</v>
      </c>
    </row>
    <row r="530" spans="1:29">
      <c r="A530" s="315" t="s">
        <v>1145</v>
      </c>
      <c r="B530" s="315" t="s">
        <v>663</v>
      </c>
      <c r="C530" s="329">
        <v>3.2791699420024201</v>
      </c>
      <c r="D530" s="329">
        <v>113.05</v>
      </c>
      <c r="E530" s="316" t="s">
        <v>1912</v>
      </c>
      <c r="F530" s="316" t="s">
        <v>1912</v>
      </c>
      <c r="G530" s="317">
        <v>4.0640513868889183</v>
      </c>
      <c r="H530" s="317">
        <v>0.4824155</v>
      </c>
      <c r="I530" s="317">
        <v>0.58256090000000005</v>
      </c>
      <c r="J530" s="317">
        <v>0.58256090000000005</v>
      </c>
      <c r="K530" s="318">
        <v>14.334486563811824</v>
      </c>
      <c r="L530" s="318">
        <v>70.414349207575498</v>
      </c>
      <c r="M530" s="319">
        <v>33.587559181318397</v>
      </c>
      <c r="N530" s="319">
        <v>19.253072617506575</v>
      </c>
      <c r="O530" s="319">
        <f t="shared" si="8"/>
        <v>19.253072617506575</v>
      </c>
      <c r="P530" s="317">
        <v>0.78245476473050657</v>
      </c>
      <c r="Q530" s="315" t="s">
        <v>1148</v>
      </c>
      <c r="R530" s="318">
        <v>224.4425</v>
      </c>
      <c r="T530" s="320">
        <v>106.91249999999999</v>
      </c>
      <c r="U530" s="318">
        <v>32</v>
      </c>
      <c r="V530" s="318">
        <v>48</v>
      </c>
      <c r="W530" s="318">
        <v>95.149000000000001</v>
      </c>
      <c r="X530" s="315">
        <v>0.19</v>
      </c>
      <c r="Y530" s="318">
        <v>120</v>
      </c>
      <c r="Z530" s="315">
        <v>0</v>
      </c>
      <c r="AA530" s="315" t="s">
        <v>1149</v>
      </c>
      <c r="AB530" s="315">
        <v>0</v>
      </c>
      <c r="AC530" s="315" t="s">
        <v>1190</v>
      </c>
    </row>
    <row r="531" spans="1:29">
      <c r="A531" s="315" t="s">
        <v>1327</v>
      </c>
      <c r="B531" s="315" t="s">
        <v>663</v>
      </c>
      <c r="C531" s="329">
        <v>3.27954659340657</v>
      </c>
      <c r="D531" s="329">
        <v>113.05</v>
      </c>
      <c r="E531" s="316" t="s">
        <v>1913</v>
      </c>
      <c r="F531" s="316" t="s">
        <v>1913</v>
      </c>
      <c r="G531" s="317">
        <v>5.0100004769412294</v>
      </c>
      <c r="H531" s="317">
        <v>0</v>
      </c>
      <c r="I531" s="317">
        <v>0</v>
      </c>
      <c r="J531" s="317">
        <v>0</v>
      </c>
      <c r="K531" s="318">
        <v>0</v>
      </c>
      <c r="L531" s="318">
        <v>80.820931447470997</v>
      </c>
      <c r="M531" s="319">
        <v>23.1003287630183</v>
      </c>
      <c r="N531" s="319">
        <v>23.1003287630183</v>
      </c>
      <c r="O531" s="319">
        <f t="shared" si="8"/>
        <v>23.1003287630183</v>
      </c>
      <c r="P531" s="317">
        <v>1.1573265812022089</v>
      </c>
      <c r="Q531" s="315" t="s">
        <v>1168</v>
      </c>
      <c r="R531" s="318">
        <v>229.51835</v>
      </c>
      <c r="T531" s="320">
        <v>109.73241666666667</v>
      </c>
      <c r="U531" s="318">
        <v>36</v>
      </c>
      <c r="V531" s="318">
        <v>53.82</v>
      </c>
      <c r="W531" s="318">
        <v>571</v>
      </c>
      <c r="X531" s="315">
        <v>0.15</v>
      </c>
      <c r="Y531" s="318">
        <v>10</v>
      </c>
      <c r="Z531" s="315">
        <v>0</v>
      </c>
      <c r="AA531" s="315" t="s">
        <v>1149</v>
      </c>
      <c r="AB531" s="315">
        <v>0</v>
      </c>
      <c r="AC531" s="315" t="s">
        <v>1150</v>
      </c>
    </row>
    <row r="532" spans="1:29">
      <c r="A532" s="315" t="s">
        <v>1145</v>
      </c>
      <c r="B532" s="315" t="s">
        <v>663</v>
      </c>
      <c r="C532" s="329">
        <v>3.2799232448107301</v>
      </c>
      <c r="D532" s="329">
        <v>113.05</v>
      </c>
      <c r="E532" s="316" t="s">
        <v>1914</v>
      </c>
      <c r="F532" s="316" t="s">
        <v>1914</v>
      </c>
      <c r="G532" s="317">
        <v>7.1126376771077515</v>
      </c>
      <c r="H532" s="317">
        <v>0</v>
      </c>
      <c r="I532" s="317">
        <v>0</v>
      </c>
      <c r="J532" s="317">
        <v>0.15</v>
      </c>
      <c r="K532" s="318">
        <v>2.1089222706054569</v>
      </c>
      <c r="L532" s="318">
        <v>87.311615183479105</v>
      </c>
      <c r="M532" s="319">
        <v>19.3965182420323</v>
      </c>
      <c r="N532" s="319">
        <v>17.287595971426843</v>
      </c>
      <c r="O532" s="319">
        <f t="shared" si="8"/>
        <v>17.287595971426843</v>
      </c>
      <c r="P532" s="317">
        <v>1.2296040645298674</v>
      </c>
      <c r="Q532" s="315" t="s">
        <v>1168</v>
      </c>
      <c r="R532" s="318">
        <v>259.96109999999999</v>
      </c>
      <c r="T532" s="320">
        <v>126.64505555555554</v>
      </c>
      <c r="U532" s="318">
        <v>36</v>
      </c>
      <c r="V532" s="318">
        <v>61.76</v>
      </c>
      <c r="W532" s="318">
        <v>108</v>
      </c>
      <c r="X532" s="315">
        <v>0.13</v>
      </c>
      <c r="Y532" s="318">
        <v>10</v>
      </c>
      <c r="Z532" s="315">
        <v>0</v>
      </c>
      <c r="AA532" s="315" t="s">
        <v>1149</v>
      </c>
      <c r="AB532" s="315">
        <v>0</v>
      </c>
      <c r="AC532" s="315" t="s">
        <v>1150</v>
      </c>
    </row>
    <row r="533" spans="1:29">
      <c r="A533" s="315" t="s">
        <v>2003</v>
      </c>
      <c r="B533" s="315" t="s">
        <v>663</v>
      </c>
      <c r="C533" s="329">
        <v>3.2802998962148799</v>
      </c>
      <c r="D533" s="329">
        <v>113.05</v>
      </c>
      <c r="E533" s="316" t="s">
        <v>1915</v>
      </c>
      <c r="F533" s="316" t="s">
        <v>1915</v>
      </c>
      <c r="G533" s="317">
        <v>23.322854220285372</v>
      </c>
      <c r="H533" s="317">
        <v>0</v>
      </c>
      <c r="I533" s="317">
        <v>0</v>
      </c>
      <c r="J533" s="317">
        <v>0</v>
      </c>
      <c r="K533" s="318">
        <v>0</v>
      </c>
      <c r="L533" s="318">
        <v>87.294375138044202</v>
      </c>
      <c r="M533" s="319">
        <v>19.4139697433321</v>
      </c>
      <c r="N533" s="319">
        <v>19.4139697433321</v>
      </c>
      <c r="O533" s="319">
        <f t="shared" si="8"/>
        <v>19.4139697433321</v>
      </c>
      <c r="P533" s="317">
        <v>4.5278918616076558</v>
      </c>
      <c r="Q533" s="315" t="s">
        <v>1168</v>
      </c>
      <c r="R533" s="318">
        <v>264.76525000000004</v>
      </c>
      <c r="T533" s="320">
        <v>129.3140277777778</v>
      </c>
      <c r="U533" s="318">
        <v>36</v>
      </c>
      <c r="V533" s="318">
        <v>61.16</v>
      </c>
      <c r="W533" s="318">
        <v>607</v>
      </c>
      <c r="X533" s="315">
        <v>0.13</v>
      </c>
      <c r="Y533" s="318">
        <v>10</v>
      </c>
      <c r="Z533" s="315">
        <v>0</v>
      </c>
      <c r="AA533" s="315" t="s">
        <v>1149</v>
      </c>
      <c r="AB533" s="315">
        <v>0</v>
      </c>
      <c r="AC533" s="315" t="s">
        <v>1150</v>
      </c>
    </row>
    <row r="534" spans="1:29">
      <c r="A534" s="315" t="s">
        <v>1334</v>
      </c>
      <c r="B534" s="315" t="s">
        <v>1916</v>
      </c>
      <c r="C534" s="329">
        <v>6.61833416666666</v>
      </c>
      <c r="D534" s="329">
        <v>115.9</v>
      </c>
      <c r="E534" s="316" t="s">
        <v>1917</v>
      </c>
      <c r="F534" s="316" t="s">
        <v>1918</v>
      </c>
      <c r="G534" s="317">
        <v>16.899999999999999</v>
      </c>
      <c r="H534" s="317">
        <v>2.6</v>
      </c>
      <c r="I534" s="317">
        <v>2.6</v>
      </c>
      <c r="J534" s="317">
        <v>2.6</v>
      </c>
      <c r="K534" s="318">
        <v>15.384615384615385</v>
      </c>
      <c r="L534" s="318">
        <v>50.510528641765198</v>
      </c>
      <c r="M534" s="319">
        <v>38.413484509775806</v>
      </c>
      <c r="N534" s="319">
        <v>23.028869125160419</v>
      </c>
      <c r="O534" s="319">
        <f t="shared" si="8"/>
        <v>23.028869125160419</v>
      </c>
      <c r="P534" s="317">
        <v>3.8918788821521106</v>
      </c>
      <c r="Q534" s="315" t="s">
        <v>1148</v>
      </c>
      <c r="R534" s="318">
        <v>152</v>
      </c>
      <c r="T534" s="320">
        <v>66.666666666666671</v>
      </c>
      <c r="U534" s="318">
        <v>33</v>
      </c>
      <c r="V534" s="318">
        <v>647.81842507882766</v>
      </c>
      <c r="W534" s="318">
        <v>17.364850939490005</v>
      </c>
      <c r="X534" s="315">
        <v>0.17449999999999999</v>
      </c>
      <c r="Y534" s="318">
        <v>131.46</v>
      </c>
      <c r="Z534" s="315">
        <v>2</v>
      </c>
      <c r="AA534" s="315" t="s">
        <v>1149</v>
      </c>
      <c r="AB534" s="315">
        <v>0</v>
      </c>
      <c r="AC534" s="315" t="s">
        <v>1190</v>
      </c>
    </row>
    <row r="535" spans="1:29">
      <c r="A535" s="315" t="s">
        <v>1334</v>
      </c>
      <c r="B535" s="315" t="s">
        <v>1916</v>
      </c>
      <c r="C535" s="329">
        <v>6.6053394444444402</v>
      </c>
      <c r="D535" s="329">
        <v>115.9</v>
      </c>
      <c r="E535" s="316" t="s">
        <v>1919</v>
      </c>
      <c r="F535" s="316" t="s">
        <v>1919</v>
      </c>
      <c r="G535" s="317">
        <v>3.77</v>
      </c>
      <c r="H535" s="317">
        <v>2.46</v>
      </c>
      <c r="I535" s="317">
        <v>2.46</v>
      </c>
      <c r="J535" s="317">
        <v>2.46</v>
      </c>
      <c r="K535" s="318">
        <v>65.251989389920425</v>
      </c>
      <c r="L535" s="318">
        <v>51.530986371786398</v>
      </c>
      <c r="M535" s="319">
        <v>38.046081700331499</v>
      </c>
      <c r="N535" s="319">
        <v>-27.205907689588926</v>
      </c>
      <c r="O535" s="319">
        <f t="shared" si="8"/>
        <v>0</v>
      </c>
      <c r="P535" s="317">
        <v>0</v>
      </c>
      <c r="Q535" s="315" t="s">
        <v>1148</v>
      </c>
      <c r="R535" s="318">
        <v>152</v>
      </c>
      <c r="T535" s="320">
        <v>66.666666666666671</v>
      </c>
      <c r="U535" s="318">
        <v>33</v>
      </c>
      <c r="V535" s="318">
        <v>131.63028</v>
      </c>
      <c r="W535" s="318">
        <v>5.2925000000000004</v>
      </c>
      <c r="X535" s="315">
        <v>0.17449999999999999</v>
      </c>
      <c r="Y535" s="318">
        <v>131.43600000000001</v>
      </c>
      <c r="Z535" s="315">
        <v>2</v>
      </c>
      <c r="AA535" s="315" t="s">
        <v>1149</v>
      </c>
      <c r="AB535" s="315">
        <v>0</v>
      </c>
      <c r="AC535" s="315" t="s">
        <v>1190</v>
      </c>
    </row>
    <row r="536" spans="1:29">
      <c r="A536" s="315" t="s">
        <v>1334</v>
      </c>
      <c r="B536" s="315" t="s">
        <v>1916</v>
      </c>
      <c r="C536" s="329">
        <v>6.5923447222222196</v>
      </c>
      <c r="D536" s="329">
        <v>115.9</v>
      </c>
      <c r="E536" s="316" t="s">
        <v>1920</v>
      </c>
      <c r="F536" s="316" t="s">
        <v>1920</v>
      </c>
      <c r="G536" s="317">
        <v>0.1</v>
      </c>
      <c r="H536" s="317">
        <v>0</v>
      </c>
      <c r="I536" s="317">
        <v>0</v>
      </c>
      <c r="J536" s="317">
        <v>0</v>
      </c>
      <c r="K536" s="318">
        <v>0</v>
      </c>
      <c r="L536" s="318">
        <v>81.859426729172299</v>
      </c>
      <c r="M536" s="319">
        <v>25.389986520369302</v>
      </c>
      <c r="N536" s="319">
        <v>25.389986520369302</v>
      </c>
      <c r="O536" s="319">
        <f t="shared" si="8"/>
        <v>25.389986520369302</v>
      </c>
      <c r="P536" s="317">
        <v>2.5389986520369303E-2</v>
      </c>
      <c r="Q536" s="315" t="s">
        <v>1168</v>
      </c>
      <c r="R536" s="318">
        <v>161</v>
      </c>
      <c r="T536" s="320">
        <v>71.666666666666671</v>
      </c>
      <c r="U536" s="318">
        <v>36.4</v>
      </c>
      <c r="V536" s="318">
        <v>8.5154545454545456</v>
      </c>
      <c r="W536" s="318">
        <v>0.59363636363636363</v>
      </c>
      <c r="X536" s="315">
        <v>0.19400000000000001</v>
      </c>
      <c r="Y536" s="318">
        <v>36.3733</v>
      </c>
      <c r="Z536" s="315">
        <v>0</v>
      </c>
      <c r="AA536" s="315" t="s">
        <v>1149</v>
      </c>
      <c r="AB536" s="315">
        <v>0</v>
      </c>
      <c r="AC536" s="315" t="s">
        <v>1190</v>
      </c>
    </row>
    <row r="537" spans="1:29">
      <c r="A537" s="315" t="s">
        <v>1334</v>
      </c>
      <c r="B537" s="315" t="s">
        <v>1916</v>
      </c>
      <c r="C537" s="329">
        <v>6.5793499999999998</v>
      </c>
      <c r="D537" s="329">
        <v>115.9</v>
      </c>
      <c r="E537" s="316" t="s">
        <v>1921</v>
      </c>
      <c r="F537" s="316" t="s">
        <v>1921</v>
      </c>
      <c r="G537" s="317">
        <v>2.1</v>
      </c>
      <c r="H537" s="317">
        <v>0.59599999999999997</v>
      </c>
      <c r="I537" s="317">
        <v>0.59599999999999997</v>
      </c>
      <c r="J537" s="317">
        <v>0.59599999999999997</v>
      </c>
      <c r="K537" s="318">
        <v>28.38095238095238</v>
      </c>
      <c r="L537" s="318">
        <v>60.854067088786799</v>
      </c>
      <c r="M537" s="319">
        <v>36.336710761225397</v>
      </c>
      <c r="N537" s="319">
        <v>7.9557583802730178</v>
      </c>
      <c r="O537" s="319">
        <f t="shared" si="8"/>
        <v>7.9557583802730178</v>
      </c>
      <c r="P537" s="317">
        <v>0.16707092598573337</v>
      </c>
      <c r="Q537" s="315" t="s">
        <v>1148</v>
      </c>
      <c r="R537" s="318">
        <v>161</v>
      </c>
      <c r="T537" s="320">
        <v>71.666666666666671</v>
      </c>
      <c r="U537" s="318">
        <v>36.4</v>
      </c>
      <c r="V537" s="318">
        <v>9.7727272727272734</v>
      </c>
      <c r="W537" s="318">
        <v>2.5127272727272731</v>
      </c>
      <c r="X537" s="315">
        <v>0.27900000000000003</v>
      </c>
      <c r="Y537" s="318">
        <v>66.073333333329998</v>
      </c>
      <c r="Z537" s="315">
        <v>2</v>
      </c>
      <c r="AA537" s="315" t="s">
        <v>1149</v>
      </c>
      <c r="AB537" s="315">
        <v>0</v>
      </c>
      <c r="AC537" s="315" t="s">
        <v>1190</v>
      </c>
    </row>
    <row r="538" spans="1:29">
      <c r="A538" s="315" t="s">
        <v>1334</v>
      </c>
      <c r="B538" s="315" t="s">
        <v>1916</v>
      </c>
      <c r="C538" s="329">
        <v>6.5663552777777801</v>
      </c>
      <c r="D538" s="329">
        <v>115.9</v>
      </c>
      <c r="E538" s="316" t="s">
        <v>1922</v>
      </c>
      <c r="F538" s="316" t="s">
        <v>1922</v>
      </c>
      <c r="G538" s="317">
        <v>21.5</v>
      </c>
      <c r="H538" s="317">
        <v>8.9869249999999994</v>
      </c>
      <c r="I538" s="317">
        <v>8.9869249999999994</v>
      </c>
      <c r="J538" s="317">
        <v>8.9869249999999994</v>
      </c>
      <c r="K538" s="318">
        <v>41.799651162790695</v>
      </c>
      <c r="L538" s="318">
        <v>49.355232301479298</v>
      </c>
      <c r="M538" s="319">
        <v>39.950780382680598</v>
      </c>
      <c r="N538" s="319">
        <v>-1.8488707801100972</v>
      </c>
      <c r="O538" s="319">
        <f t="shared" si="8"/>
        <v>0</v>
      </c>
      <c r="P538" s="317">
        <v>0</v>
      </c>
      <c r="Q538" s="315" t="s">
        <v>1148</v>
      </c>
      <c r="R538" s="318">
        <v>161</v>
      </c>
      <c r="T538" s="320">
        <v>71.666666666666671</v>
      </c>
      <c r="U538" s="318">
        <v>36.4</v>
      </c>
      <c r="V538" s="318">
        <v>16.623636363636361</v>
      </c>
      <c r="W538" s="318">
        <v>9.0436363636363648</v>
      </c>
      <c r="X538" s="315">
        <v>0.22</v>
      </c>
      <c r="Y538" s="318">
        <v>164.530833333</v>
      </c>
      <c r="Z538" s="315">
        <v>8</v>
      </c>
      <c r="AA538" s="315" t="s">
        <v>1149</v>
      </c>
      <c r="AB538" s="315">
        <v>0</v>
      </c>
      <c r="AC538" s="315" t="s">
        <v>1190</v>
      </c>
    </row>
    <row r="539" spans="1:29">
      <c r="A539" s="315" t="s">
        <v>1334</v>
      </c>
      <c r="B539" s="315" t="s">
        <v>1916</v>
      </c>
      <c r="C539" s="329">
        <v>6.5533605555555603</v>
      </c>
      <c r="D539" s="329">
        <v>115.9</v>
      </c>
      <c r="E539" s="316" t="s">
        <v>1924</v>
      </c>
      <c r="F539" s="316" t="s">
        <v>1924</v>
      </c>
      <c r="G539" s="317">
        <v>24.4</v>
      </c>
      <c r="H539" s="317">
        <v>5.0973350000000002</v>
      </c>
      <c r="I539" s="317">
        <v>5.0973350000000002</v>
      </c>
      <c r="J539" s="317">
        <v>5.0973350000000002</v>
      </c>
      <c r="K539" s="318">
        <v>20.890717213114758</v>
      </c>
      <c r="L539" s="318">
        <v>67.010752126549804</v>
      </c>
      <c r="M539" s="319">
        <v>35.683336143190601</v>
      </c>
      <c r="N539" s="319">
        <v>14.792618930075843</v>
      </c>
      <c r="O539" s="319">
        <f t="shared" si="8"/>
        <v>14.792618930075843</v>
      </c>
      <c r="P539" s="317">
        <v>3.6093990189385057</v>
      </c>
      <c r="Q539" s="315" t="s">
        <v>1148</v>
      </c>
      <c r="R539" s="318">
        <v>161</v>
      </c>
      <c r="T539" s="320">
        <v>71.666666666666671</v>
      </c>
      <c r="U539" s="318">
        <v>36.4</v>
      </c>
      <c r="V539" s="318">
        <v>24.025454545454544</v>
      </c>
      <c r="W539" s="318">
        <v>12.920909090909088</v>
      </c>
      <c r="X539" s="315">
        <v>0.249</v>
      </c>
      <c r="Y539" s="318">
        <v>223.90408333333301</v>
      </c>
      <c r="Z539" s="315">
        <v>7</v>
      </c>
      <c r="AA539" s="315" t="s">
        <v>1149</v>
      </c>
      <c r="AB539" s="315">
        <v>0</v>
      </c>
      <c r="AC539" s="315" t="s">
        <v>1190</v>
      </c>
    </row>
    <row r="540" spans="1:29">
      <c r="A540" s="315" t="s">
        <v>1334</v>
      </c>
      <c r="B540" s="315" t="s">
        <v>1916</v>
      </c>
      <c r="C540" s="329">
        <v>6.5403658333333397</v>
      </c>
      <c r="D540" s="329">
        <v>115.9</v>
      </c>
      <c r="E540" s="316" t="s">
        <v>1925</v>
      </c>
      <c r="F540" s="316" t="s">
        <v>1925</v>
      </c>
      <c r="G540" s="317">
        <v>3.2</v>
      </c>
      <c r="H540" s="317">
        <v>0.13</v>
      </c>
      <c r="I540" s="317">
        <v>0.13</v>
      </c>
      <c r="J540" s="317">
        <v>0.13</v>
      </c>
      <c r="K540" s="318">
        <v>4.0625</v>
      </c>
      <c r="L540" s="318">
        <v>78.896082535509095</v>
      </c>
      <c r="M540" s="319">
        <v>25.5685964667775</v>
      </c>
      <c r="N540" s="319">
        <v>21.5060964667775</v>
      </c>
      <c r="O540" s="319">
        <f t="shared" si="8"/>
        <v>21.5060964667775</v>
      </c>
      <c r="P540" s="317">
        <v>0.68819508693688003</v>
      </c>
      <c r="Q540" s="315" t="s">
        <v>1148</v>
      </c>
      <c r="R540" s="318">
        <v>164</v>
      </c>
      <c r="T540" s="320">
        <v>73.333333333333329</v>
      </c>
      <c r="U540" s="318">
        <v>34</v>
      </c>
      <c r="V540" s="318">
        <v>34.71</v>
      </c>
      <c r="W540" s="318">
        <v>9.004999999999999</v>
      </c>
      <c r="X540" s="315">
        <v>0.19</v>
      </c>
      <c r="Y540" s="318">
        <v>100.25266667</v>
      </c>
      <c r="Z540" s="315">
        <v>1</v>
      </c>
      <c r="AA540" s="315" t="s">
        <v>1149</v>
      </c>
      <c r="AB540" s="315">
        <v>0</v>
      </c>
      <c r="AC540" s="315" t="s">
        <v>1190</v>
      </c>
    </row>
    <row r="541" spans="1:29">
      <c r="A541" s="315" t="s">
        <v>1334</v>
      </c>
      <c r="B541" s="315" t="s">
        <v>1916</v>
      </c>
      <c r="C541" s="329">
        <v>6.5273711111111199</v>
      </c>
      <c r="D541" s="329">
        <v>115.9</v>
      </c>
      <c r="E541" s="316" t="s">
        <v>1927</v>
      </c>
      <c r="F541" s="316" t="s">
        <v>1927</v>
      </c>
      <c r="G541" s="317">
        <v>2.2000000000000002</v>
      </c>
      <c r="H541" s="317">
        <v>0</v>
      </c>
      <c r="I541" s="317">
        <v>0</v>
      </c>
      <c r="J541" s="317">
        <v>0</v>
      </c>
      <c r="K541" s="318">
        <v>0</v>
      </c>
      <c r="L541" s="318">
        <v>64.175856736623004</v>
      </c>
      <c r="M541" s="319">
        <v>36.1783304869112</v>
      </c>
      <c r="N541" s="319">
        <v>36.1783304869112</v>
      </c>
      <c r="O541" s="319">
        <f t="shared" si="8"/>
        <v>36.1783304869112</v>
      </c>
      <c r="P541" s="317">
        <v>0.79592327071204638</v>
      </c>
      <c r="Q541" s="315" t="s">
        <v>1168</v>
      </c>
      <c r="R541" s="318">
        <v>164</v>
      </c>
      <c r="T541" s="320">
        <v>73.333333333333329</v>
      </c>
      <c r="U541" s="318">
        <v>34</v>
      </c>
      <c r="V541" s="318">
        <v>33.67</v>
      </c>
      <c r="W541" s="318">
        <v>4.3033333333333337</v>
      </c>
      <c r="X541" s="315">
        <v>0.18099999999999999</v>
      </c>
      <c r="Y541" s="318">
        <v>99.847999999999999</v>
      </c>
      <c r="Z541" s="315">
        <v>0</v>
      </c>
      <c r="AA541" s="315" t="s">
        <v>1149</v>
      </c>
      <c r="AB541" s="315">
        <v>0</v>
      </c>
      <c r="AC541" s="315" t="s">
        <v>1190</v>
      </c>
    </row>
    <row r="542" spans="1:29">
      <c r="A542" s="315" t="s">
        <v>1334</v>
      </c>
      <c r="B542" s="315" t="s">
        <v>1916</v>
      </c>
      <c r="C542" s="329">
        <v>6.5143763888889001</v>
      </c>
      <c r="D542" s="329">
        <v>115.9</v>
      </c>
      <c r="E542" s="316" t="s">
        <v>1928</v>
      </c>
      <c r="F542" s="316" t="s">
        <v>1928</v>
      </c>
      <c r="G542" s="317">
        <v>5.2</v>
      </c>
      <c r="H542" s="317">
        <v>0</v>
      </c>
      <c r="I542" s="317">
        <v>0</v>
      </c>
      <c r="J542" s="317">
        <v>0</v>
      </c>
      <c r="K542" s="318">
        <v>0</v>
      </c>
      <c r="L542" s="318">
        <v>0</v>
      </c>
      <c r="M542" s="319">
        <v>0</v>
      </c>
      <c r="N542" s="319">
        <v>0</v>
      </c>
      <c r="O542" s="319">
        <f t="shared" si="8"/>
        <v>0</v>
      </c>
      <c r="P542" s="317">
        <v>0</v>
      </c>
      <c r="Q542" s="315" t="s">
        <v>1168</v>
      </c>
      <c r="R542" s="318">
        <v>164</v>
      </c>
      <c r="T542" s="320">
        <v>73.333333333333329</v>
      </c>
      <c r="U542" s="318">
        <v>34</v>
      </c>
      <c r="V542" s="318">
        <v>16.739999999999998</v>
      </c>
      <c r="W542" s="318">
        <v>0.94333333333333336</v>
      </c>
      <c r="X542" s="315">
        <v>0.19500000000000001</v>
      </c>
      <c r="Y542" s="318">
        <v>182.8856667</v>
      </c>
      <c r="Z542" s="315">
        <v>0</v>
      </c>
      <c r="AA542" s="315" t="s">
        <v>1149</v>
      </c>
      <c r="AB542" s="315">
        <v>0</v>
      </c>
      <c r="AC542" s="315" t="s">
        <v>1190</v>
      </c>
    </row>
    <row r="543" spans="1:29">
      <c r="A543" s="315" t="s">
        <v>1334</v>
      </c>
      <c r="B543" s="315" t="s">
        <v>1916</v>
      </c>
      <c r="C543" s="329">
        <v>6.5013816666666804</v>
      </c>
      <c r="D543" s="329">
        <v>115.9</v>
      </c>
      <c r="E543" s="316" t="s">
        <v>1930</v>
      </c>
      <c r="F543" s="316" t="s">
        <v>1930</v>
      </c>
      <c r="G543" s="317">
        <v>0.6</v>
      </c>
      <c r="H543" s="317">
        <v>0</v>
      </c>
      <c r="I543" s="317">
        <v>0</v>
      </c>
      <c r="J543" s="317">
        <v>0</v>
      </c>
      <c r="K543" s="318">
        <v>0</v>
      </c>
      <c r="L543" s="318">
        <v>65.110779718714198</v>
      </c>
      <c r="M543" s="319">
        <v>34.811476565680302</v>
      </c>
      <c r="N543" s="319">
        <v>34.811476565680302</v>
      </c>
      <c r="O543" s="319">
        <f t="shared" si="8"/>
        <v>34.811476565680302</v>
      </c>
      <c r="P543" s="317">
        <v>0.20886885939408179</v>
      </c>
      <c r="Q543" s="315" t="s">
        <v>1168</v>
      </c>
      <c r="R543" s="318">
        <v>164</v>
      </c>
      <c r="T543" s="320">
        <v>73.333333333333329</v>
      </c>
      <c r="U543" s="318">
        <v>37.1</v>
      </c>
      <c r="V543" s="318">
        <v>3.6950000000000003</v>
      </c>
      <c r="W543" s="318">
        <v>1.2149999999999999</v>
      </c>
      <c r="X543" s="315">
        <v>0.192</v>
      </c>
      <c r="Y543" s="318">
        <v>89.343500000000006</v>
      </c>
      <c r="Z543" s="315">
        <v>1</v>
      </c>
      <c r="AA543" s="315" t="s">
        <v>1149</v>
      </c>
      <c r="AB543" s="315">
        <v>0</v>
      </c>
      <c r="AC543" s="315" t="s">
        <v>1190</v>
      </c>
    </row>
    <row r="544" spans="1:29">
      <c r="A544" s="315" t="s">
        <v>1334</v>
      </c>
      <c r="B544" s="315" t="s">
        <v>1916</v>
      </c>
      <c r="C544" s="329">
        <v>6.4883869444444597</v>
      </c>
      <c r="D544" s="329">
        <v>115.9</v>
      </c>
      <c r="E544" s="316" t="s">
        <v>1932</v>
      </c>
      <c r="F544" s="316" t="s">
        <v>1932</v>
      </c>
      <c r="G544" s="317">
        <v>1.7</v>
      </c>
      <c r="H544" s="317">
        <v>0.71</v>
      </c>
      <c r="I544" s="317">
        <v>0.71</v>
      </c>
      <c r="J544" s="317">
        <v>0.71</v>
      </c>
      <c r="K544" s="318">
        <v>41.764705882352942</v>
      </c>
      <c r="L544" s="318">
        <v>57.386441117319201</v>
      </c>
      <c r="M544" s="319">
        <v>37.142716142625702</v>
      </c>
      <c r="N544" s="319">
        <v>-4.6219897397272405</v>
      </c>
      <c r="O544" s="319">
        <f t="shared" si="8"/>
        <v>0</v>
      </c>
      <c r="P544" s="317">
        <v>0</v>
      </c>
      <c r="Q544" s="315" t="s">
        <v>1148</v>
      </c>
      <c r="R544" s="318">
        <v>166</v>
      </c>
      <c r="T544" s="320">
        <v>74.444444444444443</v>
      </c>
      <c r="U544" s="318">
        <v>47</v>
      </c>
      <c r="V544" s="318">
        <v>15.875</v>
      </c>
      <c r="W544" s="318">
        <v>14.674999999999999</v>
      </c>
      <c r="X544" s="315">
        <v>0.22101417322834646</v>
      </c>
      <c r="Y544" s="318">
        <v>355.39800000000002</v>
      </c>
      <c r="Z544" s="315">
        <v>1</v>
      </c>
      <c r="AA544" s="315" t="s">
        <v>1149</v>
      </c>
      <c r="AB544" s="315">
        <v>0</v>
      </c>
      <c r="AC544" s="315" t="s">
        <v>1190</v>
      </c>
    </row>
    <row r="545" spans="1:29">
      <c r="A545" s="315" t="s">
        <v>1334</v>
      </c>
      <c r="B545" s="315" t="s">
        <v>1916</v>
      </c>
      <c r="C545" s="329">
        <v>6.47539222222224</v>
      </c>
      <c r="D545" s="329">
        <v>115.9</v>
      </c>
      <c r="E545" s="316" t="s">
        <v>1933</v>
      </c>
      <c r="F545" s="316" t="s">
        <v>1933</v>
      </c>
      <c r="G545" s="317">
        <v>11.3</v>
      </c>
      <c r="H545" s="317">
        <v>4.293075</v>
      </c>
      <c r="I545" s="317">
        <v>4.293075</v>
      </c>
      <c r="J545" s="317">
        <v>4.293075</v>
      </c>
      <c r="K545" s="318">
        <v>37.991814159292034</v>
      </c>
      <c r="L545" s="318">
        <v>54.705622272053603</v>
      </c>
      <c r="M545" s="319">
        <v>38.408305013325098</v>
      </c>
      <c r="N545" s="319">
        <v>0.41649085403306429</v>
      </c>
      <c r="O545" s="319">
        <f t="shared" si="8"/>
        <v>0.41649085403306429</v>
      </c>
      <c r="P545" s="317">
        <v>4.7063466505736271E-2</v>
      </c>
      <c r="Q545" s="315" t="s">
        <v>1148</v>
      </c>
      <c r="R545" s="318">
        <v>166</v>
      </c>
      <c r="T545" s="320">
        <v>74.444444444444443</v>
      </c>
      <c r="U545" s="318">
        <v>47</v>
      </c>
      <c r="V545" s="318">
        <v>19.14</v>
      </c>
      <c r="W545" s="318">
        <v>13.981666666666669</v>
      </c>
      <c r="X545" s="315">
        <v>0.22016614420062694</v>
      </c>
      <c r="Y545" s="318">
        <v>351.529</v>
      </c>
      <c r="Z545" s="315">
        <v>3</v>
      </c>
      <c r="AA545" s="315" t="s">
        <v>1149</v>
      </c>
      <c r="AB545" s="315">
        <v>0</v>
      </c>
      <c r="AC545" s="315" t="s">
        <v>1190</v>
      </c>
    </row>
    <row r="546" spans="1:29">
      <c r="A546" s="315" t="s">
        <v>1334</v>
      </c>
      <c r="B546" s="315" t="s">
        <v>1916</v>
      </c>
      <c r="C546" s="329">
        <v>6.4623975000000202</v>
      </c>
      <c r="D546" s="329">
        <v>115.9</v>
      </c>
      <c r="E546" s="316" t="s">
        <v>1935</v>
      </c>
      <c r="F546" s="316" t="s">
        <v>1935</v>
      </c>
      <c r="G546" s="317">
        <v>3</v>
      </c>
      <c r="H546" s="317">
        <v>0.56160500000000002</v>
      </c>
      <c r="I546" s="317">
        <v>0.56160500000000002</v>
      </c>
      <c r="J546" s="317">
        <v>0.56160500000000002</v>
      </c>
      <c r="K546" s="318">
        <v>18.720166666666668</v>
      </c>
      <c r="L546" s="318">
        <v>0</v>
      </c>
      <c r="M546" s="319">
        <v>0</v>
      </c>
      <c r="N546" s="319">
        <v>-18.720166666666668</v>
      </c>
      <c r="O546" s="319">
        <f t="shared" si="8"/>
        <v>0</v>
      </c>
      <c r="P546" s="317">
        <v>0</v>
      </c>
      <c r="Q546" s="315" t="s">
        <v>1148</v>
      </c>
      <c r="R546" s="318">
        <v>166</v>
      </c>
      <c r="T546" s="320">
        <v>74.444444444444443</v>
      </c>
      <c r="U546" s="318">
        <v>47</v>
      </c>
      <c r="V546" s="318">
        <v>11.871666666666664</v>
      </c>
      <c r="W546" s="318">
        <v>2.0783333333333336</v>
      </c>
      <c r="X546" s="315">
        <v>0.23211217183770891</v>
      </c>
      <c r="Y546" s="318">
        <v>507.03733</v>
      </c>
      <c r="Z546" s="315">
        <v>1</v>
      </c>
      <c r="AA546" s="315" t="s">
        <v>1149</v>
      </c>
      <c r="AB546" s="315">
        <v>0</v>
      </c>
      <c r="AC546" s="315" t="s">
        <v>1190</v>
      </c>
    </row>
    <row r="547" spans="1:29">
      <c r="A547" s="315" t="s">
        <v>1334</v>
      </c>
      <c r="B547" s="315" t="s">
        <v>1916</v>
      </c>
      <c r="C547" s="329">
        <v>6.4494027777777996</v>
      </c>
      <c r="D547" s="329">
        <v>115.9</v>
      </c>
      <c r="E547" s="316" t="s">
        <v>1936</v>
      </c>
      <c r="F547" s="316" t="s">
        <v>1936</v>
      </c>
      <c r="G547" s="317">
        <v>3.2</v>
      </c>
      <c r="H547" s="317">
        <v>0.38259300000000002</v>
      </c>
      <c r="I547" s="317">
        <v>0.38259300000000002</v>
      </c>
      <c r="J547" s="317">
        <v>0.38259300000000002</v>
      </c>
      <c r="K547" s="318">
        <v>11.956031250000001</v>
      </c>
      <c r="L547" s="318">
        <v>66.576524212692206</v>
      </c>
      <c r="M547" s="319">
        <v>33.525087681956499</v>
      </c>
      <c r="N547" s="319">
        <v>21.569056431956497</v>
      </c>
      <c r="O547" s="319">
        <f t="shared" si="8"/>
        <v>21.569056431956497</v>
      </c>
      <c r="P547" s="317">
        <v>0.69020980582260794</v>
      </c>
      <c r="Q547" s="315" t="s">
        <v>1148</v>
      </c>
      <c r="R547" s="318">
        <v>166</v>
      </c>
      <c r="T547" s="320">
        <v>74.444444444444443</v>
      </c>
      <c r="U547" s="318">
        <v>36.4</v>
      </c>
      <c r="V547" s="318">
        <v>6.3250000000000002</v>
      </c>
      <c r="W547" s="318">
        <v>1.4166666666666667</v>
      </c>
      <c r="X547" s="315">
        <v>0.2</v>
      </c>
      <c r="Y547" s="318">
        <v>27.00816</v>
      </c>
      <c r="Z547" s="315">
        <v>0</v>
      </c>
      <c r="AA547" s="315" t="s">
        <v>1149</v>
      </c>
      <c r="AB547" s="315">
        <v>0</v>
      </c>
      <c r="AC547" s="315" t="s">
        <v>1190</v>
      </c>
    </row>
    <row r="548" spans="1:29">
      <c r="A548" s="315" t="s">
        <v>1334</v>
      </c>
      <c r="B548" s="315" t="s">
        <v>1916</v>
      </c>
      <c r="C548" s="329">
        <v>6.4364080555555798</v>
      </c>
      <c r="D548" s="329">
        <v>115.9</v>
      </c>
      <c r="E548" s="316" t="s">
        <v>1937</v>
      </c>
      <c r="F548" s="316" t="s">
        <v>1937</v>
      </c>
      <c r="G548" s="317">
        <v>4.5999999999999996</v>
      </c>
      <c r="H548" s="317">
        <v>0</v>
      </c>
      <c r="I548" s="317">
        <v>0</v>
      </c>
      <c r="J548" s="317">
        <v>0</v>
      </c>
      <c r="K548" s="318">
        <v>0</v>
      </c>
      <c r="L548" s="318">
        <v>51.921393371784397</v>
      </c>
      <c r="M548" s="319">
        <v>38.012591478758502</v>
      </c>
      <c r="N548" s="319">
        <v>38.012591478758502</v>
      </c>
      <c r="O548" s="319">
        <f t="shared" si="8"/>
        <v>38.012591478758502</v>
      </c>
      <c r="P548" s="317">
        <v>1.7485792080228908</v>
      </c>
      <c r="Q548" s="315" t="s">
        <v>1168</v>
      </c>
      <c r="R548" s="318">
        <v>166</v>
      </c>
      <c r="T548" s="320">
        <v>74.444444444444443</v>
      </c>
      <c r="U548" s="318">
        <v>36.4</v>
      </c>
      <c r="V548" s="318">
        <v>11.168333333333331</v>
      </c>
      <c r="W548" s="318">
        <v>5.44</v>
      </c>
      <c r="X548" s="315">
        <v>0.19065870765557383</v>
      </c>
      <c r="Y548" s="318">
        <v>146.90819999999999</v>
      </c>
      <c r="Z548" s="315">
        <v>0</v>
      </c>
      <c r="AA548" s="315" t="s">
        <v>1149</v>
      </c>
      <c r="AB548" s="315">
        <v>0</v>
      </c>
      <c r="AC548" s="315" t="s">
        <v>1190</v>
      </c>
    </row>
    <row r="549" spans="1:29">
      <c r="A549" s="315" t="s">
        <v>1334</v>
      </c>
      <c r="B549" s="315" t="s">
        <v>1916</v>
      </c>
      <c r="C549" s="329">
        <v>6.4234133333333601</v>
      </c>
      <c r="D549" s="329">
        <v>115.9</v>
      </c>
      <c r="E549" s="316" t="s">
        <v>1938</v>
      </c>
      <c r="F549" s="316" t="s">
        <v>1938</v>
      </c>
      <c r="G549" s="317">
        <v>4</v>
      </c>
      <c r="H549" s="317">
        <v>0.39402900000000002</v>
      </c>
      <c r="I549" s="317">
        <v>0.39402900000000002</v>
      </c>
      <c r="J549" s="317">
        <v>0.39402900000000002</v>
      </c>
      <c r="K549" s="318">
        <v>9.8507250000000006</v>
      </c>
      <c r="L549" s="318">
        <v>61.579064721696902</v>
      </c>
      <c r="M549" s="319">
        <v>35.797502817595401</v>
      </c>
      <c r="N549" s="319">
        <v>25.9467778175954</v>
      </c>
      <c r="O549" s="319">
        <f t="shared" si="8"/>
        <v>25.9467778175954</v>
      </c>
      <c r="P549" s="317">
        <v>1.037871112703816</v>
      </c>
      <c r="Q549" s="315" t="s">
        <v>1148</v>
      </c>
      <c r="R549" s="318">
        <v>169</v>
      </c>
      <c r="T549" s="320">
        <v>76.111111111111114</v>
      </c>
      <c r="U549" s="318">
        <v>36.4</v>
      </c>
      <c r="V549" s="318">
        <v>1.7649999999999999</v>
      </c>
      <c r="W549" s="318">
        <v>0.87850000000000006</v>
      </c>
      <c r="X549" s="315">
        <v>0.20799999999999999</v>
      </c>
      <c r="Y549" s="318">
        <v>96.161574999999999</v>
      </c>
      <c r="Z549" s="315">
        <v>1</v>
      </c>
      <c r="AA549" s="315" t="s">
        <v>1149</v>
      </c>
      <c r="AB549" s="315">
        <v>0</v>
      </c>
      <c r="AC549" s="315" t="s">
        <v>1190</v>
      </c>
    </row>
    <row r="550" spans="1:29">
      <c r="A550" s="315" t="s">
        <v>1334</v>
      </c>
      <c r="B550" s="315" t="s">
        <v>1916</v>
      </c>
      <c r="C550" s="329">
        <v>6.4104186111111403</v>
      </c>
      <c r="D550" s="329">
        <v>115.9</v>
      </c>
      <c r="E550" s="316" t="s">
        <v>1940</v>
      </c>
      <c r="F550" s="316" t="s">
        <v>1940</v>
      </c>
      <c r="G550" s="317">
        <v>1.2</v>
      </c>
      <c r="H550" s="317">
        <v>7.7200000000000001E-4</v>
      </c>
      <c r="I550" s="317">
        <v>7.7200000000000001E-4</v>
      </c>
      <c r="J550" s="317">
        <v>7.7200000000000001E-4</v>
      </c>
      <c r="K550" s="318">
        <v>6.4333333333333326E-2</v>
      </c>
      <c r="L550" s="318">
        <v>56.102854745746903</v>
      </c>
      <c r="M550" s="319">
        <v>33.195797332666601</v>
      </c>
      <c r="N550" s="319">
        <v>33.13146399933327</v>
      </c>
      <c r="O550" s="319">
        <f t="shared" si="8"/>
        <v>33.13146399933327</v>
      </c>
      <c r="P550" s="317">
        <v>0.39757756799199923</v>
      </c>
      <c r="Q550" s="315" t="s">
        <v>1148</v>
      </c>
      <c r="R550" s="318">
        <v>169</v>
      </c>
      <c r="T550" s="320">
        <v>76.111111111111114</v>
      </c>
      <c r="U550" s="318">
        <v>36.4</v>
      </c>
      <c r="V550" s="318">
        <v>10.878</v>
      </c>
      <c r="W550" s="318">
        <v>2.7049999999999996</v>
      </c>
      <c r="X550" s="315">
        <v>0.216</v>
      </c>
      <c r="Y550" s="318">
        <v>74.506249999999994</v>
      </c>
      <c r="Z550" s="315">
        <v>1</v>
      </c>
      <c r="AA550" s="315" t="s">
        <v>1149</v>
      </c>
      <c r="AB550" s="315">
        <v>0</v>
      </c>
      <c r="AC550" s="315" t="s">
        <v>1190</v>
      </c>
    </row>
    <row r="551" spans="1:29">
      <c r="A551" s="315" t="s">
        <v>1334</v>
      </c>
      <c r="B551" s="315" t="s">
        <v>1916</v>
      </c>
      <c r="C551" s="329">
        <v>6.3974238888889197</v>
      </c>
      <c r="D551" s="329">
        <v>115.9</v>
      </c>
      <c r="E551" s="316" t="s">
        <v>1941</v>
      </c>
      <c r="F551" s="316" t="s">
        <v>1941</v>
      </c>
      <c r="G551" s="317">
        <v>10.1</v>
      </c>
      <c r="H551" s="317">
        <v>4.9767609999999998</v>
      </c>
      <c r="I551" s="317">
        <v>4.9767609999999998</v>
      </c>
      <c r="J551" s="317">
        <v>4.9767609999999998</v>
      </c>
      <c r="K551" s="318">
        <v>49.27486138613861</v>
      </c>
      <c r="L551" s="318">
        <v>67.623195037537201</v>
      </c>
      <c r="M551" s="319">
        <v>35.555588313410205</v>
      </c>
      <c r="N551" s="319">
        <v>-13.719273072728406</v>
      </c>
      <c r="O551" s="319">
        <f t="shared" si="8"/>
        <v>0</v>
      </c>
      <c r="P551" s="317">
        <v>0</v>
      </c>
      <c r="Q551" s="315" t="s">
        <v>1148</v>
      </c>
      <c r="R551" s="318">
        <v>169</v>
      </c>
      <c r="T551" s="320">
        <v>76.111111111111114</v>
      </c>
      <c r="U551" s="318">
        <v>36.4</v>
      </c>
      <c r="V551" s="318">
        <v>47.308181818181829</v>
      </c>
      <c r="W551" s="318">
        <v>7.507272727272726</v>
      </c>
      <c r="X551" s="315">
        <v>0.21099999999999999</v>
      </c>
      <c r="Y551" s="318">
        <v>266.4479</v>
      </c>
      <c r="Z551" s="315">
        <v>4</v>
      </c>
      <c r="AA551" s="315" t="s">
        <v>1149</v>
      </c>
      <c r="AB551" s="315">
        <v>0</v>
      </c>
      <c r="AC551" s="315" t="s">
        <v>1190</v>
      </c>
    </row>
    <row r="552" spans="1:29">
      <c r="A552" s="315" t="s">
        <v>1334</v>
      </c>
      <c r="B552" s="315" t="s">
        <v>1916</v>
      </c>
      <c r="C552" s="329">
        <v>6.3844291666666999</v>
      </c>
      <c r="D552" s="329">
        <v>115.9</v>
      </c>
      <c r="E552" s="316" t="s">
        <v>1942</v>
      </c>
      <c r="F552" s="316" t="s">
        <v>1942</v>
      </c>
      <c r="G552" s="317">
        <v>20.7</v>
      </c>
      <c r="H552" s="317">
        <v>6.7371999999999996</v>
      </c>
      <c r="I552" s="317">
        <v>6.7371999999999996</v>
      </c>
      <c r="J552" s="317">
        <v>6.7371999999999996</v>
      </c>
      <c r="K552" s="318">
        <v>32.546859903381645</v>
      </c>
      <c r="L552" s="318">
        <v>60.134762173715302</v>
      </c>
      <c r="M552" s="319">
        <v>37.245096689569898</v>
      </c>
      <c r="N552" s="319">
        <v>4.6982367861882537</v>
      </c>
      <c r="O552" s="319">
        <f t="shared" si="8"/>
        <v>4.6982367861882537</v>
      </c>
      <c r="P552" s="317">
        <v>0.97253501474096848</v>
      </c>
      <c r="Q552" s="315" t="s">
        <v>1148</v>
      </c>
      <c r="R552" s="318">
        <v>171</v>
      </c>
      <c r="T552" s="320">
        <v>77.222222222222229</v>
      </c>
      <c r="U552" s="318">
        <v>38.200000000000003</v>
      </c>
      <c r="V552" s="318">
        <v>18.099090909090911</v>
      </c>
      <c r="W552" s="318">
        <v>6.875454545454545</v>
      </c>
      <c r="X552" s="315">
        <v>0.2</v>
      </c>
      <c r="Y552" s="318">
        <v>343.65550000000002</v>
      </c>
      <c r="Z552" s="315">
        <v>5</v>
      </c>
      <c r="AA552" s="315" t="s">
        <v>1149</v>
      </c>
      <c r="AB552" s="315">
        <v>0</v>
      </c>
      <c r="AC552" s="315" t="s">
        <v>1190</v>
      </c>
    </row>
    <row r="553" spans="1:29">
      <c r="A553" s="315" t="s">
        <v>1334</v>
      </c>
      <c r="B553" s="315" t="s">
        <v>1916</v>
      </c>
      <c r="C553" s="329">
        <v>6.3714344444444801</v>
      </c>
      <c r="D553" s="329">
        <v>115.9</v>
      </c>
      <c r="E553" s="316" t="s">
        <v>1944</v>
      </c>
      <c r="F553" s="316" t="s">
        <v>1944</v>
      </c>
      <c r="G553" s="317">
        <v>21.7</v>
      </c>
      <c r="H553" s="317">
        <v>6.5083359999999999</v>
      </c>
      <c r="I553" s="317">
        <v>6.5083359999999999</v>
      </c>
      <c r="J553" s="317">
        <v>6.5083359999999999</v>
      </c>
      <c r="K553" s="318">
        <v>29.992331797235021</v>
      </c>
      <c r="L553" s="318">
        <v>50.041903468851402</v>
      </c>
      <c r="M553" s="319">
        <v>39.660960109248698</v>
      </c>
      <c r="N553" s="319">
        <v>9.6686283120136771</v>
      </c>
      <c r="O553" s="319">
        <f t="shared" si="8"/>
        <v>9.6686283120136771</v>
      </c>
      <c r="P553" s="317">
        <v>2.0980923437069681</v>
      </c>
      <c r="Q553" s="315" t="s">
        <v>1148</v>
      </c>
      <c r="R553" s="318">
        <v>192</v>
      </c>
      <c r="T553" s="320">
        <v>88.888888888888886</v>
      </c>
      <c r="U553" s="318">
        <v>37</v>
      </c>
      <c r="V553" s="318">
        <v>34.787142857142861</v>
      </c>
      <c r="W553" s="318">
        <v>31.748571428571431</v>
      </c>
      <c r="X553" s="315">
        <v>0.19800000000000001</v>
      </c>
      <c r="Y553" s="318">
        <v>221.54033329999999</v>
      </c>
      <c r="Z553" s="315">
        <v>6</v>
      </c>
      <c r="AA553" s="315" t="s">
        <v>1149</v>
      </c>
      <c r="AB553" s="315">
        <v>0</v>
      </c>
      <c r="AC553" s="315" t="s">
        <v>1190</v>
      </c>
    </row>
    <row r="554" spans="1:29">
      <c r="A554" s="315" t="s">
        <v>1334</v>
      </c>
      <c r="B554" s="315" t="s">
        <v>1916</v>
      </c>
      <c r="C554" s="329">
        <v>6.3584397222222604</v>
      </c>
      <c r="D554" s="329">
        <v>115.9</v>
      </c>
      <c r="E554" s="316" t="s">
        <v>1945</v>
      </c>
      <c r="F554" s="316" t="s">
        <v>1945</v>
      </c>
      <c r="G554" s="317">
        <v>9.1</v>
      </c>
      <c r="H554" s="317">
        <v>2.5331350000000001</v>
      </c>
      <c r="I554" s="317">
        <v>2.5331350000000001</v>
      </c>
      <c r="J554" s="317">
        <v>2.5331350000000001</v>
      </c>
      <c r="K554" s="318">
        <v>27.836648351648353</v>
      </c>
      <c r="L554" s="318">
        <v>51.9776834791803</v>
      </c>
      <c r="M554" s="319">
        <v>38.800433714094602</v>
      </c>
      <c r="N554" s="319">
        <v>10.963785362446249</v>
      </c>
      <c r="O554" s="319">
        <f t="shared" si="8"/>
        <v>10.963785362446249</v>
      </c>
      <c r="P554" s="317">
        <v>0.99770446798260859</v>
      </c>
      <c r="Q554" s="315" t="s">
        <v>1148</v>
      </c>
      <c r="R554" s="318">
        <v>192</v>
      </c>
      <c r="T554" s="320">
        <v>88.888888888888886</v>
      </c>
      <c r="U554" s="318">
        <v>37</v>
      </c>
      <c r="V554" s="318">
        <v>16.832448979591838</v>
      </c>
      <c r="W554" s="318">
        <v>13.009795918367347</v>
      </c>
      <c r="X554" s="315">
        <v>0.20599999999999999</v>
      </c>
      <c r="Y554" s="318">
        <v>125.30800000000001</v>
      </c>
      <c r="Z554" s="315">
        <v>5</v>
      </c>
      <c r="AA554" s="315" t="s">
        <v>1149</v>
      </c>
      <c r="AB554" s="315">
        <v>0</v>
      </c>
      <c r="AC554" s="315" t="s">
        <v>1190</v>
      </c>
    </row>
    <row r="555" spans="1:29">
      <c r="A555" s="315" t="s">
        <v>1334</v>
      </c>
      <c r="B555" s="315" t="s">
        <v>1916</v>
      </c>
      <c r="C555" s="329">
        <v>6.3454450000000504</v>
      </c>
      <c r="D555" s="329">
        <v>115.9</v>
      </c>
      <c r="E555" s="316" t="s">
        <v>1946</v>
      </c>
      <c r="F555" s="316" t="s">
        <v>1946</v>
      </c>
      <c r="G555" s="317">
        <v>1.6</v>
      </c>
      <c r="H555" s="317">
        <v>0</v>
      </c>
      <c r="I555" s="317">
        <v>0</v>
      </c>
      <c r="J555" s="317">
        <v>0</v>
      </c>
      <c r="K555" s="318">
        <v>0</v>
      </c>
      <c r="L555" s="318">
        <v>60.564740216078</v>
      </c>
      <c r="M555" s="319">
        <v>34.228527587588999</v>
      </c>
      <c r="N555" s="319">
        <v>34.228527587588999</v>
      </c>
      <c r="O555" s="319">
        <f t="shared" si="8"/>
        <v>34.228527587588999</v>
      </c>
      <c r="P555" s="317">
        <v>0.547656441401424</v>
      </c>
      <c r="Q555" s="315" t="s">
        <v>1168</v>
      </c>
      <c r="R555" s="318">
        <v>192</v>
      </c>
      <c r="T555" s="320">
        <v>88.888888888888886</v>
      </c>
      <c r="U555" s="318">
        <v>37</v>
      </c>
      <c r="V555" s="318">
        <v>5.9566666666666661</v>
      </c>
      <c r="W555" s="318">
        <v>3.0549999999999997</v>
      </c>
      <c r="X555" s="315">
        <v>0.16900000000000001</v>
      </c>
      <c r="Y555" s="318">
        <v>16.888874999999999</v>
      </c>
      <c r="Z555" s="315">
        <v>0</v>
      </c>
      <c r="AA555" s="315" t="s">
        <v>1149</v>
      </c>
      <c r="AB555" s="315">
        <v>0</v>
      </c>
      <c r="AC555" s="315" t="s">
        <v>1190</v>
      </c>
    </row>
    <row r="556" spans="1:29">
      <c r="A556" s="315" t="s">
        <v>1334</v>
      </c>
      <c r="B556" s="315" t="s">
        <v>1916</v>
      </c>
      <c r="C556" s="329">
        <v>6.3324502777778298</v>
      </c>
      <c r="D556" s="329">
        <v>115.9</v>
      </c>
      <c r="E556" s="316" t="s">
        <v>1947</v>
      </c>
      <c r="F556" s="316" t="s">
        <v>1947</v>
      </c>
      <c r="G556" s="317">
        <v>3.6</v>
      </c>
      <c r="H556" s="317">
        <v>0.95797299999999996</v>
      </c>
      <c r="I556" s="317">
        <v>0.95797299999999996</v>
      </c>
      <c r="J556" s="317">
        <v>0.95797299999999996</v>
      </c>
      <c r="K556" s="318">
        <v>26.610361111111107</v>
      </c>
      <c r="L556" s="318">
        <v>0</v>
      </c>
      <c r="M556" s="319">
        <v>0</v>
      </c>
      <c r="N556" s="319">
        <v>-26.610361111111107</v>
      </c>
      <c r="O556" s="319">
        <f t="shared" si="8"/>
        <v>0</v>
      </c>
      <c r="P556" s="317">
        <v>0</v>
      </c>
      <c r="Q556" s="315" t="s">
        <v>1148</v>
      </c>
      <c r="R556" s="318">
        <v>192</v>
      </c>
      <c r="T556" s="320">
        <v>88.888888888888886</v>
      </c>
      <c r="U556" s="318">
        <v>37</v>
      </c>
      <c r="V556" s="318">
        <v>10.549999999999999</v>
      </c>
      <c r="W556" s="318">
        <v>5.665</v>
      </c>
      <c r="X556" s="315">
        <v>0.2</v>
      </c>
      <c r="Y556" s="318">
        <v>30.860749999999999</v>
      </c>
      <c r="Z556" s="315">
        <v>2</v>
      </c>
      <c r="AA556" s="315" t="s">
        <v>1149</v>
      </c>
      <c r="AB556" s="315">
        <v>0</v>
      </c>
      <c r="AC556" s="315" t="s">
        <v>1190</v>
      </c>
    </row>
    <row r="557" spans="1:29">
      <c r="A557" s="315" t="s">
        <v>1334</v>
      </c>
      <c r="B557" s="315" t="s">
        <v>1916</v>
      </c>
      <c r="C557" s="329">
        <v>6.31945555555561</v>
      </c>
      <c r="D557" s="329">
        <v>115.9</v>
      </c>
      <c r="E557" s="316" t="s">
        <v>1948</v>
      </c>
      <c r="F557" s="316" t="s">
        <v>1948</v>
      </c>
      <c r="G557" s="317">
        <v>2.58</v>
      </c>
      <c r="H557" s="317">
        <v>0</v>
      </c>
      <c r="I557" s="317">
        <v>0</v>
      </c>
      <c r="J557" s="317">
        <v>0</v>
      </c>
      <c r="K557" s="318">
        <v>0</v>
      </c>
      <c r="L557" s="318">
        <v>0</v>
      </c>
      <c r="M557" s="319">
        <v>0</v>
      </c>
      <c r="N557" s="319">
        <v>0</v>
      </c>
      <c r="O557" s="319">
        <f t="shared" si="8"/>
        <v>0</v>
      </c>
      <c r="P557" s="317">
        <v>0</v>
      </c>
      <c r="Q557" s="315" t="s">
        <v>1168</v>
      </c>
      <c r="R557" s="318">
        <v>195</v>
      </c>
      <c r="T557" s="320">
        <v>90.555555555555557</v>
      </c>
      <c r="U557" s="318">
        <v>39</v>
      </c>
      <c r="V557" s="318">
        <v>0.26666666666666666</v>
      </c>
      <c r="W557" s="318">
        <v>0.18999999999999997</v>
      </c>
      <c r="X557" s="315">
        <v>0.16800000000000001</v>
      </c>
      <c r="Y557" s="318">
        <v>2.95675</v>
      </c>
      <c r="Z557" s="315">
        <v>1</v>
      </c>
      <c r="AA557" s="315" t="s">
        <v>1149</v>
      </c>
      <c r="AB557" s="315">
        <v>0</v>
      </c>
      <c r="AC557" s="315" t="s">
        <v>1190</v>
      </c>
    </row>
    <row r="558" spans="1:29">
      <c r="A558" s="315" t="s">
        <v>1334</v>
      </c>
      <c r="B558" s="315" t="s">
        <v>1916</v>
      </c>
      <c r="C558" s="329">
        <v>6.3064608333333902</v>
      </c>
      <c r="D558" s="329">
        <v>115.9</v>
      </c>
      <c r="E558" s="316" t="s">
        <v>1949</v>
      </c>
      <c r="F558" s="316" t="s">
        <v>1949</v>
      </c>
      <c r="G558" s="317">
        <v>1.36</v>
      </c>
      <c r="H558" s="317">
        <v>0</v>
      </c>
      <c r="I558" s="317">
        <v>0</v>
      </c>
      <c r="J558" s="317">
        <v>0</v>
      </c>
      <c r="K558" s="318">
        <v>0</v>
      </c>
      <c r="L558" s="318">
        <v>81.107018223249796</v>
      </c>
      <c r="M558" s="319">
        <v>23.977804496058599</v>
      </c>
      <c r="N558" s="319">
        <v>23.977804496058599</v>
      </c>
      <c r="O558" s="319">
        <f t="shared" si="8"/>
        <v>23.977804496058599</v>
      </c>
      <c r="P558" s="317">
        <v>0.32609814114639696</v>
      </c>
      <c r="Q558" s="315" t="s">
        <v>1168</v>
      </c>
      <c r="R558" s="318">
        <v>195</v>
      </c>
      <c r="T558" s="320">
        <v>90.555555555555557</v>
      </c>
      <c r="U558" s="318">
        <v>39</v>
      </c>
      <c r="V558" s="318">
        <v>7.8833333333333337</v>
      </c>
      <c r="W558" s="318">
        <v>1.8433333333333299</v>
      </c>
      <c r="X558" s="315">
        <v>0.23345794392523361</v>
      </c>
      <c r="Y558" s="318">
        <v>60.787750000000003</v>
      </c>
      <c r="Z558" s="315">
        <v>1</v>
      </c>
      <c r="AA558" s="315" t="s">
        <v>1149</v>
      </c>
      <c r="AB558" s="315">
        <v>0</v>
      </c>
      <c r="AC558" s="315" t="s">
        <v>1190</v>
      </c>
    </row>
    <row r="559" spans="1:29">
      <c r="A559" s="315" t="s">
        <v>1334</v>
      </c>
      <c r="B559" s="315" t="s">
        <v>1916</v>
      </c>
      <c r="C559" s="329">
        <v>6.2934661111111696</v>
      </c>
      <c r="D559" s="329">
        <v>115.9</v>
      </c>
      <c r="E559" s="316" t="s">
        <v>1950</v>
      </c>
      <c r="F559" s="316" t="s">
        <v>1950</v>
      </c>
      <c r="G559" s="317">
        <v>6.7</v>
      </c>
      <c r="H559" s="317">
        <v>1.78</v>
      </c>
      <c r="I559" s="317">
        <v>1.78</v>
      </c>
      <c r="J559" s="317">
        <v>1.78</v>
      </c>
      <c r="K559" s="318">
        <v>26.567164179104481</v>
      </c>
      <c r="L559" s="318">
        <v>56.929386328720099</v>
      </c>
      <c r="M559" s="319">
        <v>37.735270860311502</v>
      </c>
      <c r="N559" s="319">
        <v>11.168106681207021</v>
      </c>
      <c r="O559" s="319">
        <f t="shared" si="8"/>
        <v>11.168106681207021</v>
      </c>
      <c r="P559" s="317">
        <v>0.74826314764087043</v>
      </c>
      <c r="Q559" s="315" t="s">
        <v>1148</v>
      </c>
      <c r="R559" s="318">
        <v>195</v>
      </c>
      <c r="T559" s="320">
        <v>90.555555555555557</v>
      </c>
      <c r="U559" s="318">
        <v>39</v>
      </c>
      <c r="V559" s="318">
        <v>5.0662499999999993</v>
      </c>
      <c r="W559" s="318">
        <v>3.74</v>
      </c>
      <c r="X559" s="315">
        <v>0.217</v>
      </c>
      <c r="Y559" s="318">
        <v>138.5812857</v>
      </c>
      <c r="Z559" s="315">
        <v>4</v>
      </c>
      <c r="AA559" s="315" t="s">
        <v>1149</v>
      </c>
      <c r="AB559" s="315">
        <v>0</v>
      </c>
      <c r="AC559" s="315" t="s">
        <v>1190</v>
      </c>
    </row>
    <row r="560" spans="1:29">
      <c r="A560" s="315" t="s">
        <v>1334</v>
      </c>
      <c r="B560" s="315" t="s">
        <v>1916</v>
      </c>
      <c r="C560" s="329">
        <v>6.2804713888889498</v>
      </c>
      <c r="D560" s="329">
        <v>115.9</v>
      </c>
      <c r="E560" s="316" t="s">
        <v>1952</v>
      </c>
      <c r="F560" s="316" t="s">
        <v>1952</v>
      </c>
      <c r="G560" s="317">
        <v>9.3000000000000007</v>
      </c>
      <c r="H560" s="317">
        <v>1.7701750000000001</v>
      </c>
      <c r="I560" s="317">
        <v>1.7701750000000001</v>
      </c>
      <c r="J560" s="317">
        <v>1.7701750000000001</v>
      </c>
      <c r="K560" s="318">
        <v>19.034139784946234</v>
      </c>
      <c r="L560" s="318">
        <v>56.508512916585801</v>
      </c>
      <c r="M560" s="319">
        <v>37.326027030787102</v>
      </c>
      <c r="N560" s="319">
        <v>18.291887245840869</v>
      </c>
      <c r="O560" s="319">
        <f t="shared" si="8"/>
        <v>18.291887245840869</v>
      </c>
      <c r="P560" s="317">
        <v>1.7011455138632008</v>
      </c>
      <c r="Q560" s="315" t="s">
        <v>1148</v>
      </c>
      <c r="R560" s="318">
        <v>212</v>
      </c>
      <c r="T560" s="320">
        <v>100</v>
      </c>
      <c r="U560" s="318">
        <v>37</v>
      </c>
      <c r="V560" s="318">
        <v>8.2285714285714278</v>
      </c>
      <c r="W560" s="318">
        <v>6.55</v>
      </c>
      <c r="X560" s="315">
        <v>0.1965762152777778</v>
      </c>
      <c r="Y560" s="318">
        <v>22.347799999999999</v>
      </c>
      <c r="Z560" s="315">
        <v>3</v>
      </c>
      <c r="AA560" s="315" t="s">
        <v>1149</v>
      </c>
      <c r="AB560" s="315">
        <v>0</v>
      </c>
      <c r="AC560" s="315" t="s">
        <v>1190</v>
      </c>
    </row>
    <row r="561" spans="1:29">
      <c r="A561" s="315" t="s">
        <v>1334</v>
      </c>
      <c r="B561" s="315" t="s">
        <v>1916</v>
      </c>
      <c r="C561" s="329">
        <v>6.2674766666667301</v>
      </c>
      <c r="D561" s="329">
        <v>115.9</v>
      </c>
      <c r="E561" s="316" t="s">
        <v>1953</v>
      </c>
      <c r="F561" s="316" t="s">
        <v>1953</v>
      </c>
      <c r="G561" s="317">
        <v>8.8000000000000007</v>
      </c>
      <c r="H561" s="317">
        <v>2.4185840000000001</v>
      </c>
      <c r="I561" s="317">
        <v>2.4185840000000001</v>
      </c>
      <c r="J561" s="317">
        <v>2.4185840000000001</v>
      </c>
      <c r="K561" s="318">
        <v>27.483909090909091</v>
      </c>
      <c r="L561" s="318">
        <v>44.942781411816199</v>
      </c>
      <c r="M561" s="319">
        <v>41.263945355774901</v>
      </c>
      <c r="N561" s="319">
        <v>13.78003626486581</v>
      </c>
      <c r="O561" s="319">
        <f t="shared" si="8"/>
        <v>13.78003626486581</v>
      </c>
      <c r="P561" s="317">
        <v>1.2126431913081914</v>
      </c>
      <c r="Q561" s="315" t="s">
        <v>1148</v>
      </c>
      <c r="R561" s="318">
        <v>212</v>
      </c>
      <c r="T561" s="320">
        <v>100</v>
      </c>
      <c r="U561" s="318">
        <v>37</v>
      </c>
      <c r="V561" s="318">
        <v>11.222857142857142</v>
      </c>
      <c r="W561" s="318">
        <v>2.2814285714285711</v>
      </c>
      <c r="X561" s="315">
        <v>0.17104086048879835</v>
      </c>
      <c r="Y561" s="318">
        <v>422.99700000000001</v>
      </c>
      <c r="Z561" s="315">
        <v>3</v>
      </c>
      <c r="AA561" s="315" t="s">
        <v>1149</v>
      </c>
      <c r="AB561" s="315">
        <v>0</v>
      </c>
      <c r="AC561" s="315" t="s">
        <v>1190</v>
      </c>
    </row>
    <row r="562" spans="1:29">
      <c r="A562" s="315" t="s">
        <v>1334</v>
      </c>
      <c r="B562" s="315" t="s">
        <v>1916</v>
      </c>
      <c r="C562" s="329">
        <v>6.2544819444445103</v>
      </c>
      <c r="D562" s="329">
        <v>115.9</v>
      </c>
      <c r="E562" s="316" t="s">
        <v>1954</v>
      </c>
      <c r="F562" s="316" t="s">
        <v>1954</v>
      </c>
      <c r="G562" s="317">
        <v>1.8</v>
      </c>
      <c r="H562" s="317">
        <v>0.33660000000000001</v>
      </c>
      <c r="I562" s="317">
        <v>0.33660000000000001</v>
      </c>
      <c r="J562" s="317">
        <v>0.33660000000000001</v>
      </c>
      <c r="K562" s="318">
        <v>18.7</v>
      </c>
      <c r="L562" s="318">
        <v>66.952463647561103</v>
      </c>
      <c r="M562" s="319">
        <v>31.934489904484497</v>
      </c>
      <c r="N562" s="319">
        <v>13.234489904484498</v>
      </c>
      <c r="O562" s="319">
        <f t="shared" si="8"/>
        <v>13.234489904484498</v>
      </c>
      <c r="P562" s="317">
        <v>0.23822081828072098</v>
      </c>
      <c r="Q562" s="315" t="s">
        <v>1148</v>
      </c>
      <c r="R562" s="318">
        <v>212</v>
      </c>
      <c r="T562" s="320">
        <v>100</v>
      </c>
      <c r="U562" s="318">
        <v>37</v>
      </c>
      <c r="V562" s="318">
        <v>10.294285714285712</v>
      </c>
      <c r="W562" s="318">
        <v>5.4728571428571433</v>
      </c>
      <c r="X562" s="315">
        <v>0.16124104912572859</v>
      </c>
      <c r="Y562" s="318">
        <v>23.606000000000002</v>
      </c>
      <c r="Z562" s="315">
        <v>2</v>
      </c>
      <c r="AA562" s="315" t="s">
        <v>1149</v>
      </c>
      <c r="AB562" s="315">
        <v>0</v>
      </c>
      <c r="AC562" s="315" t="s">
        <v>1190</v>
      </c>
    </row>
    <row r="563" spans="1:29">
      <c r="A563" s="315" t="s">
        <v>1334</v>
      </c>
      <c r="B563" s="315" t="s">
        <v>1916</v>
      </c>
      <c r="C563" s="329">
        <v>6.2414872222222897</v>
      </c>
      <c r="D563" s="329">
        <v>115.9</v>
      </c>
      <c r="E563" s="316" t="s">
        <v>1956</v>
      </c>
      <c r="F563" s="316" t="s">
        <v>1956</v>
      </c>
      <c r="G563" s="317">
        <v>32.1</v>
      </c>
      <c r="H563" s="317">
        <v>11.443989</v>
      </c>
      <c r="I563" s="317">
        <v>11.443989</v>
      </c>
      <c r="J563" s="317">
        <v>11.443989</v>
      </c>
      <c r="K563" s="318">
        <v>35.651056074766352</v>
      </c>
      <c r="L563" s="318">
        <v>65.726405381611798</v>
      </c>
      <c r="M563" s="319">
        <v>34.244115170127301</v>
      </c>
      <c r="N563" s="319">
        <v>-1.4069409046390504</v>
      </c>
      <c r="O563" s="319">
        <f t="shared" si="8"/>
        <v>0</v>
      </c>
      <c r="P563" s="317">
        <v>0</v>
      </c>
      <c r="Q563" s="315" t="s">
        <v>1148</v>
      </c>
      <c r="R563" s="318">
        <v>212</v>
      </c>
      <c r="T563" s="320">
        <v>100</v>
      </c>
      <c r="U563" s="318">
        <v>37</v>
      </c>
      <c r="V563" s="318">
        <v>17.110000000000003</v>
      </c>
      <c r="W563" s="318">
        <v>10.968571428571428</v>
      </c>
      <c r="X563" s="315">
        <v>0.2</v>
      </c>
      <c r="Y563" s="318">
        <v>140.15100000000001</v>
      </c>
      <c r="Z563" s="315">
        <v>6</v>
      </c>
      <c r="AA563" s="315" t="s">
        <v>1149</v>
      </c>
      <c r="AB563" s="315">
        <v>0</v>
      </c>
      <c r="AC563" s="315" t="s">
        <v>1190</v>
      </c>
    </row>
    <row r="564" spans="1:29">
      <c r="A564" s="315" t="s">
        <v>1334</v>
      </c>
      <c r="B564" s="315" t="s">
        <v>1916</v>
      </c>
      <c r="C564" s="329">
        <v>6.2284925000000699</v>
      </c>
      <c r="D564" s="329">
        <v>115.9</v>
      </c>
      <c r="E564" s="316" t="s">
        <v>1958</v>
      </c>
      <c r="F564" s="316" t="s">
        <v>1958</v>
      </c>
      <c r="G564" s="317">
        <v>0.63</v>
      </c>
      <c r="H564" s="317">
        <v>0.26</v>
      </c>
      <c r="I564" s="317">
        <v>0.26</v>
      </c>
      <c r="J564" s="317">
        <v>0.26</v>
      </c>
      <c r="K564" s="318">
        <v>41.269841269841272</v>
      </c>
      <c r="L564" s="318">
        <v>61.0353703054829</v>
      </c>
      <c r="M564" s="319">
        <v>33.773620227353405</v>
      </c>
      <c r="N564" s="319">
        <v>-7.4962210424878677</v>
      </c>
      <c r="O564" s="319">
        <f t="shared" si="8"/>
        <v>0</v>
      </c>
      <c r="P564" s="317">
        <v>0</v>
      </c>
      <c r="Q564" s="315" t="s">
        <v>1148</v>
      </c>
      <c r="R564" s="318">
        <v>212</v>
      </c>
      <c r="T564" s="320">
        <v>100</v>
      </c>
      <c r="U564" s="318">
        <v>37</v>
      </c>
      <c r="V564" s="318">
        <v>4.6071</v>
      </c>
      <c r="W564" s="318">
        <v>0.19</v>
      </c>
      <c r="X564" s="315">
        <v>0.12976527131782944</v>
      </c>
      <c r="Y564" s="318">
        <v>9.5670000000000002</v>
      </c>
      <c r="Z564" s="315">
        <v>1</v>
      </c>
      <c r="AA564" s="315" t="s">
        <v>1149</v>
      </c>
      <c r="AB564" s="315">
        <v>0</v>
      </c>
      <c r="AC564" s="315" t="s">
        <v>1190</v>
      </c>
    </row>
    <row r="565" spans="1:29">
      <c r="A565" s="315" t="s">
        <v>1334</v>
      </c>
      <c r="B565" s="315" t="s">
        <v>1916</v>
      </c>
      <c r="C565" s="329">
        <v>6.2154977777778502</v>
      </c>
      <c r="D565" s="329">
        <v>115.9</v>
      </c>
      <c r="E565" s="316" t="s">
        <v>1959</v>
      </c>
      <c r="F565" s="316" t="s">
        <v>1959</v>
      </c>
      <c r="G565" s="317">
        <v>2.2000000000000002</v>
      </c>
      <c r="H565" s="317">
        <v>0.41699999999999998</v>
      </c>
      <c r="I565" s="317">
        <v>0.41699999999999998</v>
      </c>
      <c r="J565" s="317">
        <v>0.41699999999999998</v>
      </c>
      <c r="K565" s="318">
        <v>18.954545454545453</v>
      </c>
      <c r="L565" s="318">
        <v>63.707137595269302</v>
      </c>
      <c r="M565" s="319">
        <v>31.5093471342995</v>
      </c>
      <c r="N565" s="319">
        <v>12.554801679754046</v>
      </c>
      <c r="O565" s="319">
        <f t="shared" si="8"/>
        <v>12.554801679754046</v>
      </c>
      <c r="P565" s="317">
        <v>0.27620563695458905</v>
      </c>
      <c r="Q565" s="315" t="s">
        <v>1148</v>
      </c>
      <c r="R565" s="318">
        <v>212</v>
      </c>
      <c r="T565" s="320">
        <v>100</v>
      </c>
      <c r="U565" s="318">
        <v>37</v>
      </c>
      <c r="V565" s="318">
        <v>3.28084</v>
      </c>
      <c r="W565" s="318">
        <v>3.4428999999999998</v>
      </c>
      <c r="X565" s="315">
        <v>0.15492456896551726</v>
      </c>
      <c r="Y565" s="318">
        <v>48.605499999999999</v>
      </c>
      <c r="Z565" s="315">
        <v>3</v>
      </c>
      <c r="AA565" s="315" t="s">
        <v>1149</v>
      </c>
      <c r="AB565" s="315">
        <v>0</v>
      </c>
      <c r="AC565" s="315" t="s">
        <v>1190</v>
      </c>
    </row>
    <row r="566" spans="1:29">
      <c r="A566" s="315" t="s">
        <v>1334</v>
      </c>
      <c r="B566" s="315" t="s">
        <v>1916</v>
      </c>
      <c r="C566" s="329">
        <v>6.2025030555556304</v>
      </c>
      <c r="D566" s="329">
        <v>115.9</v>
      </c>
      <c r="E566" s="316" t="s">
        <v>1960</v>
      </c>
      <c r="F566" s="316" t="s">
        <v>1960</v>
      </c>
      <c r="G566" s="317">
        <v>18.899999999999999</v>
      </c>
      <c r="H566" s="317">
        <v>6.4822649999999999</v>
      </c>
      <c r="I566" s="317">
        <v>6.4822649999999999</v>
      </c>
      <c r="J566" s="317">
        <v>6.4822649999999999</v>
      </c>
      <c r="K566" s="318">
        <v>34.297698412698416</v>
      </c>
      <c r="L566" s="318">
        <v>55.973984189959602</v>
      </c>
      <c r="M566" s="319">
        <v>39.167945539249402</v>
      </c>
      <c r="N566" s="319">
        <v>4.8702471265509857</v>
      </c>
      <c r="O566" s="319">
        <f t="shared" si="8"/>
        <v>4.8702471265509857</v>
      </c>
      <c r="P566" s="317">
        <v>0.92047670691813621</v>
      </c>
      <c r="Q566" s="315" t="s">
        <v>1148</v>
      </c>
      <c r="R566" s="318">
        <v>217</v>
      </c>
      <c r="T566" s="320">
        <v>102.77777777777777</v>
      </c>
      <c r="U566" s="318">
        <v>37</v>
      </c>
      <c r="V566" s="318">
        <v>8.1516666666666655</v>
      </c>
      <c r="W566" s="318">
        <v>5.3999999999999995</v>
      </c>
      <c r="X566" s="315">
        <v>0.20447965651196073</v>
      </c>
      <c r="Y566" s="318">
        <v>147.65880000000001</v>
      </c>
      <c r="Z566" s="315">
        <v>1</v>
      </c>
      <c r="AA566" s="315" t="s">
        <v>1149</v>
      </c>
      <c r="AB566" s="315">
        <v>0</v>
      </c>
      <c r="AC566" s="315" t="s">
        <v>1190</v>
      </c>
    </row>
    <row r="567" spans="1:29">
      <c r="A567" s="315" t="s">
        <v>1934</v>
      </c>
      <c r="B567" s="315" t="s">
        <v>1916</v>
      </c>
      <c r="C567" s="329">
        <v>6.1895083333334098</v>
      </c>
      <c r="D567" s="329">
        <v>115.9</v>
      </c>
      <c r="E567" s="316" t="s">
        <v>1961</v>
      </c>
      <c r="F567" s="316" t="s">
        <v>1961</v>
      </c>
      <c r="G567" s="317">
        <v>15.8</v>
      </c>
      <c r="H567" s="317">
        <v>4.2150169999999996</v>
      </c>
      <c r="I567" s="317">
        <v>4.2150169999999996</v>
      </c>
      <c r="J567" s="317">
        <v>4.2150169999999996</v>
      </c>
      <c r="K567" s="318">
        <v>26.677322784810119</v>
      </c>
      <c r="L567" s="318">
        <v>49.684229258130799</v>
      </c>
      <c r="M567" s="319">
        <v>40.744845786188598</v>
      </c>
      <c r="N567" s="319">
        <v>14.067523001378479</v>
      </c>
      <c r="O567" s="319">
        <f t="shared" si="8"/>
        <v>14.067523001378479</v>
      </c>
      <c r="P567" s="317">
        <v>2.2226686342177997</v>
      </c>
      <c r="Q567" s="315" t="s">
        <v>1148</v>
      </c>
      <c r="R567" s="318">
        <v>217</v>
      </c>
      <c r="T567" s="320">
        <v>102.77777777777777</v>
      </c>
      <c r="U567" s="318">
        <v>37</v>
      </c>
      <c r="V567" s="318">
        <v>10.224285714285715</v>
      </c>
      <c r="W567" s="318">
        <v>4.9857142857142858</v>
      </c>
      <c r="X567" s="315">
        <v>0.19236691351124771</v>
      </c>
      <c r="Y567" s="318">
        <v>153.73650000000001</v>
      </c>
      <c r="Z567" s="315">
        <v>5</v>
      </c>
      <c r="AA567" s="315" t="s">
        <v>1149</v>
      </c>
      <c r="AB567" s="315">
        <v>0</v>
      </c>
      <c r="AC567" s="315" t="s">
        <v>1190</v>
      </c>
    </row>
    <row r="568" spans="1:29">
      <c r="A568" s="315" t="s">
        <v>1145</v>
      </c>
      <c r="B568" s="315" t="s">
        <v>737</v>
      </c>
      <c r="C568" s="329">
        <v>5.4714650000000002</v>
      </c>
      <c r="D568" s="329">
        <v>104.55</v>
      </c>
      <c r="E568" s="316" t="s">
        <v>1962</v>
      </c>
      <c r="F568" s="316" t="s">
        <v>1962</v>
      </c>
      <c r="G568" s="317">
        <v>116.3</v>
      </c>
      <c r="H568" s="317">
        <v>51.290199999999999</v>
      </c>
      <c r="I568" s="317">
        <v>51.290199999999999</v>
      </c>
      <c r="J568" s="317">
        <v>51.290199999999999</v>
      </c>
      <c r="K568" s="318">
        <v>44.101633705932933</v>
      </c>
      <c r="L568" s="318">
        <v>57.531273344246898</v>
      </c>
      <c r="M568" s="319">
        <v>43.573790094409794</v>
      </c>
      <c r="N568" s="319">
        <v>-0.52784361152313863</v>
      </c>
      <c r="O568" s="319">
        <f t="shared" si="8"/>
        <v>0</v>
      </c>
      <c r="P568" s="317">
        <v>0</v>
      </c>
      <c r="Q568" s="315" t="s">
        <v>1148</v>
      </c>
      <c r="R568" s="318">
        <v>199</v>
      </c>
      <c r="T568" s="320">
        <v>92.777777777777771</v>
      </c>
      <c r="U568" s="318">
        <v>46.2</v>
      </c>
      <c r="V568" s="318">
        <v>105.64150339888236</v>
      </c>
      <c r="W568" s="318">
        <v>223.108</v>
      </c>
      <c r="X568" s="315">
        <v>0.24404735942163366</v>
      </c>
      <c r="Y568" s="318">
        <v>209.375</v>
      </c>
      <c r="Z568" s="315">
        <v>21</v>
      </c>
      <c r="AA568" s="315" t="s">
        <v>1440</v>
      </c>
      <c r="AB568" s="315">
        <v>0</v>
      </c>
      <c r="AC568" s="315" t="s">
        <v>1150</v>
      </c>
    </row>
    <row r="569" spans="1:29">
      <c r="A569" s="315" t="s">
        <v>1229</v>
      </c>
      <c r="B569" s="315" t="s">
        <v>737</v>
      </c>
      <c r="C569" s="329">
        <v>5.4714650000000002</v>
      </c>
      <c r="D569" s="329">
        <v>104.55</v>
      </c>
      <c r="E569" s="316" t="s">
        <v>1964</v>
      </c>
      <c r="F569" s="316" t="s">
        <v>1964</v>
      </c>
      <c r="G569" s="317">
        <v>103.45</v>
      </c>
      <c r="H569" s="317">
        <v>52.742899999999999</v>
      </c>
      <c r="I569" s="317">
        <v>52.742899999999999</v>
      </c>
      <c r="J569" s="317">
        <v>52.742899999999999</v>
      </c>
      <c r="K569" s="318">
        <v>50.983953600773312</v>
      </c>
      <c r="L569" s="318">
        <v>50.328033689181296</v>
      </c>
      <c r="M569" s="319">
        <v>45.53778942268</v>
      </c>
      <c r="N569" s="319">
        <v>-5.4461641780933121</v>
      </c>
      <c r="O569" s="319">
        <f t="shared" si="8"/>
        <v>0</v>
      </c>
      <c r="P569" s="317">
        <v>0</v>
      </c>
      <c r="Q569" s="315" t="s">
        <v>1148</v>
      </c>
      <c r="R569" s="318">
        <v>199</v>
      </c>
      <c r="T569" s="320">
        <v>92.777777777777771</v>
      </c>
      <c r="U569" s="318">
        <v>46.2</v>
      </c>
      <c r="V569" s="318">
        <v>159.91594000000001</v>
      </c>
      <c r="W569" s="318">
        <v>223.108</v>
      </c>
      <c r="X569" s="315">
        <v>0.28599999999999998</v>
      </c>
      <c r="Y569" s="318">
        <v>1000</v>
      </c>
      <c r="Z569" s="315">
        <v>16</v>
      </c>
      <c r="AA569" s="315" t="s">
        <v>1149</v>
      </c>
      <c r="AB569" s="315">
        <v>0</v>
      </c>
      <c r="AC569" s="315" t="s">
        <v>1157</v>
      </c>
    </row>
    <row r="570" spans="1:29">
      <c r="A570" s="315" t="s">
        <v>1826</v>
      </c>
      <c r="B570" s="315" t="s">
        <v>1966</v>
      </c>
      <c r="C570" s="329">
        <v>5.5011530555555499</v>
      </c>
      <c r="D570" s="329">
        <v>104.9</v>
      </c>
      <c r="E570" s="316" t="s">
        <v>1967</v>
      </c>
      <c r="F570" s="316" t="s">
        <v>1967</v>
      </c>
      <c r="G570" s="317">
        <v>7.1</v>
      </c>
      <c r="H570" s="317">
        <v>2.0195259999999999</v>
      </c>
      <c r="I570" s="317">
        <v>2.0195259999999999</v>
      </c>
      <c r="J570" s="317">
        <v>2.0195259999999999</v>
      </c>
      <c r="K570" s="318">
        <v>28.444028169014086</v>
      </c>
      <c r="L570" s="318">
        <v>52.164150567726999</v>
      </c>
      <c r="M570" s="319">
        <v>39.387100717105703</v>
      </c>
      <c r="N570" s="319">
        <v>10.943072548091617</v>
      </c>
      <c r="O570" s="319">
        <f t="shared" si="8"/>
        <v>10.943072548091617</v>
      </c>
      <c r="P570" s="317">
        <v>0.77695815091450482</v>
      </c>
      <c r="Q570" s="315" t="s">
        <v>1148</v>
      </c>
      <c r="R570" s="318">
        <v>203</v>
      </c>
      <c r="T570" s="320">
        <v>95</v>
      </c>
      <c r="U570" s="318">
        <v>46</v>
      </c>
      <c r="V570" s="318">
        <v>42.652999999999999</v>
      </c>
      <c r="W570" s="318">
        <v>219.827</v>
      </c>
      <c r="X570" s="315">
        <v>0.2</v>
      </c>
      <c r="Y570" s="318">
        <v>425</v>
      </c>
      <c r="Z570" s="315">
        <v>9</v>
      </c>
      <c r="AA570" s="315" t="s">
        <v>1149</v>
      </c>
      <c r="AB570" s="315">
        <v>0</v>
      </c>
      <c r="AC570" s="315" t="s">
        <v>1190</v>
      </c>
    </row>
    <row r="571" spans="1:29">
      <c r="A571" s="315" t="s">
        <v>1485</v>
      </c>
      <c r="B571" s="315" t="s">
        <v>1966</v>
      </c>
      <c r="C571" s="329">
        <v>5.4997138888888797</v>
      </c>
      <c r="D571" s="329">
        <v>104.9</v>
      </c>
      <c r="E571" s="316" t="s">
        <v>1968</v>
      </c>
      <c r="F571" s="316" t="s">
        <v>1968</v>
      </c>
      <c r="G571" s="317">
        <v>458.71</v>
      </c>
      <c r="H571" s="317">
        <v>226.74619300000001</v>
      </c>
      <c r="I571" s="317">
        <v>227.55205684000001</v>
      </c>
      <c r="J571" s="317">
        <v>227.61724705944999</v>
      </c>
      <c r="K571" s="318">
        <v>49.621165237175994</v>
      </c>
      <c r="L571" s="318">
        <v>52.599476195473599</v>
      </c>
      <c r="M571" s="319">
        <v>44.462683585823498</v>
      </c>
      <c r="N571" s="319">
        <v>-5.1584816513524956</v>
      </c>
      <c r="O571" s="319">
        <f t="shared" si="8"/>
        <v>0</v>
      </c>
      <c r="P571" s="317">
        <v>0</v>
      </c>
      <c r="Q571" s="315" t="s">
        <v>1148</v>
      </c>
      <c r="R571" s="318">
        <v>223</v>
      </c>
      <c r="T571" s="320">
        <v>106.11111111111111</v>
      </c>
      <c r="U571" s="318">
        <v>47</v>
      </c>
      <c r="V571" s="318">
        <v>98.43</v>
      </c>
      <c r="W571" s="318">
        <v>157.488</v>
      </c>
      <c r="X571" s="315">
        <v>0.2</v>
      </c>
      <c r="Y571" s="318">
        <v>200</v>
      </c>
      <c r="Z571" s="315">
        <v>58</v>
      </c>
      <c r="AA571" s="315" t="s">
        <v>1440</v>
      </c>
      <c r="AB571" s="315">
        <v>4</v>
      </c>
      <c r="AC571" s="315" t="s">
        <v>1190</v>
      </c>
    </row>
    <row r="572" spans="1:29">
      <c r="A572" s="315" t="s">
        <v>1229</v>
      </c>
      <c r="B572" s="315" t="s">
        <v>1970</v>
      </c>
      <c r="C572" s="329">
        <v>4.4249388888888799</v>
      </c>
      <c r="D572" s="329">
        <v>113.73</v>
      </c>
      <c r="E572" s="316" t="s">
        <v>1971</v>
      </c>
      <c r="F572" s="316" t="s">
        <v>1971</v>
      </c>
      <c r="G572" s="317">
        <v>27.797999999999998</v>
      </c>
      <c r="H572" s="317">
        <v>21.964543599999999</v>
      </c>
      <c r="I572" s="317">
        <v>22.3122471</v>
      </c>
      <c r="J572" s="317">
        <v>22.773005999999999</v>
      </c>
      <c r="K572" s="318">
        <v>81.923181523850644</v>
      </c>
      <c r="L572" s="318">
        <v>68.747467762790905</v>
      </c>
      <c r="M572" s="319">
        <v>35.955359664324298</v>
      </c>
      <c r="N572" s="319">
        <v>-45.967821859526346</v>
      </c>
      <c r="O572" s="319">
        <f t="shared" si="8"/>
        <v>0</v>
      </c>
      <c r="P572" s="317">
        <v>0</v>
      </c>
      <c r="Q572" s="315" t="s">
        <v>1148</v>
      </c>
      <c r="R572" s="318">
        <v>142</v>
      </c>
      <c r="T572" s="320">
        <v>61.111111111111114</v>
      </c>
      <c r="U572" s="318">
        <v>27.2</v>
      </c>
      <c r="V572" s="318">
        <v>36</v>
      </c>
      <c r="W572" s="318">
        <v>40</v>
      </c>
      <c r="X572" s="315">
        <v>0.24</v>
      </c>
      <c r="Y572" s="318">
        <v>1201</v>
      </c>
      <c r="Z572" s="315">
        <v>8</v>
      </c>
      <c r="AA572" s="315" t="s">
        <v>1149</v>
      </c>
      <c r="AB572" s="315">
        <v>0</v>
      </c>
      <c r="AC572" s="315" t="s">
        <v>1150</v>
      </c>
    </row>
    <row r="573" spans="1:29">
      <c r="A573" s="315" t="s">
        <v>1229</v>
      </c>
      <c r="B573" s="315" t="s">
        <v>1970</v>
      </c>
      <c r="C573" s="329">
        <v>4.4047180555555503</v>
      </c>
      <c r="D573" s="329">
        <v>113.73</v>
      </c>
      <c r="E573" s="316" t="s">
        <v>1973</v>
      </c>
      <c r="F573" s="316" t="s">
        <v>1973</v>
      </c>
      <c r="G573" s="317">
        <v>72.59</v>
      </c>
      <c r="H573" s="317">
        <v>31.364364699999999</v>
      </c>
      <c r="I573" s="317">
        <v>32.660478599999998</v>
      </c>
      <c r="J573" s="317">
        <v>34.546001499999996</v>
      </c>
      <c r="K573" s="318">
        <v>47.590579280892676</v>
      </c>
      <c r="L573" s="318">
        <v>67.7090105170915</v>
      </c>
      <c r="M573" s="319">
        <v>35.653888360975898</v>
      </c>
      <c r="N573" s="319">
        <v>-11.936690919916778</v>
      </c>
      <c r="O573" s="319">
        <f t="shared" si="8"/>
        <v>0</v>
      </c>
      <c r="P573" s="317">
        <v>0</v>
      </c>
      <c r="Q573" s="315" t="s">
        <v>1148</v>
      </c>
      <c r="R573" s="318">
        <v>145</v>
      </c>
      <c r="T573" s="320">
        <v>62.777777777777779</v>
      </c>
      <c r="U573" s="318">
        <v>22.9</v>
      </c>
      <c r="V573" s="318">
        <v>45</v>
      </c>
      <c r="W573" s="318">
        <v>75</v>
      </c>
      <c r="X573" s="315">
        <v>0.28000000000000003</v>
      </c>
      <c r="Y573" s="318">
        <v>997</v>
      </c>
      <c r="Z573" s="315">
        <v>27</v>
      </c>
      <c r="AA573" s="315" t="s">
        <v>1149</v>
      </c>
      <c r="AB573" s="315">
        <v>0</v>
      </c>
      <c r="AC573" s="315" t="s">
        <v>1150</v>
      </c>
    </row>
    <row r="574" spans="1:29">
      <c r="A574" s="315" t="s">
        <v>1229</v>
      </c>
      <c r="B574" s="315" t="s">
        <v>1970</v>
      </c>
      <c r="C574" s="329">
        <v>4.4157666666666602</v>
      </c>
      <c r="D574" s="329">
        <v>113.73</v>
      </c>
      <c r="E574" s="316" t="s">
        <v>1974</v>
      </c>
      <c r="F574" s="316" t="s">
        <v>1974</v>
      </c>
      <c r="G574" s="317">
        <v>32.296031300000003</v>
      </c>
      <c r="H574" s="317">
        <v>17.207180099999999</v>
      </c>
      <c r="I574" s="317">
        <v>18.010559399999998</v>
      </c>
      <c r="J574" s="317">
        <v>19.0994125</v>
      </c>
      <c r="K574" s="318">
        <v>59.138574404341746</v>
      </c>
      <c r="L574" s="318">
        <v>65.405488972704703</v>
      </c>
      <c r="M574" s="319">
        <v>36.733334127048501</v>
      </c>
      <c r="N574" s="319">
        <v>-22.405240277293245</v>
      </c>
      <c r="O574" s="319">
        <f t="shared" si="8"/>
        <v>0</v>
      </c>
      <c r="P574" s="317">
        <v>0</v>
      </c>
      <c r="Q574" s="315" t="s">
        <v>1148</v>
      </c>
      <c r="R574" s="318">
        <v>145</v>
      </c>
      <c r="T574" s="320">
        <v>62.777777777777779</v>
      </c>
      <c r="U574" s="318">
        <v>27.5</v>
      </c>
      <c r="V574" s="318">
        <v>43</v>
      </c>
      <c r="W574" s="318">
        <v>230</v>
      </c>
      <c r="X574" s="315">
        <v>0.26</v>
      </c>
      <c r="Y574" s="318">
        <v>946</v>
      </c>
      <c r="Z574" s="315">
        <v>5</v>
      </c>
      <c r="AA574" s="315" t="s">
        <v>1149</v>
      </c>
      <c r="AB574" s="315">
        <v>0</v>
      </c>
      <c r="AC574" s="315" t="s">
        <v>1150</v>
      </c>
    </row>
    <row r="575" spans="1:29">
      <c r="A575" s="315" t="s">
        <v>1229</v>
      </c>
      <c r="B575" s="315" t="s">
        <v>1970</v>
      </c>
      <c r="C575" s="329">
        <v>4.4219105555555496</v>
      </c>
      <c r="D575" s="329">
        <v>113.73</v>
      </c>
      <c r="E575" s="316" t="s">
        <v>1975</v>
      </c>
      <c r="F575" s="316" t="s">
        <v>1975</v>
      </c>
      <c r="G575" s="317">
        <v>10.028</v>
      </c>
      <c r="H575" s="317">
        <v>5.8591116999999997</v>
      </c>
      <c r="I575" s="317">
        <v>5.9783733999999997</v>
      </c>
      <c r="J575" s="317">
        <v>6.1364128999999998</v>
      </c>
      <c r="K575" s="318">
        <v>61.192789190267249</v>
      </c>
      <c r="L575" s="318">
        <v>72.926942629130295</v>
      </c>
      <c r="M575" s="319">
        <v>33.5741408685425</v>
      </c>
      <c r="N575" s="319">
        <v>-27.618648321724748</v>
      </c>
      <c r="O575" s="319">
        <f t="shared" si="8"/>
        <v>0</v>
      </c>
      <c r="P575" s="317">
        <v>0</v>
      </c>
      <c r="Q575" s="315" t="s">
        <v>1148</v>
      </c>
      <c r="R575" s="318">
        <v>147</v>
      </c>
      <c r="T575" s="320">
        <v>63.888888888888886</v>
      </c>
      <c r="U575" s="318">
        <v>25.5</v>
      </c>
      <c r="V575" s="318">
        <v>20</v>
      </c>
      <c r="W575" s="318">
        <v>55</v>
      </c>
      <c r="X575" s="315">
        <v>0.27</v>
      </c>
      <c r="Y575" s="318">
        <v>865</v>
      </c>
      <c r="Z575" s="315">
        <v>7</v>
      </c>
      <c r="AA575" s="315" t="s">
        <v>1149</v>
      </c>
      <c r="AB575" s="315">
        <v>0</v>
      </c>
      <c r="AC575" s="315" t="s">
        <v>1150</v>
      </c>
    </row>
    <row r="576" spans="1:29">
      <c r="A576" s="315" t="s">
        <v>1229</v>
      </c>
      <c r="B576" s="315" t="s">
        <v>1970</v>
      </c>
      <c r="C576" s="329">
        <v>4.4135327777777702</v>
      </c>
      <c r="D576" s="329">
        <v>113.73</v>
      </c>
      <c r="E576" s="316" t="s">
        <v>1976</v>
      </c>
      <c r="F576" s="316" t="s">
        <v>1976</v>
      </c>
      <c r="G576" s="317">
        <v>29.943999999999999</v>
      </c>
      <c r="H576" s="317">
        <v>12.879572699999999</v>
      </c>
      <c r="I576" s="317">
        <v>13.173562599999999</v>
      </c>
      <c r="J576" s="317">
        <v>14.636844099999999</v>
      </c>
      <c r="K576" s="318">
        <v>48.88072435212397</v>
      </c>
      <c r="L576" s="318">
        <v>0</v>
      </c>
      <c r="M576" s="319">
        <v>0</v>
      </c>
      <c r="N576" s="319">
        <v>-48.88072435212397</v>
      </c>
      <c r="O576" s="319">
        <f t="shared" si="8"/>
        <v>0</v>
      </c>
      <c r="P576" s="317">
        <v>0</v>
      </c>
      <c r="Q576" s="315" t="s">
        <v>1148</v>
      </c>
      <c r="R576" s="318">
        <v>147</v>
      </c>
      <c r="T576" s="320">
        <v>63.888888888888886</v>
      </c>
      <c r="U576" s="318">
        <v>21.5</v>
      </c>
      <c r="V576" s="318">
        <v>85</v>
      </c>
      <c r="W576" s="318">
        <v>75</v>
      </c>
      <c r="X576" s="315">
        <v>0.23</v>
      </c>
      <c r="Y576" s="318">
        <v>300</v>
      </c>
      <c r="Z576" s="315">
        <v>16</v>
      </c>
      <c r="AA576" s="315" t="s">
        <v>1149</v>
      </c>
      <c r="AB576" s="315">
        <v>0</v>
      </c>
      <c r="AC576" s="315" t="s">
        <v>1150</v>
      </c>
    </row>
    <row r="577" spans="1:29">
      <c r="A577" s="315" t="s">
        <v>1229</v>
      </c>
      <c r="B577" s="315" t="s">
        <v>1970</v>
      </c>
      <c r="C577" s="329">
        <v>4.4131947222222196</v>
      </c>
      <c r="D577" s="329">
        <v>113.73</v>
      </c>
      <c r="E577" s="316" t="s">
        <v>1977</v>
      </c>
      <c r="F577" s="316" t="s">
        <v>1977</v>
      </c>
      <c r="G577" s="317">
        <v>24.608000000000001</v>
      </c>
      <c r="H577" s="317">
        <v>10.1281658</v>
      </c>
      <c r="I577" s="317">
        <v>10.282927899999999</v>
      </c>
      <c r="J577" s="317">
        <v>10.488010699999998</v>
      </c>
      <c r="K577" s="318">
        <v>42.620329567620281</v>
      </c>
      <c r="L577" s="318">
        <v>79.845411197743005</v>
      </c>
      <c r="M577" s="319">
        <v>29.250666892146398</v>
      </c>
      <c r="N577" s="319">
        <v>-13.369662675473883</v>
      </c>
      <c r="O577" s="319">
        <f t="shared" si="8"/>
        <v>0</v>
      </c>
      <c r="P577" s="317">
        <v>0</v>
      </c>
      <c r="Q577" s="315" t="s">
        <v>1148</v>
      </c>
      <c r="R577" s="318">
        <v>147</v>
      </c>
      <c r="T577" s="320">
        <v>63.888888888888886</v>
      </c>
      <c r="U577" s="318">
        <v>27.5</v>
      </c>
      <c r="V577" s="318">
        <v>59</v>
      </c>
      <c r="W577" s="318">
        <v>210</v>
      </c>
      <c r="X577" s="315">
        <v>0.25</v>
      </c>
      <c r="Y577" s="318">
        <v>1300</v>
      </c>
      <c r="Z577" s="315">
        <v>5</v>
      </c>
      <c r="AA577" s="315" t="s">
        <v>1149</v>
      </c>
      <c r="AB577" s="315">
        <v>0</v>
      </c>
      <c r="AC577" s="315" t="s">
        <v>1150</v>
      </c>
    </row>
    <row r="578" spans="1:29">
      <c r="A578" s="315" t="s">
        <v>1229</v>
      </c>
      <c r="B578" s="315" t="s">
        <v>1970</v>
      </c>
      <c r="C578" s="329">
        <v>4.4127947222222197</v>
      </c>
      <c r="D578" s="329">
        <v>113.73</v>
      </c>
      <c r="E578" s="316" t="s">
        <v>1979</v>
      </c>
      <c r="F578" s="316" t="s">
        <v>1979</v>
      </c>
      <c r="G578" s="317">
        <v>23.346</v>
      </c>
      <c r="H578" s="317">
        <v>15.892560700000001</v>
      </c>
      <c r="I578" s="317">
        <v>16.4980166</v>
      </c>
      <c r="J578" s="317">
        <v>17.330373599999998</v>
      </c>
      <c r="K578" s="318">
        <v>74.232731945515283</v>
      </c>
      <c r="L578" s="318">
        <v>72.457472620853594</v>
      </c>
      <c r="M578" s="319">
        <v>33.4179060550995</v>
      </c>
      <c r="N578" s="319">
        <v>-40.814825890415783</v>
      </c>
      <c r="O578" s="319">
        <f t="shared" ref="O578:O601" si="9">IF(N578&lt;0,0,N578)</f>
        <v>0</v>
      </c>
      <c r="P578" s="317">
        <v>0</v>
      </c>
      <c r="Q578" s="315" t="s">
        <v>1148</v>
      </c>
      <c r="R578" s="318">
        <v>148</v>
      </c>
      <c r="T578" s="320">
        <v>64.444444444444443</v>
      </c>
      <c r="U578" s="318">
        <v>26</v>
      </c>
      <c r="V578" s="318">
        <v>39</v>
      </c>
      <c r="W578" s="318">
        <v>106</v>
      </c>
      <c r="X578" s="315">
        <v>0.26</v>
      </c>
      <c r="Y578" s="318">
        <v>617</v>
      </c>
      <c r="Z578" s="315">
        <v>9</v>
      </c>
      <c r="AA578" s="315" t="s">
        <v>1149</v>
      </c>
      <c r="AB578" s="315">
        <v>0</v>
      </c>
      <c r="AC578" s="315" t="s">
        <v>1150</v>
      </c>
    </row>
    <row r="579" spans="1:29">
      <c r="A579" s="315" t="s">
        <v>1229</v>
      </c>
      <c r="B579" s="315" t="s">
        <v>1970</v>
      </c>
      <c r="C579" s="329">
        <v>4.4215063888888801</v>
      </c>
      <c r="D579" s="329">
        <v>113.73</v>
      </c>
      <c r="E579" s="316" t="s">
        <v>1980</v>
      </c>
      <c r="F579" s="316" t="s">
        <v>1980</v>
      </c>
      <c r="G579" s="317">
        <v>8.9209999999999994</v>
      </c>
      <c r="H579" s="317">
        <v>4.4923728000000001</v>
      </c>
      <c r="I579" s="317">
        <v>4.5602564000000001</v>
      </c>
      <c r="J579" s="317">
        <v>4.6502122000000004</v>
      </c>
      <c r="K579" s="318">
        <v>52.126579979822893</v>
      </c>
      <c r="L579" s="318">
        <v>71.811704016721293</v>
      </c>
      <c r="M579" s="319">
        <v>34.402857812047401</v>
      </c>
      <c r="N579" s="319">
        <v>-17.723722167775492</v>
      </c>
      <c r="O579" s="319">
        <f t="shared" si="9"/>
        <v>0</v>
      </c>
      <c r="P579" s="317">
        <v>0</v>
      </c>
      <c r="Q579" s="315" t="s">
        <v>1148</v>
      </c>
      <c r="R579" s="318">
        <v>148</v>
      </c>
      <c r="T579" s="320">
        <v>64.444444444444443</v>
      </c>
      <c r="U579" s="318">
        <v>29.2</v>
      </c>
      <c r="V579" s="318">
        <v>36</v>
      </c>
      <c r="W579" s="318">
        <v>139</v>
      </c>
      <c r="X579" s="315">
        <v>0.21</v>
      </c>
      <c r="Y579" s="318">
        <v>130</v>
      </c>
      <c r="Z579" s="315">
        <v>4</v>
      </c>
      <c r="AA579" s="315" t="s">
        <v>1149</v>
      </c>
      <c r="AB579" s="315">
        <v>0</v>
      </c>
      <c r="AC579" s="315" t="s">
        <v>1150</v>
      </c>
    </row>
    <row r="580" spans="1:29">
      <c r="A580" s="315" t="s">
        <v>1305</v>
      </c>
      <c r="B580" s="315" t="s">
        <v>1970</v>
      </c>
      <c r="C580" s="329">
        <v>4.4018966666666604</v>
      </c>
      <c r="D580" s="329">
        <v>113.73</v>
      </c>
      <c r="E580" s="316" t="s">
        <v>1981</v>
      </c>
      <c r="F580" s="316" t="s">
        <v>1981</v>
      </c>
      <c r="G580" s="317">
        <v>10.301</v>
      </c>
      <c r="H580" s="317">
        <v>6.7228862999999999</v>
      </c>
      <c r="I580" s="317">
        <v>7.2471604999999997</v>
      </c>
      <c r="J580" s="317">
        <v>7.9577497999999993</v>
      </c>
      <c r="K580" s="318">
        <v>77.252206581885247</v>
      </c>
      <c r="L580" s="318">
        <v>68.202745003902095</v>
      </c>
      <c r="M580" s="319">
        <v>35.505065428590697</v>
      </c>
      <c r="N580" s="319">
        <v>-41.74714115329455</v>
      </c>
      <c r="O580" s="319">
        <f t="shared" si="9"/>
        <v>0</v>
      </c>
      <c r="P580" s="317">
        <v>0</v>
      </c>
      <c r="Q580" s="315" t="s">
        <v>1148</v>
      </c>
      <c r="R580" s="318">
        <v>150</v>
      </c>
      <c r="T580" s="320">
        <v>65.555555555555557</v>
      </c>
      <c r="U580" s="318">
        <v>27.5</v>
      </c>
      <c r="V580" s="318">
        <v>48</v>
      </c>
      <c r="W580" s="318">
        <v>75</v>
      </c>
      <c r="X580" s="315">
        <v>0.22</v>
      </c>
      <c r="Y580" s="318">
        <v>393</v>
      </c>
      <c r="Z580" s="315">
        <v>7</v>
      </c>
      <c r="AA580" s="315" t="s">
        <v>1149</v>
      </c>
      <c r="AB580" s="315">
        <v>0</v>
      </c>
      <c r="AC580" s="315" t="s">
        <v>1150</v>
      </c>
    </row>
    <row r="581" spans="1:29">
      <c r="A581" s="315" t="s">
        <v>1229</v>
      </c>
      <c r="B581" s="315" t="s">
        <v>1970</v>
      </c>
      <c r="C581" s="329">
        <v>4.4195430555555504</v>
      </c>
      <c r="D581" s="329">
        <v>113.73</v>
      </c>
      <c r="E581" s="316" t="s">
        <v>1982</v>
      </c>
      <c r="F581" s="316" t="s">
        <v>1982</v>
      </c>
      <c r="G581" s="317">
        <v>9.0760000000000005</v>
      </c>
      <c r="H581" s="317">
        <v>3.0902422000000001</v>
      </c>
      <c r="I581" s="317">
        <v>3.0902422000000001</v>
      </c>
      <c r="J581" s="317">
        <v>3.0902422000000001</v>
      </c>
      <c r="K581" s="318">
        <v>34.04850374614368</v>
      </c>
      <c r="L581" s="318">
        <v>67.9307450214162</v>
      </c>
      <c r="M581" s="319">
        <v>32.344713343393501</v>
      </c>
      <c r="N581" s="319">
        <v>-1.7037904027501796</v>
      </c>
      <c r="O581" s="319">
        <f t="shared" si="9"/>
        <v>0</v>
      </c>
      <c r="P581" s="317">
        <v>0</v>
      </c>
      <c r="Q581" s="315" t="s">
        <v>1148</v>
      </c>
      <c r="R581" s="318">
        <v>151</v>
      </c>
      <c r="T581" s="320">
        <v>66.111111111111114</v>
      </c>
      <c r="U581" s="318">
        <v>30.1</v>
      </c>
      <c r="V581" s="318">
        <v>42</v>
      </c>
      <c r="W581" s="318">
        <v>142</v>
      </c>
      <c r="X581" s="315">
        <v>0.18</v>
      </c>
      <c r="Y581" s="318">
        <v>67</v>
      </c>
      <c r="Z581" s="315">
        <v>4</v>
      </c>
      <c r="AA581" s="315" t="s">
        <v>1149</v>
      </c>
      <c r="AB581" s="315">
        <v>0</v>
      </c>
      <c r="AC581" s="315" t="s">
        <v>1150</v>
      </c>
    </row>
    <row r="582" spans="1:29">
      <c r="A582" s="315" t="s">
        <v>1229</v>
      </c>
      <c r="B582" s="315" t="s">
        <v>1970</v>
      </c>
      <c r="C582" s="329">
        <v>4.4169719444444402</v>
      </c>
      <c r="D582" s="329">
        <v>113.73</v>
      </c>
      <c r="E582" s="316" t="s">
        <v>1983</v>
      </c>
      <c r="F582" s="316" t="s">
        <v>1983</v>
      </c>
      <c r="G582" s="317">
        <v>14.427</v>
      </c>
      <c r="H582" s="317">
        <v>5.5548463999999997</v>
      </c>
      <c r="I582" s="317">
        <v>5.9822829999999998</v>
      </c>
      <c r="J582" s="317">
        <v>6.6565250999999996</v>
      </c>
      <c r="K582" s="318">
        <v>46.139357454772302</v>
      </c>
      <c r="L582" s="318">
        <v>65.711472052800303</v>
      </c>
      <c r="M582" s="319">
        <v>33.082647026064301</v>
      </c>
      <c r="N582" s="319">
        <v>-13.056710428708001</v>
      </c>
      <c r="O582" s="319">
        <f t="shared" si="9"/>
        <v>0</v>
      </c>
      <c r="P582" s="317">
        <v>0</v>
      </c>
      <c r="Q582" s="315" t="s">
        <v>1148</v>
      </c>
      <c r="R582" s="318">
        <v>152</v>
      </c>
      <c r="T582" s="320">
        <v>66.666666666666671</v>
      </c>
      <c r="U582" s="318">
        <v>25.3</v>
      </c>
      <c r="V582" s="318">
        <v>60</v>
      </c>
      <c r="W582" s="318">
        <v>100</v>
      </c>
      <c r="X582" s="315">
        <v>0.22</v>
      </c>
      <c r="Y582" s="318">
        <v>100</v>
      </c>
      <c r="Z582" s="315">
        <v>8</v>
      </c>
      <c r="AA582" s="315" t="s">
        <v>1149</v>
      </c>
      <c r="AB582" s="315">
        <v>0</v>
      </c>
      <c r="AC582" s="315" t="s">
        <v>1150</v>
      </c>
    </row>
    <row r="583" spans="1:29">
      <c r="A583" s="315" t="s">
        <v>1229</v>
      </c>
      <c r="B583" s="315" t="s">
        <v>1970</v>
      </c>
      <c r="C583" s="329">
        <v>4.4018788888888896</v>
      </c>
      <c r="D583" s="329">
        <v>113.73</v>
      </c>
      <c r="E583" s="316" t="s">
        <v>1984</v>
      </c>
      <c r="F583" s="316" t="s">
        <v>1984</v>
      </c>
      <c r="G583" s="317">
        <v>57.911000000000001</v>
      </c>
      <c r="H583" s="317">
        <v>23.192358599999999</v>
      </c>
      <c r="I583" s="317">
        <v>23.827501899999998</v>
      </c>
      <c r="J583" s="317">
        <v>25.005045299999999</v>
      </c>
      <c r="K583" s="318">
        <v>43.178403584811178</v>
      </c>
      <c r="L583" s="318">
        <v>0</v>
      </c>
      <c r="M583" s="319">
        <v>0</v>
      </c>
      <c r="N583" s="319">
        <v>-43.178403584811178</v>
      </c>
      <c r="O583" s="319">
        <f t="shared" si="9"/>
        <v>0</v>
      </c>
      <c r="P583" s="317">
        <v>0</v>
      </c>
      <c r="Q583" s="315" t="s">
        <v>1148</v>
      </c>
      <c r="R583" s="318">
        <v>155</v>
      </c>
      <c r="T583" s="320">
        <v>68.333333333333329</v>
      </c>
      <c r="U583" s="318">
        <v>24.6</v>
      </c>
      <c r="V583" s="318">
        <v>60</v>
      </c>
      <c r="W583" s="318">
        <v>130</v>
      </c>
      <c r="X583" s="315">
        <v>0.16</v>
      </c>
      <c r="Y583" s="318">
        <v>367</v>
      </c>
      <c r="Z583" s="315">
        <v>21</v>
      </c>
      <c r="AA583" s="315" t="s">
        <v>1149</v>
      </c>
      <c r="AB583" s="315">
        <v>0</v>
      </c>
      <c r="AC583" s="315" t="s">
        <v>1150</v>
      </c>
    </row>
    <row r="584" spans="1:29">
      <c r="A584" s="315" t="s">
        <v>1229</v>
      </c>
      <c r="B584" s="315" t="s">
        <v>1970</v>
      </c>
      <c r="C584" s="329">
        <v>4.4154258333333303</v>
      </c>
      <c r="D584" s="329">
        <v>113.73</v>
      </c>
      <c r="E584" s="316" t="s">
        <v>1985</v>
      </c>
      <c r="F584" s="316" t="s">
        <v>1985</v>
      </c>
      <c r="G584" s="317">
        <v>20.0668009</v>
      </c>
      <c r="H584" s="317">
        <v>8.6819313000000005</v>
      </c>
      <c r="I584" s="317">
        <v>8.7840907000000001</v>
      </c>
      <c r="J584" s="317">
        <v>8.9194671000000003</v>
      </c>
      <c r="K584" s="318">
        <v>44.448874259773021</v>
      </c>
      <c r="L584" s="318">
        <v>63.349956768916101</v>
      </c>
      <c r="M584" s="319">
        <v>37.702008460428402</v>
      </c>
      <c r="N584" s="319">
        <v>-6.7468657993446186</v>
      </c>
      <c r="O584" s="319">
        <f t="shared" si="9"/>
        <v>0</v>
      </c>
      <c r="P584" s="317">
        <v>0</v>
      </c>
      <c r="Q584" s="315" t="s">
        <v>1148</v>
      </c>
      <c r="R584" s="318">
        <v>155</v>
      </c>
      <c r="T584" s="320">
        <v>68.333333333333329</v>
      </c>
      <c r="U584" s="318">
        <v>31</v>
      </c>
      <c r="V584" s="318">
        <v>58</v>
      </c>
      <c r="W584" s="318">
        <v>190</v>
      </c>
      <c r="X584" s="315">
        <v>0.15</v>
      </c>
      <c r="Y584" s="318">
        <v>133</v>
      </c>
      <c r="Z584" s="315">
        <v>6</v>
      </c>
      <c r="AA584" s="315" t="s">
        <v>1149</v>
      </c>
      <c r="AB584" s="315">
        <v>0</v>
      </c>
      <c r="AC584" s="315" t="s">
        <v>1150</v>
      </c>
    </row>
    <row r="585" spans="1:29">
      <c r="A585" s="315" t="s">
        <v>1229</v>
      </c>
      <c r="B585" s="315" t="s">
        <v>1970</v>
      </c>
      <c r="C585" s="329">
        <v>4.4132027777777703</v>
      </c>
      <c r="D585" s="329">
        <v>113.73</v>
      </c>
      <c r="E585" s="316" t="s">
        <v>1986</v>
      </c>
      <c r="F585" s="316" t="s">
        <v>1986</v>
      </c>
      <c r="G585" s="317">
        <v>52.015000000000001</v>
      </c>
      <c r="H585" s="317">
        <v>11.653369400000001</v>
      </c>
      <c r="I585" s="317">
        <v>12.851970900000001</v>
      </c>
      <c r="J585" s="317">
        <v>20.508440400000001</v>
      </c>
      <c r="K585" s="318">
        <v>39.427935018744598</v>
      </c>
      <c r="L585" s="318">
        <v>64.799089974008695</v>
      </c>
      <c r="M585" s="319">
        <v>39.487498040439903</v>
      </c>
      <c r="N585" s="319">
        <v>5.956302169530403E-2</v>
      </c>
      <c r="O585" s="319">
        <f t="shared" si="9"/>
        <v>5.956302169530403E-2</v>
      </c>
      <c r="P585" s="317">
        <v>3.098170573481239E-2</v>
      </c>
      <c r="Q585" s="315" t="s">
        <v>1148</v>
      </c>
      <c r="R585" s="318">
        <v>162</v>
      </c>
      <c r="T585" s="320">
        <v>72.222222222222229</v>
      </c>
      <c r="U585" s="318">
        <v>25.5</v>
      </c>
      <c r="V585" s="318">
        <v>57</v>
      </c>
      <c r="W585" s="318">
        <v>115</v>
      </c>
      <c r="X585" s="315">
        <v>0.18</v>
      </c>
      <c r="Y585" s="318">
        <v>800</v>
      </c>
      <c r="Z585" s="315">
        <v>23</v>
      </c>
      <c r="AA585" s="315" t="s">
        <v>1149</v>
      </c>
      <c r="AB585" s="315">
        <v>0</v>
      </c>
      <c r="AC585" s="315" t="s">
        <v>1150</v>
      </c>
    </row>
    <row r="586" spans="1:29">
      <c r="A586" s="315" t="s">
        <v>1229</v>
      </c>
      <c r="B586" s="315" t="s">
        <v>1970</v>
      </c>
      <c r="C586" s="329">
        <v>4.4159922222222203</v>
      </c>
      <c r="D586" s="329">
        <v>113.73</v>
      </c>
      <c r="E586" s="316" t="s">
        <v>1988</v>
      </c>
      <c r="F586" s="316" t="s">
        <v>1988</v>
      </c>
      <c r="G586" s="317">
        <v>19.701999999999998</v>
      </c>
      <c r="H586" s="317">
        <v>2.9375182999999998</v>
      </c>
      <c r="I586" s="317">
        <v>3.2598447999999998</v>
      </c>
      <c r="J586" s="317">
        <v>5.7445218999999996</v>
      </c>
      <c r="K586" s="318">
        <v>29.157049538117956</v>
      </c>
      <c r="L586" s="318">
        <v>75.571856919902899</v>
      </c>
      <c r="M586" s="319">
        <v>33.226663579851198</v>
      </c>
      <c r="N586" s="319">
        <v>4.0696140417332423</v>
      </c>
      <c r="O586" s="319">
        <f t="shared" si="9"/>
        <v>4.0696140417332423</v>
      </c>
      <c r="P586" s="317">
        <v>0.80179535850228334</v>
      </c>
      <c r="Q586" s="315" t="s">
        <v>1148</v>
      </c>
      <c r="R586" s="318">
        <v>164</v>
      </c>
      <c r="T586" s="320">
        <v>73.333333333333329</v>
      </c>
      <c r="U586" s="318">
        <v>29</v>
      </c>
      <c r="V586" s="318">
        <v>21</v>
      </c>
      <c r="W586" s="318">
        <v>43</v>
      </c>
      <c r="X586" s="315">
        <v>0.17</v>
      </c>
      <c r="Y586" s="318">
        <v>100</v>
      </c>
      <c r="Z586" s="315">
        <v>13</v>
      </c>
      <c r="AA586" s="315" t="s">
        <v>1149</v>
      </c>
      <c r="AB586" s="315">
        <v>0</v>
      </c>
      <c r="AC586" s="315" t="s">
        <v>1150</v>
      </c>
    </row>
    <row r="587" spans="1:29">
      <c r="A587" s="315" t="s">
        <v>1229</v>
      </c>
      <c r="B587" s="315" t="s">
        <v>1970</v>
      </c>
      <c r="C587" s="329">
        <v>4.4118916190476201</v>
      </c>
      <c r="D587" s="329">
        <v>113.73</v>
      </c>
      <c r="E587" s="316" t="s">
        <v>1989</v>
      </c>
      <c r="F587" s="316" t="s">
        <v>1989</v>
      </c>
      <c r="G587" s="317">
        <v>25.349</v>
      </c>
      <c r="H587" s="317">
        <v>8.4701304000000004</v>
      </c>
      <c r="I587" s="317">
        <v>8.7742661999999996</v>
      </c>
      <c r="J587" s="317">
        <v>9.199954</v>
      </c>
      <c r="K587" s="318">
        <v>36.293163438399937</v>
      </c>
      <c r="L587" s="318">
        <v>70.836210429833301</v>
      </c>
      <c r="M587" s="319">
        <v>36.474324157976504</v>
      </c>
      <c r="N587" s="319">
        <v>0.18116071957656743</v>
      </c>
      <c r="O587" s="319">
        <f t="shared" si="9"/>
        <v>0.18116071957656743</v>
      </c>
      <c r="P587" s="317">
        <v>4.5922430805464078E-2</v>
      </c>
      <c r="Q587" s="315" t="s">
        <v>1148</v>
      </c>
      <c r="R587" s="318">
        <v>167</v>
      </c>
      <c r="T587" s="320">
        <v>75</v>
      </c>
      <c r="U587" s="318">
        <v>31</v>
      </c>
      <c r="V587" s="318">
        <v>46</v>
      </c>
      <c r="W587" s="318">
        <v>91</v>
      </c>
      <c r="X587" s="315">
        <v>0.18</v>
      </c>
      <c r="Y587" s="318">
        <v>110</v>
      </c>
      <c r="Z587" s="315">
        <v>14</v>
      </c>
      <c r="AA587" s="315" t="s">
        <v>1149</v>
      </c>
      <c r="AB587" s="315">
        <v>0</v>
      </c>
      <c r="AC587" s="315" t="s">
        <v>1150</v>
      </c>
    </row>
    <row r="588" spans="1:29">
      <c r="A588" s="315" t="s">
        <v>1552</v>
      </c>
      <c r="B588" s="315" t="s">
        <v>1970</v>
      </c>
      <c r="C588" s="329">
        <v>4.4116007867063498</v>
      </c>
      <c r="D588" s="329">
        <v>113.73</v>
      </c>
      <c r="E588" s="316" t="s">
        <v>1990</v>
      </c>
      <c r="F588" s="316" t="s">
        <v>1990</v>
      </c>
      <c r="G588" s="317">
        <v>14.343</v>
      </c>
      <c r="H588" s="317">
        <v>0.32159929999999998</v>
      </c>
      <c r="I588" s="317">
        <v>0.49011319999999997</v>
      </c>
      <c r="J588" s="317">
        <v>2.7192271000000003</v>
      </c>
      <c r="K588" s="318">
        <v>18.958565850937742</v>
      </c>
      <c r="L588" s="318">
        <v>57.380362574379397</v>
      </c>
      <c r="M588" s="319">
        <v>35.173230104844301</v>
      </c>
      <c r="N588" s="319">
        <v>16.214664253906559</v>
      </c>
      <c r="O588" s="319">
        <f t="shared" si="9"/>
        <v>16.214664253906559</v>
      </c>
      <c r="P588" s="317">
        <v>2.3256692939378176</v>
      </c>
      <c r="Q588" s="315" t="s">
        <v>1148</v>
      </c>
      <c r="R588" s="318">
        <v>176</v>
      </c>
      <c r="T588" s="320">
        <v>80</v>
      </c>
      <c r="U588" s="318">
        <v>32</v>
      </c>
      <c r="V588" s="318">
        <v>40</v>
      </c>
      <c r="W588" s="318">
        <v>82</v>
      </c>
      <c r="X588" s="315">
        <v>0.21</v>
      </c>
      <c r="Y588" s="318">
        <v>1168</v>
      </c>
      <c r="Z588" s="315">
        <v>4</v>
      </c>
      <c r="AA588" s="315" t="s">
        <v>1149</v>
      </c>
      <c r="AB588" s="315">
        <v>0</v>
      </c>
      <c r="AC588" s="315" t="s">
        <v>1150</v>
      </c>
    </row>
    <row r="589" spans="1:29">
      <c r="A589" s="315" t="s">
        <v>1310</v>
      </c>
      <c r="B589" s="315" t="s">
        <v>1080</v>
      </c>
      <c r="C589" s="329">
        <v>4.4968633333333301</v>
      </c>
      <c r="D589" s="329">
        <v>113.6</v>
      </c>
      <c r="E589" s="316" t="s">
        <v>1991</v>
      </c>
      <c r="F589" s="316" t="s">
        <v>1992</v>
      </c>
      <c r="G589" s="317">
        <v>34.380026193866463</v>
      </c>
      <c r="H589" s="317">
        <v>3.6010390000000001</v>
      </c>
      <c r="I589" s="317">
        <v>4.644914</v>
      </c>
      <c r="J589" s="317">
        <v>8.9418398434418016</v>
      </c>
      <c r="K589" s="318">
        <v>26.008822078899584</v>
      </c>
      <c r="L589" s="318">
        <v>46.973037180218498</v>
      </c>
      <c r="M589" s="319">
        <v>43.228942295388002</v>
      </c>
      <c r="N589" s="319">
        <v>17.220120216488418</v>
      </c>
      <c r="O589" s="319">
        <f t="shared" si="9"/>
        <v>17.220120216488418</v>
      </c>
      <c r="P589" s="317">
        <v>5.9202818410440123</v>
      </c>
      <c r="Q589" s="315" t="s">
        <v>1148</v>
      </c>
      <c r="R589" s="318">
        <v>150</v>
      </c>
      <c r="T589" s="320">
        <v>65.555555555555557</v>
      </c>
      <c r="U589" s="318">
        <v>23</v>
      </c>
      <c r="V589" s="318">
        <v>70</v>
      </c>
      <c r="W589" s="318">
        <v>150</v>
      </c>
      <c r="X589" s="315">
        <v>0.2</v>
      </c>
      <c r="Y589" s="318">
        <v>100</v>
      </c>
      <c r="Z589" s="315">
        <v>14</v>
      </c>
      <c r="AA589" s="315" t="s">
        <v>1149</v>
      </c>
      <c r="AB589" s="315">
        <v>0</v>
      </c>
      <c r="AC589" s="315" t="s">
        <v>1150</v>
      </c>
    </row>
    <row r="590" spans="1:29">
      <c r="A590" s="315" t="s">
        <v>1310</v>
      </c>
      <c r="B590" s="315" t="s">
        <v>1080</v>
      </c>
      <c r="C590" s="329">
        <v>4.5009805555555502</v>
      </c>
      <c r="D590" s="329">
        <v>113.6</v>
      </c>
      <c r="E590" s="316" t="s">
        <v>1994</v>
      </c>
      <c r="F590" s="316" t="s">
        <v>1995</v>
      </c>
      <c r="G590" s="317">
        <v>16.320012434086696</v>
      </c>
      <c r="H590" s="317">
        <v>0.30950149999999998</v>
      </c>
      <c r="I590" s="317">
        <v>0.30950149999999998</v>
      </c>
      <c r="J590" s="317">
        <v>3.962028088321389</v>
      </c>
      <c r="K590" s="318">
        <v>24.277114397573147</v>
      </c>
      <c r="L590" s="318">
        <v>42.890850785206197</v>
      </c>
      <c r="M590" s="319">
        <v>39.395971893993398</v>
      </c>
      <c r="N590" s="319">
        <v>15.118857496420251</v>
      </c>
      <c r="O590" s="319">
        <f t="shared" si="9"/>
        <v>15.118857496420251</v>
      </c>
      <c r="P590" s="317">
        <v>2.4673994233076337</v>
      </c>
      <c r="Q590" s="315" t="s">
        <v>1148</v>
      </c>
      <c r="R590" s="318">
        <v>157</v>
      </c>
      <c r="T590" s="320">
        <v>69.444444444444443</v>
      </c>
      <c r="U590" s="318">
        <v>29</v>
      </c>
      <c r="V590" s="318">
        <v>20</v>
      </c>
      <c r="W590" s="318">
        <v>62</v>
      </c>
      <c r="X590" s="315">
        <v>0.2</v>
      </c>
      <c r="Y590" s="318">
        <v>100</v>
      </c>
      <c r="Z590" s="315">
        <v>6</v>
      </c>
      <c r="AA590" s="315" t="s">
        <v>1149</v>
      </c>
      <c r="AB590" s="315">
        <v>0</v>
      </c>
      <c r="AC590" s="315" t="s">
        <v>1150</v>
      </c>
    </row>
    <row r="591" spans="1:29">
      <c r="A591" s="315" t="s">
        <v>1310</v>
      </c>
      <c r="B591" s="315" t="s">
        <v>1080</v>
      </c>
      <c r="C591" s="329">
        <v>4.4860447222222204</v>
      </c>
      <c r="D591" s="329">
        <v>113.6</v>
      </c>
      <c r="E591" s="316" t="s">
        <v>1996</v>
      </c>
      <c r="F591" s="316" t="s">
        <v>1996</v>
      </c>
      <c r="G591" s="317">
        <v>12.2700093484218</v>
      </c>
      <c r="H591" s="317">
        <v>1.7905285</v>
      </c>
      <c r="I591" s="317">
        <v>1.7905285</v>
      </c>
      <c r="J591" s="317">
        <v>3.0443901776113615</v>
      </c>
      <c r="K591" s="318">
        <v>24.811636985451351</v>
      </c>
      <c r="L591" s="318">
        <v>41.125599873183702</v>
      </c>
      <c r="M591" s="319">
        <v>44.8590716498991</v>
      </c>
      <c r="N591" s="319">
        <v>20.047434664447749</v>
      </c>
      <c r="O591" s="319">
        <f t="shared" si="9"/>
        <v>20.047434664447749</v>
      </c>
      <c r="P591" s="317">
        <v>2.4598221074464912</v>
      </c>
      <c r="Q591" s="315" t="s">
        <v>1148</v>
      </c>
      <c r="R591" s="318">
        <v>160</v>
      </c>
      <c r="T591" s="320">
        <v>71.111111111111114</v>
      </c>
      <c r="U591" s="318">
        <v>32</v>
      </c>
      <c r="V591" s="318">
        <v>18</v>
      </c>
      <c r="W591" s="318">
        <v>128</v>
      </c>
      <c r="X591" s="315">
        <v>0.2</v>
      </c>
      <c r="Y591" s="318">
        <v>100</v>
      </c>
      <c r="Z591" s="315">
        <v>6</v>
      </c>
      <c r="AA591" s="315" t="s">
        <v>1149</v>
      </c>
      <c r="AB591" s="315">
        <v>0</v>
      </c>
      <c r="AC591" s="315" t="s">
        <v>1150</v>
      </c>
    </row>
    <row r="592" spans="1:29">
      <c r="A592" s="315" t="s">
        <v>1310</v>
      </c>
      <c r="B592" s="315" t="s">
        <v>1080</v>
      </c>
      <c r="C592" s="329">
        <v>4.4861008333333299</v>
      </c>
      <c r="D592" s="329">
        <v>113.6</v>
      </c>
      <c r="E592" s="316" t="s">
        <v>1997</v>
      </c>
      <c r="F592" s="316" t="s">
        <v>1997</v>
      </c>
      <c r="G592" s="317">
        <v>16.430012517894877</v>
      </c>
      <c r="H592" s="317">
        <v>0.981935</v>
      </c>
      <c r="I592" s="317">
        <v>1.206548</v>
      </c>
      <c r="J592" s="317">
        <v>4.7837662712031168</v>
      </c>
      <c r="K592" s="318">
        <v>29.116023289652642</v>
      </c>
      <c r="L592" s="318">
        <v>40.894389123407599</v>
      </c>
      <c r="M592" s="319">
        <v>40.0256269984122</v>
      </c>
      <c r="N592" s="319">
        <v>10.909603708759558</v>
      </c>
      <c r="O592" s="319">
        <f t="shared" si="9"/>
        <v>10.909603708759558</v>
      </c>
      <c r="P592" s="317">
        <v>1.7924492550019191</v>
      </c>
      <c r="Q592" s="315" t="s">
        <v>1148</v>
      </c>
      <c r="R592" s="318">
        <v>160</v>
      </c>
      <c r="T592" s="320">
        <v>71.111111111111114</v>
      </c>
      <c r="U592" s="318">
        <v>32</v>
      </c>
      <c r="V592" s="318">
        <v>15</v>
      </c>
      <c r="W592" s="318">
        <v>128</v>
      </c>
      <c r="X592" s="315">
        <v>0.2</v>
      </c>
      <c r="Y592" s="318">
        <v>100</v>
      </c>
      <c r="Z592" s="315">
        <v>7</v>
      </c>
      <c r="AA592" s="315" t="s">
        <v>1149</v>
      </c>
      <c r="AB592" s="315">
        <v>0</v>
      </c>
      <c r="AC592" s="315" t="s">
        <v>1150</v>
      </c>
    </row>
    <row r="593" spans="1:29">
      <c r="A593" s="315" t="s">
        <v>1460</v>
      </c>
      <c r="B593" s="315" t="s">
        <v>1080</v>
      </c>
      <c r="C593" s="329">
        <v>4.4952424999999998</v>
      </c>
      <c r="D593" s="329">
        <v>113.6</v>
      </c>
      <c r="E593" s="316" t="s">
        <v>1998</v>
      </c>
      <c r="F593" s="316" t="s">
        <v>1998</v>
      </c>
      <c r="G593" s="317">
        <v>13.640010392214617</v>
      </c>
      <c r="H593" s="317">
        <v>6.0760506999999997</v>
      </c>
      <c r="I593" s="317">
        <v>6.7836056999999998</v>
      </c>
      <c r="J593" s="317">
        <v>6.7836056999999998</v>
      </c>
      <c r="K593" s="318">
        <v>49.733141727457301</v>
      </c>
      <c r="L593" s="318">
        <v>40.217285067152901</v>
      </c>
      <c r="M593" s="319">
        <v>46.168412062921895</v>
      </c>
      <c r="N593" s="319">
        <v>-3.5647296645354061</v>
      </c>
      <c r="O593" s="319">
        <f t="shared" si="9"/>
        <v>0</v>
      </c>
      <c r="P593" s="317">
        <v>0</v>
      </c>
      <c r="Q593" s="315" t="s">
        <v>1148</v>
      </c>
      <c r="R593" s="318">
        <v>162</v>
      </c>
      <c r="T593" s="320">
        <v>72.222222222222229</v>
      </c>
      <c r="U593" s="318">
        <v>33</v>
      </c>
      <c r="V593" s="318">
        <v>18</v>
      </c>
      <c r="W593" s="318">
        <v>120</v>
      </c>
      <c r="X593" s="315">
        <v>0.2</v>
      </c>
      <c r="Y593" s="318">
        <v>100</v>
      </c>
      <c r="Z593" s="315">
        <v>12</v>
      </c>
      <c r="AA593" s="315" t="s">
        <v>1149</v>
      </c>
      <c r="AB593" s="315">
        <v>0</v>
      </c>
      <c r="AC593" s="315" t="s">
        <v>1150</v>
      </c>
    </row>
    <row r="594" spans="1:29">
      <c r="A594" s="315" t="s">
        <v>1229</v>
      </c>
      <c r="B594" s="315" t="s">
        <v>1080</v>
      </c>
      <c r="C594" s="329">
        <v>4.4915958333333297</v>
      </c>
      <c r="D594" s="329">
        <v>113.6</v>
      </c>
      <c r="E594" s="316" t="s">
        <v>1999</v>
      </c>
      <c r="F594" s="316" t="s">
        <v>1999</v>
      </c>
      <c r="G594" s="317">
        <v>23.0600175692426</v>
      </c>
      <c r="H594" s="317">
        <v>5.8779643999999998</v>
      </c>
      <c r="I594" s="317">
        <v>6.3815884</v>
      </c>
      <c r="J594" s="317">
        <v>8.2685199944223378</v>
      </c>
      <c r="K594" s="318">
        <v>35.85652079229493</v>
      </c>
      <c r="L594" s="318">
        <v>37.582113602015397</v>
      </c>
      <c r="M594" s="319">
        <v>47.320520964456399</v>
      </c>
      <c r="N594" s="319">
        <v>11.464000172161469</v>
      </c>
      <c r="O594" s="319">
        <f t="shared" si="9"/>
        <v>11.464000172161469</v>
      </c>
      <c r="P594" s="317">
        <v>2.6436004538384368</v>
      </c>
      <c r="Q594" s="315" t="s">
        <v>1148</v>
      </c>
      <c r="R594" s="318">
        <v>165</v>
      </c>
      <c r="T594" s="320">
        <v>73.888888888888886</v>
      </c>
      <c r="U594" s="318">
        <v>37</v>
      </c>
      <c r="V594" s="318">
        <v>15</v>
      </c>
      <c r="W594" s="318">
        <v>165</v>
      </c>
      <c r="X594" s="315">
        <v>0.2</v>
      </c>
      <c r="Y594" s="318">
        <v>100</v>
      </c>
      <c r="Z594" s="315">
        <v>13</v>
      </c>
      <c r="AA594" s="315" t="s">
        <v>1149</v>
      </c>
      <c r="AB594" s="315">
        <v>0</v>
      </c>
      <c r="AC594" s="315" t="s">
        <v>1150</v>
      </c>
    </row>
    <row r="595" spans="1:29">
      <c r="A595" s="315" t="s">
        <v>1229</v>
      </c>
      <c r="B595" s="315" t="s">
        <v>1080</v>
      </c>
      <c r="C595" s="329">
        <v>4.4971424999999998</v>
      </c>
      <c r="D595" s="329">
        <v>113.6</v>
      </c>
      <c r="E595" s="316" t="s">
        <v>2000</v>
      </c>
      <c r="F595" s="316" t="s">
        <v>2000</v>
      </c>
      <c r="G595" s="317">
        <v>25.280019260644099</v>
      </c>
      <c r="H595" s="317">
        <v>9.3426816000000006</v>
      </c>
      <c r="I595" s="317">
        <v>11.982836600000001</v>
      </c>
      <c r="J595" s="317">
        <v>11.982836600000001</v>
      </c>
      <c r="K595" s="318">
        <v>47.400425120145634</v>
      </c>
      <c r="L595" s="318">
        <v>36.670981097773598</v>
      </c>
      <c r="M595" s="319">
        <v>47.762336979944905</v>
      </c>
      <c r="N595" s="319">
        <v>0.36191185979927099</v>
      </c>
      <c r="O595" s="319">
        <f t="shared" si="9"/>
        <v>0.36191185979927099</v>
      </c>
      <c r="P595" s="317">
        <v>9.1491387863810975E-2</v>
      </c>
      <c r="Q595" s="315" t="s">
        <v>1148</v>
      </c>
      <c r="R595" s="318">
        <v>166</v>
      </c>
      <c r="T595" s="320">
        <v>74.444444444444443</v>
      </c>
      <c r="U595" s="318">
        <v>38</v>
      </c>
      <c r="V595" s="318">
        <v>20</v>
      </c>
      <c r="W595" s="318">
        <v>220</v>
      </c>
      <c r="X595" s="315">
        <v>0.2</v>
      </c>
      <c r="Y595" s="318">
        <v>100</v>
      </c>
      <c r="Z595" s="315">
        <v>15</v>
      </c>
      <c r="AA595" s="315" t="s">
        <v>1149</v>
      </c>
      <c r="AB595" s="315">
        <v>0</v>
      </c>
      <c r="AC595" s="315" t="s">
        <v>1150</v>
      </c>
    </row>
    <row r="596" spans="1:29">
      <c r="A596" s="315" t="s">
        <v>1502</v>
      </c>
      <c r="B596" s="315" t="s">
        <v>1080</v>
      </c>
      <c r="C596" s="329">
        <v>4.4888250000000003</v>
      </c>
      <c r="D596" s="329">
        <v>113.6</v>
      </c>
      <c r="E596" s="316" t="s">
        <v>2001</v>
      </c>
      <c r="F596" s="316" t="s">
        <v>2001</v>
      </c>
      <c r="G596" s="317">
        <v>74.300056608617737</v>
      </c>
      <c r="H596" s="317">
        <v>40.659878500000005</v>
      </c>
      <c r="I596" s="317">
        <v>41.336029500000002</v>
      </c>
      <c r="J596" s="317">
        <v>41.336029500000002</v>
      </c>
      <c r="K596" s="318">
        <v>55.633913871346387</v>
      </c>
      <c r="L596" s="318">
        <v>36.694366791489003</v>
      </c>
      <c r="M596" s="319">
        <v>47.9296338494323</v>
      </c>
      <c r="N596" s="319">
        <v>-7.7042800219140872</v>
      </c>
      <c r="O596" s="319">
        <f t="shared" si="9"/>
        <v>0</v>
      </c>
      <c r="P596" s="317">
        <v>0</v>
      </c>
      <c r="Q596" s="315" t="s">
        <v>1148</v>
      </c>
      <c r="R596" s="318">
        <v>167</v>
      </c>
      <c r="T596" s="320">
        <v>75</v>
      </c>
      <c r="U596" s="318">
        <v>38.700000000000003</v>
      </c>
      <c r="V596" s="318">
        <v>20</v>
      </c>
      <c r="W596" s="318">
        <v>250</v>
      </c>
      <c r="X596" s="315">
        <v>0.2</v>
      </c>
      <c r="Y596" s="318">
        <v>100</v>
      </c>
      <c r="Z596" s="315">
        <v>30</v>
      </c>
      <c r="AA596" s="315" t="s">
        <v>1149</v>
      </c>
      <c r="AB596" s="315">
        <v>0</v>
      </c>
      <c r="AC596" s="315" t="s">
        <v>1150</v>
      </c>
    </row>
    <row r="597" spans="1:29">
      <c r="A597" s="315" t="s">
        <v>1508</v>
      </c>
      <c r="B597" s="315" t="s">
        <v>1080</v>
      </c>
      <c r="C597" s="329">
        <v>4.50739444444444</v>
      </c>
      <c r="D597" s="329">
        <v>113.6</v>
      </c>
      <c r="E597" s="316" t="s">
        <v>2002</v>
      </c>
      <c r="F597" s="316" t="s">
        <v>2002</v>
      </c>
      <c r="G597" s="317">
        <v>63.20004815161024</v>
      </c>
      <c r="H597" s="317">
        <v>24.584195000000001</v>
      </c>
      <c r="I597" s="317">
        <v>25.440928</v>
      </c>
      <c r="J597" s="317">
        <v>25.440928</v>
      </c>
      <c r="K597" s="318">
        <v>40.254602241710167</v>
      </c>
      <c r="L597" s="318">
        <v>36.708187465402098</v>
      </c>
      <c r="M597" s="319">
        <v>47.922821527124</v>
      </c>
      <c r="N597" s="319">
        <v>7.6682192854138336</v>
      </c>
      <c r="O597" s="319">
        <f t="shared" si="9"/>
        <v>7.6682192854138336</v>
      </c>
      <c r="P597" s="317">
        <v>4.8463182807526053</v>
      </c>
      <c r="Q597" s="315" t="s">
        <v>1148</v>
      </c>
      <c r="R597" s="318">
        <v>168</v>
      </c>
      <c r="T597" s="320">
        <v>75.555555555555557</v>
      </c>
      <c r="U597" s="318">
        <v>38.700000000000003</v>
      </c>
      <c r="V597" s="318">
        <v>20</v>
      </c>
      <c r="W597" s="318">
        <v>250</v>
      </c>
      <c r="X597" s="315">
        <v>0.2</v>
      </c>
      <c r="Y597" s="318">
        <v>100</v>
      </c>
      <c r="Z597" s="315">
        <v>32</v>
      </c>
      <c r="AA597" s="315" t="s">
        <v>1149</v>
      </c>
      <c r="AB597" s="315">
        <v>0</v>
      </c>
      <c r="AC597" s="315" t="s">
        <v>1150</v>
      </c>
    </row>
    <row r="598" spans="1:29">
      <c r="A598" s="315" t="s">
        <v>1517</v>
      </c>
      <c r="B598" s="315" t="s">
        <v>1080</v>
      </c>
      <c r="C598" s="329">
        <v>4.4964872222222203</v>
      </c>
      <c r="D598" s="329">
        <v>113.6</v>
      </c>
      <c r="E598" s="316" t="s">
        <v>2004</v>
      </c>
      <c r="F598" s="316" t="s">
        <v>2004</v>
      </c>
      <c r="G598" s="317">
        <v>55.000041904091191</v>
      </c>
      <c r="H598" s="317">
        <v>34.573594300000003</v>
      </c>
      <c r="I598" s="317">
        <v>34.793151300000005</v>
      </c>
      <c r="J598" s="317">
        <v>34.793151300000005</v>
      </c>
      <c r="K598" s="318">
        <v>63.260226893412444</v>
      </c>
      <c r="L598" s="318">
        <v>36.722153515338697</v>
      </c>
      <c r="M598" s="319">
        <v>49.149881398630704</v>
      </c>
      <c r="N598" s="319">
        <v>-14.11034549478174</v>
      </c>
      <c r="O598" s="319">
        <f t="shared" si="9"/>
        <v>0</v>
      </c>
      <c r="P598" s="317">
        <v>0</v>
      </c>
      <c r="Q598" s="315" t="s">
        <v>1148</v>
      </c>
      <c r="R598" s="318">
        <v>169</v>
      </c>
      <c r="T598" s="320">
        <v>76.111111111111114</v>
      </c>
      <c r="U598" s="318">
        <v>41</v>
      </c>
      <c r="V598" s="318">
        <v>20</v>
      </c>
      <c r="W598" s="318">
        <v>190</v>
      </c>
      <c r="X598" s="315">
        <v>0.2</v>
      </c>
      <c r="Y598" s="318">
        <v>100</v>
      </c>
      <c r="Z598" s="315">
        <v>19</v>
      </c>
      <c r="AA598" s="315" t="s">
        <v>1149</v>
      </c>
      <c r="AB598" s="315">
        <v>0</v>
      </c>
      <c r="AC598" s="315" t="s">
        <v>1150</v>
      </c>
    </row>
    <row r="599" spans="1:29">
      <c r="A599" s="315" t="s">
        <v>1525</v>
      </c>
      <c r="B599" s="315" t="s">
        <v>1080</v>
      </c>
      <c r="C599" s="329">
        <v>4.4974974259259302</v>
      </c>
      <c r="D599" s="329">
        <v>113.6</v>
      </c>
      <c r="E599" s="316" t="s">
        <v>2005</v>
      </c>
      <c r="F599" s="316" t="s">
        <v>2005</v>
      </c>
      <c r="G599" s="317">
        <v>63.500048380178022</v>
      </c>
      <c r="H599" s="317">
        <v>39.177517799999997</v>
      </c>
      <c r="I599" s="317">
        <v>39.8748158</v>
      </c>
      <c r="J599" s="317">
        <v>41.349354699999999</v>
      </c>
      <c r="K599" s="318">
        <v>65.117044403555894</v>
      </c>
      <c r="L599" s="318">
        <v>36.7328220876499</v>
      </c>
      <c r="M599" s="319">
        <v>47.910691888250099</v>
      </c>
      <c r="N599" s="319">
        <v>-17.206352515305795</v>
      </c>
      <c r="O599" s="319">
        <f t="shared" si="9"/>
        <v>0</v>
      </c>
      <c r="P599" s="317">
        <v>0</v>
      </c>
      <c r="Q599" s="315" t="s">
        <v>1148</v>
      </c>
      <c r="R599" s="318">
        <v>170</v>
      </c>
      <c r="T599" s="320">
        <v>76.666666666666671</v>
      </c>
      <c r="U599" s="318">
        <v>41</v>
      </c>
      <c r="V599" s="318">
        <v>20</v>
      </c>
      <c r="W599" s="318">
        <v>300</v>
      </c>
      <c r="X599" s="315">
        <v>0.2</v>
      </c>
      <c r="Y599" s="318">
        <v>100</v>
      </c>
      <c r="Z599" s="315">
        <v>20</v>
      </c>
      <c r="AA599" s="315" t="s">
        <v>1149</v>
      </c>
      <c r="AB599" s="315">
        <v>0</v>
      </c>
      <c r="AC599" s="315" t="s">
        <v>1150</v>
      </c>
    </row>
    <row r="600" spans="1:29">
      <c r="A600" s="315" t="s">
        <v>1690</v>
      </c>
      <c r="B600" s="315" t="s">
        <v>1080</v>
      </c>
      <c r="C600" s="329">
        <v>4.4980119225589199</v>
      </c>
      <c r="D600" s="329">
        <v>113.6</v>
      </c>
      <c r="E600" s="316" t="s">
        <v>2006</v>
      </c>
      <c r="F600" s="316" t="s">
        <v>2006</v>
      </c>
      <c r="G600" s="317">
        <v>10.030007641782449</v>
      </c>
      <c r="H600" s="317">
        <v>6.8957492</v>
      </c>
      <c r="I600" s="317">
        <v>6.9615982000000001</v>
      </c>
      <c r="J600" s="317">
        <v>6.9615982000000001</v>
      </c>
      <c r="K600" s="318">
        <v>69.407705842613325</v>
      </c>
      <c r="L600" s="318">
        <v>37.191094296765797</v>
      </c>
      <c r="M600" s="319">
        <v>47.507357365252403</v>
      </c>
      <c r="N600" s="319">
        <v>-21.900348477360922</v>
      </c>
      <c r="O600" s="319">
        <f t="shared" si="9"/>
        <v>0</v>
      </c>
      <c r="P600" s="317">
        <v>0</v>
      </c>
      <c r="Q600" s="315" t="s">
        <v>1148</v>
      </c>
      <c r="R600" s="318">
        <v>194</v>
      </c>
      <c r="T600" s="320">
        <v>90</v>
      </c>
      <c r="U600" s="318">
        <v>40</v>
      </c>
      <c r="V600" s="318">
        <v>15</v>
      </c>
      <c r="W600" s="318">
        <v>120</v>
      </c>
      <c r="X600" s="315">
        <v>0.2</v>
      </c>
      <c r="Y600" s="318">
        <v>100</v>
      </c>
      <c r="Z600" s="315">
        <v>6</v>
      </c>
      <c r="AA600" s="315" t="s">
        <v>1149</v>
      </c>
      <c r="AB600" s="315">
        <v>0</v>
      </c>
      <c r="AC600" s="315" t="s">
        <v>1150</v>
      </c>
    </row>
    <row r="601" spans="1:29">
      <c r="A601" s="315" t="s">
        <v>1454</v>
      </c>
      <c r="B601" s="315" t="s">
        <v>2007</v>
      </c>
      <c r="C601" s="329">
        <v>5.5931683333333302</v>
      </c>
      <c r="D601" s="329">
        <v>114.953656111111</v>
      </c>
      <c r="E601" s="316" t="s">
        <v>2008</v>
      </c>
      <c r="F601" s="316" t="s">
        <v>2008</v>
      </c>
      <c r="G601" s="317">
        <v>19</v>
      </c>
      <c r="H601" s="317">
        <v>3.489398</v>
      </c>
      <c r="I601" s="317">
        <v>3.489398</v>
      </c>
      <c r="J601" s="317">
        <v>4.5413660000000009</v>
      </c>
      <c r="K601" s="318">
        <v>23.901926315789478</v>
      </c>
      <c r="L601" s="318">
        <v>56.784746026789598</v>
      </c>
      <c r="M601" s="319">
        <v>41.165562225956499</v>
      </c>
      <c r="N601" s="319">
        <v>17.263635910167022</v>
      </c>
      <c r="O601" s="319">
        <f t="shared" si="9"/>
        <v>17.263635910167022</v>
      </c>
      <c r="P601" s="317">
        <v>3.2800908229317343</v>
      </c>
      <c r="Q601" s="315" t="s">
        <v>1148</v>
      </c>
      <c r="R601" s="318">
        <v>161.6</v>
      </c>
      <c r="T601" s="320">
        <v>72</v>
      </c>
      <c r="U601" s="318">
        <v>41.2</v>
      </c>
      <c r="V601" s="318">
        <v>49.3</v>
      </c>
      <c r="W601" s="318">
        <v>0</v>
      </c>
      <c r="X601" s="315">
        <v>0.21</v>
      </c>
      <c r="Y601" s="318">
        <v>62.7</v>
      </c>
      <c r="Z601" s="315">
        <v>2</v>
      </c>
      <c r="AA601" s="315" t="s">
        <v>1149</v>
      </c>
      <c r="AB601" s="315">
        <v>0</v>
      </c>
      <c r="AC601" s="315" t="s">
        <v>1150</v>
      </c>
    </row>
  </sheetData>
  <autoFilter ref="A1:AC601" xr:uid="{2B415DF8-5764-45B7-AFBB-7CA4B94F2AC6}">
    <sortState xmlns:xlrd2="http://schemas.microsoft.com/office/spreadsheetml/2017/richdata2" ref="A2:AC601">
      <sortCondition ref="B1:B601"/>
    </sortState>
  </autoFilter>
  <pageMargins left="0.7" right="0.7" top="0.75" bottom="0.75" header="0.3" footer="0.3"/>
  <headerFooter>
    <oddHeader>&amp;C&amp;"Calibri"&amp;8&amp;K000000 For Internal Use - For Internal Distribution Only&amp;1#_x000D_</oddHeader>
  </headerFooter>
</worksheet>
</file>

<file path=docMetadata/LabelInfo.xml><?xml version="1.0" encoding="utf-8"?>
<clbl:labelList xmlns:clbl="http://schemas.microsoft.com/office/2020/mipLabelMetadata">
  <clbl:label id="{c03ad7b2-93d4-41e9-a098-b1febc82f3d0}" enabled="1" method="Privileged" siteId="{3b2e8941-7948-4131-978a-b2dfc729509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33</vt:i4>
      </vt:variant>
      <vt:variant>
        <vt:lpstr>Named Ranges</vt:lpstr>
      </vt:variant>
      <vt:variant>
        <vt:i4>1</vt:i4>
      </vt:variant>
    </vt:vector>
  </HeadingPairs>
  <TitlesOfParts>
    <vt:vector size="34" baseType="lpstr">
      <vt:lpstr>Sor_f</vt:lpstr>
      <vt:lpstr>Coreflood Summary</vt:lpstr>
      <vt:lpstr>map</vt:lpstr>
      <vt:lpstr>Adsorption</vt:lpstr>
      <vt:lpstr>UserGuide</vt:lpstr>
      <vt:lpstr>InputData</vt:lpstr>
      <vt:lpstr>Screening</vt:lpstr>
      <vt:lpstr>Ranking</vt:lpstr>
      <vt:lpstr>RF_EUR_Ranges</vt:lpstr>
      <vt:lpstr>Summary</vt:lpstr>
      <vt:lpstr>ScenarioControls</vt:lpstr>
      <vt:lpstr>Criteria</vt:lpstr>
      <vt:lpstr>References_2026</vt:lpstr>
      <vt:lpstr>Lists</vt:lpstr>
      <vt:lpstr>EOR_Data Gathering</vt:lpstr>
      <vt:lpstr>Coreflood</vt:lpstr>
      <vt:lpstr>Sheet1</vt:lpstr>
      <vt:lpstr>Challenges</vt:lpstr>
      <vt:lpstr>Vis_Shear</vt:lpstr>
      <vt:lpstr>Thermal</vt:lpstr>
      <vt:lpstr>Screening_Parameters</vt:lpstr>
      <vt:lpstr>Table_3_2_Peninsular_Msia</vt:lpstr>
      <vt:lpstr>Tidy_All</vt:lpstr>
      <vt:lpstr>Phase_Points</vt:lpstr>
      <vt:lpstr>Phase Behavior Results</vt:lpstr>
      <vt:lpstr>IFT_poly_F</vt:lpstr>
      <vt:lpstr>IFT_sur_F</vt:lpstr>
      <vt:lpstr>PB_2003</vt:lpstr>
      <vt:lpstr>PB_2013_A</vt:lpstr>
      <vt:lpstr>PB_2013_S</vt:lpstr>
      <vt:lpstr>PROP_updatedNov25_v2</vt:lpstr>
      <vt:lpstr>v1</vt:lpstr>
      <vt:lpstr>v2</vt:lpstr>
      <vt:lpstr>'EOR_Data Gathering'!YES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Chee Sheau Chien  (Dev/Upstream)</dc:creator>
  <cp:lastModifiedBy>M Nabiel Izzuddin Radzuan (Dev/Upstream)</cp:lastModifiedBy>
  <dcterms:created xsi:type="dcterms:W3CDTF">2026-06-25T07:04:19Z</dcterms:created>
  <dcterms:modified xsi:type="dcterms:W3CDTF">2026-10-08T08:41:11Z</dcterms:modified>
</cp:coreProperties>
</file>