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TUGAS AKHIR\Skripsi\folder fix skripsi\"/>
    </mc:Choice>
  </mc:AlternateContent>
  <bookViews>
    <workbookView xWindow="0" yWindow="0" windowWidth="19200" windowHeight="790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K21" i="1"/>
  <c r="B117" i="3" l="1"/>
  <c r="B116" i="3"/>
  <c r="B115" i="3"/>
  <c r="N29" i="2"/>
  <c r="N28" i="2"/>
  <c r="M28" i="2"/>
  <c r="L34" i="2"/>
  <c r="L33" i="2"/>
  <c r="L32" i="2"/>
  <c r="L31" i="2"/>
  <c r="L30" i="2"/>
  <c r="L29" i="2"/>
  <c r="L28" i="2"/>
  <c r="K34" i="2"/>
  <c r="K33" i="2"/>
  <c r="K32" i="2"/>
  <c r="K31" i="2"/>
  <c r="K30" i="2"/>
  <c r="K29" i="2"/>
  <c r="K28" i="2"/>
  <c r="L12" i="2"/>
  <c r="K13" i="2"/>
  <c r="K12" i="2"/>
  <c r="J13" i="2"/>
  <c r="J14" i="2"/>
  <c r="J15" i="2"/>
  <c r="J16" i="2"/>
  <c r="J17" i="2"/>
  <c r="J18" i="2"/>
  <c r="J19" i="2"/>
  <c r="J12" i="2"/>
  <c r="K14" i="2"/>
  <c r="N21" i="1"/>
  <c r="M21" i="1"/>
  <c r="K26" i="1"/>
  <c r="K23" i="1"/>
  <c r="K22" i="1" l="1"/>
  <c r="L22" i="1"/>
  <c r="M22" i="1"/>
  <c r="N22" i="1"/>
  <c r="L23" i="1"/>
  <c r="M23" i="1"/>
  <c r="N23" i="1"/>
  <c r="K24" i="1"/>
  <c r="L24" i="1"/>
  <c r="M24" i="1"/>
  <c r="N24" i="1"/>
  <c r="K25" i="1"/>
  <c r="L25" i="1"/>
  <c r="M25" i="1"/>
  <c r="N25" i="1"/>
  <c r="L26" i="1"/>
  <c r="M26" i="1"/>
  <c r="N26" i="1"/>
  <c r="K27" i="1"/>
  <c r="L27" i="1"/>
  <c r="M27" i="1"/>
  <c r="N27" i="1"/>
  <c r="M155" i="3" l="1"/>
  <c r="M154" i="3"/>
  <c r="M153" i="3"/>
  <c r="M152" i="3"/>
  <c r="M151" i="3"/>
  <c r="M150" i="3"/>
  <c r="M149" i="3"/>
  <c r="M141" i="3"/>
  <c r="M142" i="3"/>
  <c r="M143" i="3"/>
  <c r="M144" i="3"/>
  <c r="M145" i="3"/>
  <c r="M146" i="3"/>
  <c r="M140" i="3"/>
  <c r="O137" i="3"/>
  <c r="O136" i="3"/>
  <c r="O135" i="3"/>
  <c r="O134" i="3"/>
  <c r="O133" i="3"/>
  <c r="O132" i="3"/>
  <c r="O131" i="3"/>
  <c r="N137" i="3"/>
  <c r="N136" i="3"/>
  <c r="N135" i="3"/>
  <c r="N134" i="3"/>
  <c r="N133" i="3"/>
  <c r="N132" i="3"/>
  <c r="N131" i="3"/>
  <c r="M137" i="3"/>
  <c r="M136" i="3"/>
  <c r="M135" i="3"/>
  <c r="M134" i="3"/>
  <c r="M133" i="3"/>
  <c r="M132" i="3"/>
  <c r="M131" i="3"/>
  <c r="S127" i="3"/>
  <c r="S126" i="3"/>
  <c r="S125" i="3"/>
  <c r="S124" i="3"/>
  <c r="S123" i="3"/>
  <c r="S122" i="3"/>
  <c r="S121" i="3"/>
  <c r="P127" i="3"/>
  <c r="P126" i="3"/>
  <c r="P125" i="3"/>
  <c r="P124" i="3"/>
  <c r="P123" i="3"/>
  <c r="P122" i="3"/>
  <c r="P121" i="3"/>
  <c r="M127" i="3"/>
  <c r="M126" i="3"/>
  <c r="M125" i="3"/>
  <c r="M124" i="3"/>
  <c r="M123" i="3"/>
  <c r="M122" i="3"/>
  <c r="M121" i="3"/>
  <c r="C154" i="3" l="1"/>
  <c r="C153" i="3"/>
  <c r="C152" i="3"/>
  <c r="C151" i="3"/>
  <c r="C150" i="3"/>
  <c r="C149" i="3"/>
  <c r="C148" i="3"/>
  <c r="C138" i="3"/>
  <c r="C139" i="3"/>
  <c r="C140" i="3"/>
  <c r="C141" i="3"/>
  <c r="C142" i="3"/>
  <c r="C143" i="3"/>
  <c r="C137" i="3"/>
  <c r="E132" i="3"/>
  <c r="E131" i="3"/>
  <c r="E130" i="3"/>
  <c r="E129" i="3"/>
  <c r="E128" i="3"/>
  <c r="E127" i="3"/>
  <c r="E126" i="3"/>
  <c r="D132" i="3"/>
  <c r="D131" i="3"/>
  <c r="D130" i="3"/>
  <c r="D129" i="3"/>
  <c r="D128" i="3"/>
  <c r="D127" i="3"/>
  <c r="D126" i="3"/>
  <c r="C132" i="3"/>
  <c r="C131" i="3"/>
  <c r="C130" i="3"/>
  <c r="C129" i="3"/>
  <c r="C128" i="3"/>
  <c r="C127" i="3"/>
  <c r="C126" i="3"/>
  <c r="H121" i="3"/>
  <c r="E121" i="3"/>
  <c r="H120" i="3"/>
  <c r="E120" i="3"/>
  <c r="H119" i="3"/>
  <c r="E119" i="3"/>
  <c r="H118" i="3"/>
  <c r="E118" i="3"/>
  <c r="H117" i="3"/>
  <c r="E117" i="3"/>
  <c r="H116" i="3"/>
  <c r="E116" i="3"/>
  <c r="H115" i="3"/>
  <c r="E115" i="3"/>
  <c r="B121" i="3"/>
  <c r="B120" i="3"/>
  <c r="B119" i="3"/>
  <c r="B118" i="3"/>
  <c r="P114" i="3"/>
  <c r="P113" i="3"/>
  <c r="P112" i="3"/>
  <c r="P111" i="3"/>
  <c r="P110" i="3"/>
  <c r="P109" i="3"/>
  <c r="P108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P72" i="3" l="1"/>
  <c r="N73" i="3"/>
  <c r="N71" i="3"/>
  <c r="N72" i="3"/>
  <c r="N70" i="3"/>
  <c r="P70" i="3"/>
  <c r="N69" i="3"/>
  <c r="N68" i="3"/>
  <c r="P68" i="3"/>
  <c r="N67" i="3"/>
  <c r="N66" i="3"/>
  <c r="P66" i="3"/>
  <c r="N65" i="3"/>
  <c r="N64" i="3"/>
  <c r="P64" i="3"/>
  <c r="N63" i="3"/>
  <c r="N62" i="3"/>
  <c r="P62" i="3"/>
  <c r="N61" i="3"/>
  <c r="N60" i="3"/>
  <c r="P60" i="3"/>
  <c r="N59" i="3"/>
  <c r="N58" i="3"/>
  <c r="P58" i="3"/>
  <c r="N57" i="3"/>
  <c r="N56" i="3"/>
  <c r="P56" i="3"/>
  <c r="N55" i="3"/>
  <c r="N54" i="3"/>
  <c r="P54" i="3"/>
  <c r="N53" i="3"/>
  <c r="N52" i="3"/>
  <c r="P52" i="3"/>
  <c r="N51" i="3"/>
  <c r="N50" i="3"/>
  <c r="P50" i="3"/>
  <c r="N49" i="3"/>
  <c r="N48" i="3"/>
  <c r="P48" i="3"/>
  <c r="N47" i="3"/>
  <c r="N46" i="3"/>
  <c r="P46" i="3"/>
  <c r="N45" i="3"/>
  <c r="N44" i="3"/>
  <c r="P44" i="3"/>
  <c r="N43" i="3"/>
  <c r="N42" i="3"/>
  <c r="P42" i="3"/>
  <c r="N41" i="3"/>
  <c r="N40" i="3"/>
  <c r="P40" i="3"/>
  <c r="N39" i="3"/>
  <c r="N38" i="3"/>
  <c r="P38" i="3"/>
  <c r="N37" i="3"/>
  <c r="N36" i="3"/>
  <c r="P36" i="3"/>
  <c r="N35" i="3"/>
  <c r="N34" i="3"/>
  <c r="P34" i="3"/>
  <c r="P32" i="3"/>
  <c r="N33" i="3"/>
  <c r="N32" i="3"/>
  <c r="C73" i="3" l="1"/>
  <c r="C72" i="3"/>
  <c r="C71" i="3"/>
  <c r="C70" i="3"/>
  <c r="C69" i="3"/>
  <c r="C68" i="3"/>
  <c r="E68" i="3"/>
  <c r="C67" i="3"/>
  <c r="C66" i="3"/>
  <c r="E66" i="3" s="1"/>
  <c r="C39" i="3"/>
  <c r="E38" i="3"/>
  <c r="C33" i="3"/>
  <c r="C61" i="3"/>
  <c r="C60" i="3"/>
  <c r="C64" i="3"/>
  <c r="C62" i="3"/>
  <c r="C58" i="3"/>
  <c r="C65" i="3"/>
  <c r="C63" i="3"/>
  <c r="E62" i="3"/>
  <c r="E60" i="3"/>
  <c r="C59" i="3"/>
  <c r="C57" i="3"/>
  <c r="C56" i="3"/>
  <c r="C55" i="3"/>
  <c r="C54" i="3"/>
  <c r="E54" i="3"/>
  <c r="C53" i="3"/>
  <c r="E52" i="3" s="1"/>
  <c r="C52" i="3"/>
  <c r="C51" i="3"/>
  <c r="E50" i="3" s="1"/>
  <c r="C50" i="3"/>
  <c r="C49" i="3"/>
  <c r="C48" i="3"/>
  <c r="C47" i="3"/>
  <c r="C46" i="3"/>
  <c r="E46" i="3" s="1"/>
  <c r="C45" i="3"/>
  <c r="E44" i="3" s="1"/>
  <c r="C44" i="3"/>
  <c r="C34" i="3"/>
  <c r="C36" i="3"/>
  <c r="C38" i="3"/>
  <c r="C43" i="3"/>
  <c r="C42" i="3"/>
  <c r="E42" i="3"/>
  <c r="C41" i="3"/>
  <c r="E40" i="3" s="1"/>
  <c r="C40" i="3"/>
  <c r="C37" i="3"/>
  <c r="C35" i="3"/>
  <c r="E34" i="3" s="1"/>
  <c r="E32" i="3"/>
  <c r="C32" i="3"/>
  <c r="E72" i="3" l="1"/>
  <c r="E70" i="3"/>
  <c r="E64" i="3"/>
  <c r="E58" i="3"/>
  <c r="E56" i="3"/>
  <c r="E48" i="3"/>
  <c r="E36" i="3"/>
  <c r="Q15" i="3" l="1"/>
  <c r="Q16" i="3"/>
  <c r="Q17" i="3"/>
  <c r="Q18" i="3"/>
  <c r="Q19" i="3"/>
  <c r="Q20" i="3"/>
  <c r="Q14" i="3"/>
  <c r="M29" i="2" l="1"/>
  <c r="M30" i="2"/>
  <c r="M31" i="2"/>
  <c r="M32" i="2"/>
  <c r="M33" i="2"/>
  <c r="M34" i="2"/>
  <c r="J23" i="2"/>
  <c r="I23" i="2"/>
  <c r="H23" i="2"/>
  <c r="G23" i="2"/>
  <c r="F23" i="2"/>
  <c r="E23" i="2"/>
  <c r="D23" i="2"/>
  <c r="C23" i="2"/>
  <c r="J22" i="2"/>
  <c r="I22" i="2"/>
  <c r="H22" i="2"/>
  <c r="G22" i="2"/>
  <c r="F22" i="2"/>
  <c r="E22" i="2"/>
  <c r="D22" i="2"/>
  <c r="C22" i="2"/>
  <c r="J21" i="2"/>
  <c r="I21" i="2"/>
  <c r="H21" i="2"/>
  <c r="G21" i="2"/>
  <c r="F21" i="2"/>
  <c r="E21" i="2"/>
  <c r="D21" i="2"/>
  <c r="C21" i="2"/>
  <c r="L19" i="2"/>
  <c r="L18" i="2"/>
  <c r="L17" i="2"/>
  <c r="L16" i="2"/>
  <c r="L15" i="2"/>
  <c r="L14" i="2"/>
  <c r="L13" i="2"/>
  <c r="K19" i="2"/>
  <c r="K18" i="2"/>
  <c r="K17" i="2"/>
  <c r="K16" i="2"/>
  <c r="K15" i="2"/>
  <c r="N30" i="2" l="1"/>
  <c r="N33" i="2"/>
  <c r="N34" i="2"/>
  <c r="N31" i="2"/>
  <c r="N32" i="2"/>
</calcChain>
</file>

<file path=xl/sharedStrings.xml><?xml version="1.0" encoding="utf-8"?>
<sst xmlns="http://schemas.openxmlformats.org/spreadsheetml/2006/main" count="439" uniqueCount="157">
  <si>
    <t xml:space="preserve">K-Means Tempat Kuliner </t>
  </si>
  <si>
    <t>Tempat Makan</t>
  </si>
  <si>
    <t>Wifi</t>
  </si>
  <si>
    <t>Smoking</t>
  </si>
  <si>
    <t>Live Musik</t>
  </si>
  <si>
    <t>Rooftop</t>
  </si>
  <si>
    <t>Outdoor</t>
  </si>
  <si>
    <t>Tempat Ibadah</t>
  </si>
  <si>
    <t>Harga</t>
  </si>
  <si>
    <t>A</t>
  </si>
  <si>
    <t>B</t>
  </si>
  <si>
    <t>C</t>
  </si>
  <si>
    <t>D</t>
  </si>
  <si>
    <t>E</t>
  </si>
  <si>
    <t>F</t>
  </si>
  <si>
    <t>G</t>
  </si>
  <si>
    <t>C1</t>
  </si>
  <si>
    <t>C2</t>
  </si>
  <si>
    <t>C3</t>
  </si>
  <si>
    <t>Jarak Terpendek</t>
  </si>
  <si>
    <t>ok</t>
  </si>
  <si>
    <t>C1 baru</t>
  </si>
  <si>
    <t>C2 baru</t>
  </si>
  <si>
    <t>C3 baru</t>
  </si>
  <si>
    <t>1. Penentuan pusat awal cluster</t>
  </si>
  <si>
    <t>Cluster baru yang ke-1</t>
  </si>
  <si>
    <t>Cluster baru yang ke-2</t>
  </si>
  <si>
    <t>Cluster baru yang ke-3</t>
  </si>
  <si>
    <r>
      <t xml:space="preserve">2.   Matrik Item rating pada metode ini dibutuhkan untuk dikombinasikan dengan matrix Group Rating dari hasil Klaster. Item rating matrix diperoleh dari </t>
    </r>
    <r>
      <rPr>
        <i/>
        <sz val="11"/>
        <color theme="1"/>
        <rFont val="Calibri"/>
        <family val="2"/>
        <scheme val="minor"/>
      </rPr>
      <t xml:space="preserve">n </t>
    </r>
    <r>
      <rPr>
        <sz val="11"/>
        <color theme="1"/>
        <rFont val="Calibri"/>
        <family val="2"/>
        <scheme val="minor"/>
      </rPr>
      <t>user yang memberikan rating terhadap</t>
    </r>
  </si>
  <si>
    <t>3.   Berikut perhitungan lebih detil nya :</t>
  </si>
  <si>
    <t>PERHITUNGAN REKOMENDASI DENGAN METODE ITEM-BASED CLUSTERING HYBRID METHOD (ICHM)</t>
  </si>
  <si>
    <t>1.   Kasus rekomendasi ini untuk memberikan rekomendasi pemilihan tempat kuliner, data tempat kuliner dengan atribut tertentu kemudian di klaster kan menggunakan K-means sehingga</t>
  </si>
  <si>
    <t xml:space="preserve">       menghasilkan tiga  kelompok seperti pada Group rating matrix di bawah. Nilai probabilitas pada matriks tersebut diperoleh dengan menghitungnya sesuai persamaan pada langkah 1.</t>
  </si>
  <si>
    <t xml:space="preserve">       tempat kuliner tertentu. Pada contoh ini, jumlah user yang memberikan rating kepada setiap lokasi, sebanyak tiga user. </t>
  </si>
  <si>
    <t>4a.  Group Rating Matrix (dari hasil klaster)</t>
  </si>
  <si>
    <t>Klaster 1</t>
  </si>
  <si>
    <t>Klaster 2</t>
  </si>
  <si>
    <t>Klaster 3</t>
  </si>
  <si>
    <t>Rizal</t>
  </si>
  <si>
    <t>Andi</t>
  </si>
  <si>
    <t>Udin</t>
  </si>
  <si>
    <t>Rata2</t>
  </si>
  <si>
    <t xml:space="preserve">Tempat Makan </t>
  </si>
  <si>
    <t xml:space="preserve"> A</t>
  </si>
  <si>
    <t xml:space="preserve"> C</t>
  </si>
  <si>
    <t xml:space="preserve"> D</t>
  </si>
  <si>
    <t xml:space="preserve"> E</t>
  </si>
  <si>
    <t xml:space="preserve"> B</t>
  </si>
  <si>
    <t xml:space="preserve"> G</t>
  </si>
  <si>
    <t xml:space="preserve"> F</t>
  </si>
  <si>
    <t>Rata-Rata</t>
  </si>
  <si>
    <t>5a. Hitung Similariti setiap item pada Group Rating Matrix, dengan persamaan berikut :</t>
  </si>
  <si>
    <t xml:space="preserve">                    &lt;---- Adjusted Cosine Similarity</t>
  </si>
  <si>
    <t>sim (A,B)</t>
  </si>
  <si>
    <t>sim (A,B) =</t>
  </si>
  <si>
    <t>=((0,77-0,25)*(0-0,25))+((0,3-0,39)*(0,7-0,39))+((0,33-0,28)*(0-0,28))</t>
  </si>
  <si>
    <t xml:space="preserve">sim (A,B) </t>
  </si>
  <si>
    <t>=SQRT((0,77-0,25)^2+(0,3-0,39)^2+(0,33-0,28)^2)*SQRT ((0-0,25)^2+(0,7-0,39)^2+(0-0,28)^2)</t>
  </si>
  <si>
    <t>=</t>
  </si>
  <si>
    <t>sim (A,C) =</t>
  </si>
  <si>
    <t>sim (A,D) =</t>
  </si>
  <si>
    <t>sim (A,E) =</t>
  </si>
  <si>
    <t>sim (A,F) =</t>
  </si>
  <si>
    <t>sim (A,G) =</t>
  </si>
  <si>
    <t>sim (B,C) =</t>
  </si>
  <si>
    <t>sim (B,D) =</t>
  </si>
  <si>
    <t>sim (B,E) =</t>
  </si>
  <si>
    <t>sim (B,F) =</t>
  </si>
  <si>
    <t>sim (B,G) =</t>
  </si>
  <si>
    <t>sim (C,D) =</t>
  </si>
  <si>
    <t>sim (C,E) =</t>
  </si>
  <si>
    <t>sim (C,F) =</t>
  </si>
  <si>
    <t>sim (C,G) =</t>
  </si>
  <si>
    <t>sim (D,E) =</t>
  </si>
  <si>
    <t>sim (D,F) =</t>
  </si>
  <si>
    <t>sim (D,G) =</t>
  </si>
  <si>
    <t>sim (E,F) =</t>
  </si>
  <si>
    <t>sim (E,G) =</t>
  </si>
  <si>
    <t>sim (F,G) =</t>
  </si>
  <si>
    <t>5b. Hitung Similariti setiap item pada Item Rating Matrix, dengan persamaan berikut :</t>
  </si>
  <si>
    <t>&lt;------ Pearson correlation-based similarity</t>
  </si>
  <si>
    <t>=((5-4)*(4-4,67))+((3-4)*(5-4,67))+((4-4)*(5-4,67))</t>
  </si>
  <si>
    <t>SQRT((5-4)^2+(3-4)^2+(4-4)^2)*SQRT((4-4,67)^2+(5-4,67)^2+(5-4,67)^2)</t>
  </si>
  <si>
    <t xml:space="preserve">6. Hitung Total user Similarity dengan Linear Combination sbb: </t>
  </si>
  <si>
    <t xml:space="preserve">                  koefisien c diisi dengan nilai dari 0 - 1</t>
  </si>
  <si>
    <t xml:space="preserve">                  pada contoh ini misal digunakan nilai c = 0.4</t>
  </si>
  <si>
    <t>2 = ada</t>
  </si>
  <si>
    <t>1 = tidak ada</t>
  </si>
  <si>
    <t xml:space="preserve"> Untuk Harga</t>
  </si>
  <si>
    <t>3 = 50.000 - 70.000</t>
  </si>
  <si>
    <t>2 = 20.000 - 50.000</t>
  </si>
  <si>
    <t xml:space="preserve">1 = 5000 - 20.000 </t>
  </si>
  <si>
    <t>Keterangan attribut selain Harga</t>
  </si>
  <si>
    <t>2. Perhitungan jarak ke pusat cluster yang sudah di tentukan</t>
  </si>
  <si>
    <t>3. Pengelompokan Data (Data Pertama)</t>
  </si>
  <si>
    <t>2.Perhitungan jarak ke pusat cluster yang sudah di tentukan</t>
  </si>
  <si>
    <t>3. Pengelompokan Data (Data Kedua)</t>
  </si>
  <si>
    <t>Karena hasil data pertama dan kedua sama berati perhitungan kluster berhenti</t>
  </si>
  <si>
    <t>sehingga diperoleh Total Similarity hasil Kombinasi sebagai berikut :</t>
  </si>
  <si>
    <t>sim (A,B)=</t>
  </si>
  <si>
    <t>(-0,866) x (1-0,4) + (-0,666) x 0,4</t>
  </si>
  <si>
    <t>7. Hitung Prediksi Rating suatu Item dengan Weighted Average of Deviation sbb :</t>
  </si>
  <si>
    <r>
      <t>P</t>
    </r>
    <r>
      <rPr>
        <b/>
        <sz val="8"/>
        <color theme="1"/>
        <rFont val="Calibri"/>
        <family val="2"/>
        <scheme val="minor"/>
      </rPr>
      <t>u1,A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</si>
  <si>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u1,B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</si>
  <si>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u1,C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</si>
  <si>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u1,D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</si>
  <si>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u1,E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</si>
  <si>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u1,F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</si>
  <si>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u1,G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</si>
  <si>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u2,A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</si>
  <si>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u2,B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</si>
  <si>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u2,C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</si>
  <si>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u2,D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</si>
  <si>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u2,E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</si>
  <si>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u2,F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</si>
  <si>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u2,G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</si>
  <si>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u3,A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</si>
  <si>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u3,B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</si>
  <si>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u3,C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</si>
  <si>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u3,D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</si>
  <si>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u3,E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</si>
  <si>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u3,F</t>
    </r>
    <r>
      <rPr>
        <b/>
        <sz val="11"/>
        <color theme="1"/>
        <rFont val="Calibri"/>
        <family val="2"/>
        <scheme val="minor"/>
      </rPr>
      <t xml:space="preserve"> =</t>
    </r>
  </si>
  <si>
    <r>
      <t>P</t>
    </r>
    <r>
      <rPr>
        <b/>
        <sz val="8"/>
        <color theme="1"/>
        <rFont val="Calibri"/>
        <family val="2"/>
        <scheme val="minor"/>
      </rPr>
      <t>u3,G</t>
    </r>
    <r>
      <rPr>
        <b/>
        <sz val="11"/>
        <color theme="1"/>
        <rFont val="Calibri"/>
        <family val="2"/>
        <scheme val="minor"/>
      </rPr>
      <t xml:space="preserve"> =</t>
    </r>
  </si>
  <si>
    <t>sehingga diperoleh matrik rating user baru sbb :</t>
  </si>
  <si>
    <t>Hitung rata-rata rating setiap lokasi kemudian sorting ascending</t>
  </si>
  <si>
    <t>Hasil Sorting</t>
  </si>
  <si>
    <t>Rekomendasi</t>
  </si>
  <si>
    <t>Prioritas 1</t>
  </si>
  <si>
    <t>Prioritas 2</t>
  </si>
  <si>
    <t>Prioritas 3</t>
  </si>
  <si>
    <t>Prioritas 4</t>
  </si>
  <si>
    <t>Prioritas 5</t>
  </si>
  <si>
    <t>Prioritas 6</t>
  </si>
  <si>
    <t>Prioritas 7</t>
  </si>
  <si>
    <t>Dari hasil perhitungan ICHM di atas, dapat diperoleh bahwa Lokasi B menjadi paling direkomendasikan, diikuti Lokasi E, A dan seterusnya.</t>
  </si>
  <si>
    <t>Diambil data lokasi tempat makan A sebagai pusat kluster ke -1</t>
  </si>
  <si>
    <t>Diambil data lokasi tempat makan D sebagai pusat kluster ke -2</t>
  </si>
  <si>
    <t>Diambil data lokasi tempat makan E sebagai pusat kluster ke -3</t>
  </si>
  <si>
    <t>4b.  Item Rating (Rating tempat makan dari User) matrix</t>
  </si>
  <si>
    <t>Pu1,A =</t>
  </si>
  <si>
    <t>Pu2,A =</t>
  </si>
  <si>
    <t>Pu1,B =</t>
  </si>
  <si>
    <t>Pu2,B =</t>
  </si>
  <si>
    <t>Pu1,C =</t>
  </si>
  <si>
    <t>Pu2,C =</t>
  </si>
  <si>
    <t>Pu1,D =</t>
  </si>
  <si>
    <t>Pu2,D =</t>
  </si>
  <si>
    <t>Pu1,E =</t>
  </si>
  <si>
    <t>Pu2,E =</t>
  </si>
  <si>
    <t>Pu1,F =</t>
  </si>
  <si>
    <t>Pu2,F =</t>
  </si>
  <si>
    <t>Pu1,G =</t>
  </si>
  <si>
    <t>Pu2,G =</t>
  </si>
  <si>
    <t>jumlah menu</t>
  </si>
  <si>
    <t>Jumlah menu</t>
  </si>
  <si>
    <t>Diketahui : Jumlah Cluster = 3, jumlah data =7, jumlah atribut= 8</t>
  </si>
  <si>
    <t>sesuai dengan yang ada didatabase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</si>
</sst>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  <scheme val="minor"/>
    </font>
    <font>
      <b/>
      <u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9" fillId="6" borderId="0" applyNumberFormat="0" applyBorder="0" applyAlignment="0" applyProtection="0"/>
  </cellStyleXfs>
  <cellXfs count="63">
    <xf numFmtId="0" fontId="0" fillId="0" borderId="0" xfId="0"/>
    <xf numFmtId="0" fontId="2" fillId="3" borderId="3" xfId="2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1" xfId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5" borderId="3" xfId="0" applyFont="1" applyFill="1" applyBorder="1"/>
    <xf numFmtId="2" fontId="0" fillId="0" borderId="3" xfId="0" applyNumberFormat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7" fillId="0" borderId="0" xfId="0" quotePrefix="1" applyFont="1"/>
    <xf numFmtId="0" fontId="0" fillId="0" borderId="5" xfId="0" applyBorder="1"/>
    <xf numFmtId="0" fontId="0" fillId="0" borderId="5" xfId="0" quotePrefix="1" applyBorder="1"/>
    <xf numFmtId="0" fontId="0" fillId="0" borderId="0" xfId="0" quotePrefix="1"/>
    <xf numFmtId="0" fontId="0" fillId="0" borderId="0" xfId="0" quotePrefix="1" applyAlignment="1">
      <alignment horizontal="center"/>
    </xf>
    <xf numFmtId="0" fontId="0" fillId="0" borderId="0" xfId="0" applyBorder="1"/>
    <xf numFmtId="0" fontId="4" fillId="4" borderId="5" xfId="3" applyBorder="1"/>
    <xf numFmtId="0" fontId="4" fillId="4" borderId="5" xfId="3" quotePrefix="1" applyBorder="1" applyAlignment="1">
      <alignment horizontal="center"/>
    </xf>
    <xf numFmtId="0" fontId="4" fillId="4" borderId="7" xfId="3" applyBorder="1"/>
    <xf numFmtId="0" fontId="4" fillId="4" borderId="9" xfId="3" applyBorder="1"/>
    <xf numFmtId="0" fontId="4" fillId="4" borderId="10" xfId="3" applyBorder="1"/>
    <xf numFmtId="0" fontId="4" fillId="4" borderId="11" xfId="3" applyBorder="1"/>
    <xf numFmtId="0" fontId="4" fillId="4" borderId="10" xfId="3" quotePrefix="1" applyBorder="1" applyAlignment="1">
      <alignment horizontal="center"/>
    </xf>
    <xf numFmtId="0" fontId="8" fillId="4" borderId="6" xfId="3" applyFont="1" applyBorder="1"/>
    <xf numFmtId="0" fontId="8" fillId="4" borderId="8" xfId="3" applyFont="1" applyBorder="1"/>
    <xf numFmtId="0" fontId="4" fillId="4" borderId="7" xfId="3" applyBorder="1" applyAlignment="1">
      <alignment horizontal="center"/>
    </xf>
    <xf numFmtId="0" fontId="4" fillId="4" borderId="10" xfId="3" applyBorder="1" applyAlignment="1">
      <alignment horizontal="center"/>
    </xf>
    <xf numFmtId="0" fontId="4" fillId="4" borderId="11" xfId="3" applyBorder="1" applyAlignment="1">
      <alignment horizontal="center"/>
    </xf>
    <xf numFmtId="0" fontId="4" fillId="4" borderId="9" xfId="3" applyBorder="1" applyAlignment="1">
      <alignment horizontal="center"/>
    </xf>
    <xf numFmtId="0" fontId="8" fillId="4" borderId="6" xfId="3" applyFont="1" applyBorder="1" applyAlignment="1">
      <alignment horizontal="left"/>
    </xf>
    <xf numFmtId="0" fontId="8" fillId="4" borderId="8" xfId="3" applyFont="1" applyBorder="1" applyAlignment="1">
      <alignment horizontal="left"/>
    </xf>
    <xf numFmtId="0" fontId="3" fillId="0" borderId="0" xfId="0" applyFont="1" applyAlignment="1">
      <alignment vertical="top" wrapText="1"/>
    </xf>
    <xf numFmtId="0" fontId="9" fillId="6" borderId="0" xfId="4" applyAlignment="1">
      <alignment horizontal="left"/>
    </xf>
    <xf numFmtId="0" fontId="9" fillId="6" borderId="0" xfId="4"/>
    <xf numFmtId="0" fontId="9" fillId="6" borderId="0" xfId="4" applyAlignment="1">
      <alignment vertical="top" wrapText="1"/>
    </xf>
    <xf numFmtId="0" fontId="10" fillId="0" borderId="0" xfId="0" applyFont="1"/>
    <xf numFmtId="0" fontId="11" fillId="3" borderId="3" xfId="2" applyFont="1" applyBorder="1"/>
    <xf numFmtId="0" fontId="7" fillId="0" borderId="3" xfId="0" applyFont="1" applyBorder="1"/>
    <xf numFmtId="0" fontId="12" fillId="4" borderId="3" xfId="3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Border="1"/>
    <xf numFmtId="0" fontId="3" fillId="5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9" fillId="6" borderId="0" xfId="4" applyAlignment="1">
      <alignment horizontal="left" vertical="top" wrapText="1"/>
    </xf>
    <xf numFmtId="0" fontId="9" fillId="6" borderId="0" xfId="4" applyAlignment="1">
      <alignment horizontal="left"/>
    </xf>
    <xf numFmtId="0" fontId="9" fillId="6" borderId="0" xfId="4" applyAlignment="1">
      <alignment horizontal="left" vertical="top" wrapText="1"/>
    </xf>
    <xf numFmtId="0" fontId="0" fillId="0" borderId="0" xfId="0"/>
    <xf numFmtId="0" fontId="3" fillId="0" borderId="0" xfId="0" applyFont="1" applyAlignment="1">
      <alignment horizontal="left"/>
    </xf>
    <xf numFmtId="0" fontId="9" fillId="6" borderId="0" xfId="4" applyAlignment="1">
      <alignment horizontal="center" wrapText="1"/>
    </xf>
    <xf numFmtId="0" fontId="0" fillId="7" borderId="0" xfId="0" applyFill="1"/>
    <xf numFmtId="0" fontId="3" fillId="7" borderId="3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4" fillId="7" borderId="0" xfId="3" applyFill="1"/>
    <xf numFmtId="0" fontId="4" fillId="7" borderId="0" xfId="3" applyFill="1" applyAlignment="1">
      <alignment horizontal="center"/>
    </xf>
    <xf numFmtId="0" fontId="4" fillId="7" borderId="0" xfId="3" quotePrefix="1" applyFill="1"/>
    <xf numFmtId="0" fontId="4" fillId="7" borderId="3" xfId="3" applyFill="1" applyBorder="1"/>
    <xf numFmtId="0" fontId="4" fillId="7" borderId="3" xfId="3" applyFill="1" applyBorder="1" applyAlignment="1">
      <alignment horizontal="center"/>
    </xf>
    <xf numFmtId="0" fontId="4" fillId="7" borderId="3" xfId="3" applyFill="1" applyBorder="1" applyAlignment="1">
      <alignment horizontal="left"/>
    </xf>
  </cellXfs>
  <cellStyles count="5">
    <cellStyle name="Bad" xfId="4" builtinId="27"/>
    <cellStyle name="Calculation" xfId="1" builtinId="22"/>
    <cellStyle name="Check Cell" xfId="2" builtinId="23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20</xdr:row>
      <xdr:rowOff>146050</xdr:rowOff>
    </xdr:from>
    <xdr:to>
      <xdr:col>0</xdr:col>
      <xdr:colOff>2399279</xdr:colOff>
      <xdr:row>22</xdr:row>
      <xdr:rowOff>165100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08450"/>
          <a:ext cx="2151629" cy="387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1196974</xdr:colOff>
      <xdr:row>43</xdr:row>
      <xdr:rowOff>47624</xdr:rowOff>
    </xdr:from>
    <xdr:ext cx="1736725" cy="2314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889624" y="7966074"/>
              <a:ext cx="1736725" cy="23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1" i="1">
                        <a:latin typeface="Cambria Math" panose="02040503050406030204" pitchFamily="18" charset="0"/>
                      </a:rPr>
                      <m:t>𝑷𝒓𝒐</m:t>
                    </m:r>
                    <m:d>
                      <m:dPr>
                        <m:ctrlPr>
                          <a:rPr lang="id-ID" sz="11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1" i="1">
                            <a:latin typeface="Cambria Math" panose="02040503050406030204" pitchFamily="18" charset="0"/>
                          </a:rPr>
                          <m:t>𝒋</m:t>
                        </m:r>
                        <m:r>
                          <a:rPr lang="id-ID" sz="1100" b="1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1" i="1">
                            <a:latin typeface="Cambria Math" panose="02040503050406030204" pitchFamily="18" charset="0"/>
                          </a:rPr>
                          <m:t>𝒌</m:t>
                        </m:r>
                      </m:e>
                    </m:d>
                    <m:r>
                      <a:rPr lang="id-ID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id-ID" sz="1100" b="1" i="1">
                        <a:latin typeface="Cambria Math" panose="02040503050406030204" pitchFamily="18" charset="0"/>
                      </a:rPr>
                      <m:t>−</m:t>
                    </m:r>
                    <m:box>
                      <m:boxPr>
                        <m:ctrlPr>
                          <a:rPr lang="id-ID" sz="1100" b="1" i="1">
                            <a:latin typeface="Cambria Math" panose="02040503050406030204" pitchFamily="18" charset="0"/>
                          </a:rPr>
                        </m:ctrlPr>
                      </m:boxPr>
                      <m:e>
                        <m:argPr>
                          <m:argSz m:val="-1"/>
                        </m:argPr>
                        <m:f>
                          <m:fPr>
                            <m:ctrlPr>
                              <a:rPr lang="id-ID" sz="11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𝑪𝑺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𝒋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𝒌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num>
                          <m:den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𝑴𝒂𝒙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𝑪𝑺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𝒊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𝒌</m:t>
                            </m:r>
                            <m:r>
                              <a:rPr lang="id-ID" sz="11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box>
                  </m:oMath>
                </m:oMathPara>
              </a14:m>
              <a:endParaRPr lang="id-ID" sz="11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889624" y="7966074"/>
              <a:ext cx="1736725" cy="2314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d-ID" sz="1100" b="1" i="0">
                  <a:latin typeface="Cambria Math" panose="02040503050406030204" pitchFamily="18" charset="0"/>
                </a:rPr>
                <a:t>𝑷𝒓𝒐(𝒋,𝒌)=𝟏−□(64&amp;(𝑪𝑺(𝒋,𝒌))/(𝑴𝒂𝒙 𝑪𝑺(𝒊,𝒌)))</a:t>
              </a:r>
              <a:endParaRPr lang="id-ID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33337</xdr:colOff>
      <xdr:row>23</xdr:row>
      <xdr:rowOff>100012</xdr:rowOff>
    </xdr:from>
    <xdr:ext cx="3136628" cy="5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12737" y="3897312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𝑢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12737" y="3897312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𝑠𝑖𝑚(𝑘,𝑙)=(∑2_(𝑢=1)^𝑚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</a:t>
              </a:r>
              <a:r>
                <a:rPr lang="id-ID" sz="1100" b="0" i="0">
                  <a:latin typeface="Cambria Math" panose="02040503050406030204" pitchFamily="18" charset="0"/>
                </a:rPr>
                <a:t>𝑅_(𝑢,𝑘)−(𝑅_𝑢 ) ̅ )(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𝑅_(𝑢,𝑙)−(𝑅_𝑢 ) ̅ ) )/(√(∑2_(𝑢=1)^𝑚▒〖(𝑅_(𝑢,𝑘)−(𝑅_𝑢 ) ̅)〗^2 )</a:t>
              </a:r>
              <a:r>
                <a:rPr lang="id-ID" sz="1100" b="0" i="0">
                  <a:latin typeface="Cambria Math" panose="02040503050406030204" pitchFamily="18" charset="0"/>
                </a:rPr>
                <a:t>.√(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∑2_(𝑢=1)^𝑚▒〖(𝑅_(𝑢,𝑙)−(𝑅_𝑢 ) ̅)〗^2 ))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38100</xdr:colOff>
      <xdr:row>23</xdr:row>
      <xdr:rowOff>95250</xdr:rowOff>
    </xdr:from>
    <xdr:ext cx="3136628" cy="5598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020050" y="3892550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𝑘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𝑙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𝑘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𝑘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ad>
                          <m:radPr>
                            <m:degHide m:val="on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nary>
                              <m:naryPr>
                                <m:chr m:val="∑"/>
                                <m:limLoc m:val="subSup"/>
                                <m:ctrl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5"/>
                                  </m:rP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𝑢</m:t>
                                </m:r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id-ID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𝑢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,</m:t>
                                        </m:r>
                                        <m: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𝑙</m:t>
                                        </m:r>
                                      </m:sub>
                                    </m:sSub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id-ID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sSub>
                                          <m:sSubPr>
                                            <m:ctrlP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𝑅</m:t>
                                            </m:r>
                                          </m:e>
                                          <m:sub>
                                            <m:r>
                                              <a:rPr lang="id-ID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𝑙</m:t>
                                            </m:r>
                                          </m:sub>
                                        </m:sSub>
                                      </m:e>
                                    </m:acc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id-ID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020050" y="3892550"/>
              <a:ext cx="3136628" cy="5598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𝑠𝑖𝑚(𝑘,𝑙)=(∑2_(𝑢=1)^𝑚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▒(</a:t>
              </a:r>
              <a:r>
                <a:rPr lang="id-ID" sz="1100" b="0" i="0">
                  <a:latin typeface="Cambria Math" panose="02040503050406030204" pitchFamily="18" charset="0"/>
                </a:rPr>
                <a:t>𝑅_(𝑢,𝑘)−(𝑅_𝑘 ) ̅ )(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𝑅_(𝑢,𝑙)−(𝑅_𝑙 ) ̅ ) )/(√(∑2_(𝑢=1)^𝑚▒〖(𝑅_(𝑢,𝑘)−(𝑅_𝑘 ) ̅)〗^2 )</a:t>
              </a:r>
              <a:r>
                <a:rPr lang="id-ID" sz="1100" b="0" i="0">
                  <a:latin typeface="Cambria Math" panose="02040503050406030204" pitchFamily="18" charset="0"/>
                </a:rPr>
                <a:t>.√(</a:t>
              </a:r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∑2_(𝑢=1)^𝑚▒〖(𝑅_(𝑢,𝑙)−(𝑅_𝑙 ) ̅)〗^2 ))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233362</xdr:colOff>
      <xdr:row>76</xdr:row>
      <xdr:rowOff>119062</xdr:rowOff>
    </xdr:from>
    <xdr:ext cx="3387017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3362" y="10914062"/>
              <a:ext cx="338701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d-ID" sz="1100" b="0" i="1">
                        <a:latin typeface="Cambria Math" panose="02040503050406030204" pitchFamily="18" charset="0"/>
                      </a:rPr>
                      <m:t>𝑠𝑖𝑚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𝑠𝑖𝑚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𝑖𝑡𝑒𝑚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1 −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</m:d>
                    <m:r>
                      <a:rPr lang="id-ID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𝑠𝑖𝑚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𝑙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𝑔𝑟𝑜𝑢𝑝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id-ID" sz="11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3362" y="10914062"/>
              <a:ext cx="3387017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𝑠𝑖𝑚(𝑘,𝑙)=〖𝑠𝑖𝑚(𝑘,𝑙)〗_𝑖𝑡𝑒𝑚  𝑥 (1 −𝑐)+ 〖𝑠𝑖𝑚(𝑘,𝑙)〗_𝑔𝑟𝑜𝑢𝑝  𝑥 𝑐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</xdr:col>
      <xdr:colOff>157162</xdr:colOff>
      <xdr:row>106</xdr:row>
      <xdr:rowOff>176212</xdr:rowOff>
    </xdr:from>
    <xdr:ext cx="2372636" cy="392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436562" y="1410176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b>
                    </m:sSub>
                    <m:r>
                      <a:rPr lang="id-ID" sz="1100" b="0" i="1">
                        <a:latin typeface="Cambria Math" panose="02040503050406030204" pitchFamily="18" charset="0"/>
                      </a:rPr>
                      <m:t>=</m:t>
                    </m:r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  <m:r>
                      <a:rPr lang="id-ID" sz="1100" b="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𝑅</m:t>
                                    </m:r>
                                  </m:e>
                                  <m:sub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𝑢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id-ID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𝑅</m:t>
                                        </m:r>
                                      </m:e>
                                      <m:sub>
                                        <m:r>
                                          <a:rPr lang="id-ID" sz="11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𝑠𝑖𝑚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limLoc m:val="subSup"/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5"/>
                              </m:rPr>
                              <a:rPr lang="id-ID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p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𝑠𝑖𝑚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id-ID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</m:d>
                          </m:e>
                        </m:nary>
                      </m:den>
                    </m:f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36562" y="14101762"/>
              <a:ext cx="2372636" cy="392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𝑃_(𝑢,𝑘)=(𝑅_𝑘 ) ̅+(∑2_(𝑖=1)^𝑛▒〖(𝑅_(𝑢,𝑖)−(𝑅_𝑖 ) ̅ )  𝑥 𝑠𝑖𝑚(𝑘,𝑖)〗)/(∑2_(𝑖=1)^𝑛▒|𝑠𝑖𝑚(𝑘,𝑖)| 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15</xdr:col>
      <xdr:colOff>204787</xdr:colOff>
      <xdr:row>104</xdr:row>
      <xdr:rowOff>166687</xdr:rowOff>
    </xdr:from>
    <xdr:ext cx="164789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1323637" y="14092237"/>
              <a:ext cx="1647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1323637" y="14092237"/>
              <a:ext cx="164789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(𝑅_𝑖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12</xdr:col>
      <xdr:colOff>185737</xdr:colOff>
      <xdr:row>104</xdr:row>
      <xdr:rowOff>166687</xdr:rowOff>
    </xdr:from>
    <xdr:ext cx="2744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8351837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,1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8351837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𝑅_(𝑢,1)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13</xdr:col>
      <xdr:colOff>233362</xdr:colOff>
      <xdr:row>104</xdr:row>
      <xdr:rowOff>166687</xdr:rowOff>
    </xdr:from>
    <xdr:ext cx="2744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9345612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,2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9345612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𝑅_(𝑢,2)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14</xdr:col>
      <xdr:colOff>204787</xdr:colOff>
      <xdr:row>104</xdr:row>
      <xdr:rowOff>166687</xdr:rowOff>
    </xdr:from>
    <xdr:ext cx="274434" cy="176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9926637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  <m:r>
                          <a:rPr lang="id-ID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,3</m:t>
                        </m:r>
                      </m:sub>
                    </m:sSub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9926637" y="19432587"/>
              <a:ext cx="274434" cy="176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𝑅_(𝑢,3)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128587</xdr:colOff>
      <xdr:row>107</xdr:row>
      <xdr:rowOff>23812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11857037" y="145018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11857037" y="145018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147637</xdr:colOff>
      <xdr:row>108</xdr:row>
      <xdr:rowOff>42862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876087" y="147050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876087" y="147050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166687</xdr:colOff>
      <xdr:row>109</xdr:row>
      <xdr:rowOff>61912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1895137" y="149082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1895137" y="149082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185737</xdr:colOff>
      <xdr:row>110</xdr:row>
      <xdr:rowOff>80962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/>
            <xdr:cNvSpPr txBox="1"/>
          </xdr:nvSpPr>
          <xdr:spPr>
            <a:xfrm>
              <a:off x="11914187" y="151114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3" name="TextBox 12"/>
            <xdr:cNvSpPr txBox="1"/>
          </xdr:nvSpPr>
          <xdr:spPr>
            <a:xfrm>
              <a:off x="11914187" y="1511141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166687</xdr:colOff>
      <xdr:row>111</xdr:row>
      <xdr:rowOff>80962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/>
            <xdr:cNvSpPr txBox="1"/>
          </xdr:nvSpPr>
          <xdr:spPr>
            <a:xfrm>
              <a:off x="11895137" y="152955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4" name="TextBox 13"/>
            <xdr:cNvSpPr txBox="1"/>
          </xdr:nvSpPr>
          <xdr:spPr>
            <a:xfrm>
              <a:off x="11895137" y="15295562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177800</xdr:colOff>
      <xdr:row>112</xdr:row>
      <xdr:rowOff>44450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1118850" y="20783550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1118850" y="20783550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16</xdr:col>
      <xdr:colOff>184150</xdr:colOff>
      <xdr:row>113</xdr:row>
      <xdr:rowOff>25400</xdr:rowOff>
    </xdr:from>
    <xdr:ext cx="19050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1125200" y="20948650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id-ID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id-ID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id-ID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id-ID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1125200" y="20948650"/>
              <a:ext cx="19050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d-ID" sz="1100" b="0" i="0">
                  <a:latin typeface="Cambria Math" panose="02040503050406030204" pitchFamily="18" charset="0"/>
                </a:rPr>
                <a:t>(𝑅_𝑘 ) ̅</a:t>
              </a:r>
              <a:endParaRPr lang="id-ID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109</xdr:row>
      <xdr:rowOff>146050</xdr:rowOff>
    </xdr:from>
    <xdr:ext cx="6800850" cy="762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0" y="20332700"/>
              <a:ext cx="6800850" cy="762000"/>
            </a:xfrm>
            <a:prstGeom prst="rect">
              <a:avLst/>
            </a:prstGeom>
            <a:noFill/>
            <a:ln>
              <a:solidFill>
                <a:schemeClr val="tx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id-ID" sz="8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𝑷</m:t>
                        </m:r>
                      </m:e>
                      <m:sub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𝒖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𝟏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𝑨</m:t>
                        </m:r>
                      </m:sub>
                    </m:sSub>
                    <m:r>
                      <a:rPr lang="id-ID" sz="8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d-ID" sz="800" b="1" i="1">
                        <a:latin typeface="Cambria Math" panose="02040503050406030204" pitchFamily="18" charset="0"/>
                      </a:rPr>
                      <m:t>𝟒</m:t>
                    </m:r>
                    <m:r>
                      <a:rPr lang="id-ID" sz="800" b="1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id-ID" sz="8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𝟔𝟕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𝟕𝟖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𝟖𝟕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𝟐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𝟖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𝟓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𝟐𝟗</m:t>
                            </m:r>
                          </m:e>
                        </m:d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𝟒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d>
                          <m:dPr>
                            <m:ctrlP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𝟎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𝟏𝟏</m:t>
                            </m:r>
                          </m:e>
                        </m:d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d>
                          <m:dPr>
                            <m:ctrlP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𝟓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d-ID" sz="8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𝟒</m:t>
                            </m:r>
                          </m:e>
                        </m:d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∗(</m:t>
                        </m:r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</m:t>
                        </m:r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𝟎𝟓</m:t>
                        </m:r>
                        <m:r>
                          <a:rPr lang="id-ID" sz="8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𝟕𝟖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𝟖𝟕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𝟖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𝟐𝟗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begChr m:val="|"/>
                            <m:endChr m:val="|"/>
                            <m:ctrlPr>
                              <a:rPr lang="id-ID" sz="800" b="1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𝟎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id-ID" sz="800" b="1" i="1">
                                <a:latin typeface="Cambria Math" panose="02040503050406030204" pitchFamily="18" charset="0"/>
                              </a:rPr>
                              <m:t>𝟏𝟏</m:t>
                            </m:r>
                          </m:e>
                        </m:d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+|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𝟎𝟓</m:t>
                        </m:r>
                        <m:r>
                          <a:rPr lang="id-ID" sz="800" b="1" i="1"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</m:oMath>
                </m:oMathPara>
              </a14:m>
              <a:endParaRPr lang="id-ID" sz="800" b="1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0" y="20332700"/>
              <a:ext cx="6800850" cy="762000"/>
            </a:xfrm>
            <a:prstGeom prst="rect">
              <a:avLst/>
            </a:prstGeom>
            <a:noFill/>
            <a:ln>
              <a:solidFill>
                <a:schemeClr val="tx2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id-ID" sz="800" b="1" i="0">
                  <a:latin typeface="Cambria Math" panose="02040503050406030204" pitchFamily="18" charset="0"/>
                </a:rPr>
                <a:t>𝑷_(𝒖𝟏,𝑨)=𝟒+((𝟓−𝟒)∗(𝟎)+(𝟒−𝟒,𝟔𝟕)∗(−𝟎,𝟕𝟖)+(𝟓−𝟒)∗(𝟎,𝟖𝟕)+(𝟐−𝟒)∗(−𝟎,𝟖)+(𝟓−𝟒)∗(𝟎,𝟐𝟗)</a:t>
              </a:r>
              <a:r>
                <a:rPr lang="id-ID" sz="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</a:t>
              </a:r>
              <a:r>
                <a:rPr lang="id-ID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𝟒</a:t>
              </a:r>
              <a:r>
                <a:rPr lang="id-ID" sz="8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−𝟒)∗</a:t>
              </a:r>
              <a:r>
                <a:rPr lang="id-ID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(−𝟎,𝟏𝟏)+(𝟓−𝟒)∗(𝟎,𝟎𝟓)</a:t>
              </a:r>
              <a:r>
                <a:rPr lang="id-ID" sz="8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id-ID" sz="800" b="1" i="0">
                  <a:latin typeface="Cambria Math" panose="02040503050406030204" pitchFamily="18" charset="0"/>
                </a:rPr>
                <a:t>𝟎+|−𝟎,𝟕𝟖|+|𝟎,𝟖𝟕|+|−𝟎,𝟖|+|𝟎,𝟐𝟗|+|−𝟎,𝟏𝟏|+|𝟎,𝟎𝟓|)</a:t>
              </a:r>
              <a:endParaRPr lang="id-ID" sz="800" b="1"/>
            </a:p>
          </xdr:txBody>
        </xdr:sp>
      </mc:Fallback>
    </mc:AlternateContent>
    <xdr:clientData/>
  </xdr:oneCellAnchor>
  <xdr:twoCellAnchor>
    <xdr:from>
      <xdr:col>11</xdr:col>
      <xdr:colOff>0</xdr:colOff>
      <xdr:row>116</xdr:row>
      <xdr:rowOff>0</xdr:rowOff>
    </xdr:from>
    <xdr:to>
      <xdr:col>13</xdr:col>
      <xdr:colOff>215900</xdr:colOff>
      <xdr:row>118</xdr:row>
      <xdr:rowOff>88900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04100" y="21475700"/>
          <a:ext cx="21844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H2" sqref="H2"/>
    </sheetView>
  </sheetViews>
  <sheetFormatPr defaultRowHeight="14.5" x14ac:dyDescent="0.35"/>
  <cols>
    <col min="1" max="1" width="41" customWidth="1"/>
    <col min="2" max="2" width="15.7265625" customWidth="1"/>
    <col min="5" max="5" width="10.08984375" customWidth="1"/>
    <col min="8" max="8" width="14.7265625" customWidth="1"/>
    <col min="9" max="9" width="15.1796875" customWidth="1"/>
    <col min="12" max="12" width="8.7265625" customWidth="1"/>
    <col min="14" max="14" width="16.1796875" customWidth="1"/>
    <col min="15" max="15" width="14.08984375" customWidth="1"/>
    <col min="16" max="16" width="21.54296875" customWidth="1"/>
  </cols>
  <sheetData>
    <row r="1" spans="1:18" ht="31" x14ac:dyDescent="0.7">
      <c r="A1" s="37" t="s">
        <v>0</v>
      </c>
    </row>
    <row r="2" spans="1:18" x14ac:dyDescent="0.35">
      <c r="E2" t="s">
        <v>155</v>
      </c>
    </row>
    <row r="3" spans="1:18" x14ac:dyDescent="0.35">
      <c r="O3" s="34" t="s">
        <v>92</v>
      </c>
      <c r="P3" s="34"/>
      <c r="Q3" s="35"/>
      <c r="R3" s="35"/>
    </row>
    <row r="4" spans="1:18" ht="14.5" customHeight="1" x14ac:dyDescent="0.35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153</v>
      </c>
      <c r="J4" s="1" t="s">
        <v>8</v>
      </c>
      <c r="K4" s="1"/>
      <c r="L4" s="49"/>
      <c r="M4" s="49"/>
      <c r="O4" s="48" t="s">
        <v>86</v>
      </c>
      <c r="P4" s="48"/>
      <c r="Q4" s="36"/>
      <c r="R4" s="35"/>
    </row>
    <row r="5" spans="1:18" ht="17" customHeight="1" x14ac:dyDescent="0.35">
      <c r="B5" s="3" t="s">
        <v>9</v>
      </c>
      <c r="C5" s="2">
        <v>2</v>
      </c>
      <c r="D5" s="2">
        <v>2</v>
      </c>
      <c r="E5" s="2">
        <v>1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/>
      <c r="L5" s="49"/>
      <c r="M5" s="49"/>
      <c r="O5" s="48" t="s">
        <v>87</v>
      </c>
      <c r="P5" s="48"/>
      <c r="Q5" s="36"/>
      <c r="R5" s="35"/>
    </row>
    <row r="6" spans="1:18" ht="15" customHeight="1" x14ac:dyDescent="0.35">
      <c r="B6" s="3" t="s">
        <v>10</v>
      </c>
      <c r="C6" s="2">
        <v>1</v>
      </c>
      <c r="D6" s="2">
        <v>2</v>
      </c>
      <c r="E6" s="2">
        <v>1</v>
      </c>
      <c r="F6" s="2">
        <v>1</v>
      </c>
      <c r="G6" s="2">
        <v>2</v>
      </c>
      <c r="H6" s="2">
        <v>1</v>
      </c>
      <c r="I6" s="2">
        <v>1</v>
      </c>
      <c r="J6" s="2">
        <v>1</v>
      </c>
      <c r="K6" s="2"/>
      <c r="L6" s="49"/>
      <c r="M6" s="49"/>
      <c r="O6" s="48" t="s">
        <v>88</v>
      </c>
      <c r="P6" s="48"/>
      <c r="Q6" s="36"/>
      <c r="R6" s="35"/>
    </row>
    <row r="7" spans="1:18" ht="15" customHeight="1" x14ac:dyDescent="0.35">
      <c r="B7" s="3" t="s">
        <v>11</v>
      </c>
      <c r="C7" s="2">
        <v>2</v>
      </c>
      <c r="D7" s="2">
        <v>2</v>
      </c>
      <c r="E7" s="2">
        <v>1</v>
      </c>
      <c r="F7" s="2">
        <v>2</v>
      </c>
      <c r="G7" s="2">
        <v>2</v>
      </c>
      <c r="H7" s="2">
        <v>2</v>
      </c>
      <c r="I7" s="2">
        <v>2</v>
      </c>
      <c r="J7" s="2">
        <v>3</v>
      </c>
      <c r="K7" s="2"/>
      <c r="L7" s="49"/>
      <c r="M7" s="49"/>
      <c r="O7" s="48" t="s">
        <v>91</v>
      </c>
      <c r="P7" s="48"/>
      <c r="Q7" s="36"/>
      <c r="R7" s="35"/>
    </row>
    <row r="8" spans="1:18" ht="16.5" customHeight="1" x14ac:dyDescent="0.35">
      <c r="B8" s="3" t="s">
        <v>12</v>
      </c>
      <c r="C8" s="2">
        <v>1</v>
      </c>
      <c r="D8" s="2">
        <v>2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1</v>
      </c>
      <c r="K8" s="2"/>
      <c r="L8" s="49"/>
      <c r="M8" s="49"/>
      <c r="O8" s="48" t="s">
        <v>90</v>
      </c>
      <c r="P8" s="48"/>
      <c r="Q8" s="36"/>
      <c r="R8" s="35"/>
    </row>
    <row r="9" spans="1:18" x14ac:dyDescent="0.35">
      <c r="B9" s="3" t="s">
        <v>13</v>
      </c>
      <c r="C9" s="2">
        <v>2</v>
      </c>
      <c r="D9" s="2">
        <v>2</v>
      </c>
      <c r="E9" s="2">
        <v>2</v>
      </c>
      <c r="F9" s="2">
        <v>1</v>
      </c>
      <c r="G9" s="2">
        <v>1</v>
      </c>
      <c r="H9" s="2">
        <v>2</v>
      </c>
      <c r="I9" s="2">
        <v>2</v>
      </c>
      <c r="J9" s="2">
        <v>3</v>
      </c>
      <c r="K9" s="2"/>
      <c r="L9" s="49"/>
      <c r="M9" s="49"/>
      <c r="O9" s="48" t="s">
        <v>89</v>
      </c>
      <c r="P9" s="48"/>
      <c r="Q9" s="36"/>
      <c r="R9" s="35"/>
    </row>
    <row r="10" spans="1:18" ht="18" customHeight="1" x14ac:dyDescent="0.35">
      <c r="B10" s="3" t="s">
        <v>14</v>
      </c>
      <c r="C10" s="2">
        <v>2</v>
      </c>
      <c r="D10" s="2">
        <v>2</v>
      </c>
      <c r="E10" s="2">
        <v>1</v>
      </c>
      <c r="F10" s="2">
        <v>2</v>
      </c>
      <c r="G10" s="2">
        <v>1</v>
      </c>
      <c r="H10" s="2">
        <v>2</v>
      </c>
      <c r="I10" s="2">
        <v>1</v>
      </c>
      <c r="J10" s="2">
        <v>1</v>
      </c>
      <c r="K10" s="2"/>
      <c r="L10" s="33"/>
      <c r="M10" s="33"/>
      <c r="N10" s="33"/>
      <c r="O10" s="46" t="s">
        <v>153</v>
      </c>
      <c r="P10" s="46" t="s">
        <v>156</v>
      </c>
      <c r="Q10" s="46"/>
      <c r="R10" s="35"/>
    </row>
    <row r="11" spans="1:18" x14ac:dyDescent="0.35">
      <c r="B11" s="3" t="s">
        <v>15</v>
      </c>
      <c r="C11" s="2">
        <v>1</v>
      </c>
      <c r="D11" s="2">
        <v>2</v>
      </c>
      <c r="E11" s="2">
        <v>1</v>
      </c>
      <c r="F11" s="2">
        <v>1</v>
      </c>
      <c r="G11" s="2">
        <v>2</v>
      </c>
      <c r="H11" s="2">
        <v>1</v>
      </c>
      <c r="I11" s="2">
        <v>2</v>
      </c>
      <c r="J11" s="2">
        <v>1</v>
      </c>
      <c r="K11" s="2"/>
      <c r="L11" s="33"/>
      <c r="M11" s="33"/>
      <c r="N11" s="33"/>
      <c r="O11" s="48"/>
      <c r="P11" s="48"/>
      <c r="Q11" s="48"/>
      <c r="R11" s="35"/>
    </row>
    <row r="12" spans="1:18" x14ac:dyDescent="0.35">
      <c r="L12" s="33"/>
      <c r="M12" s="33"/>
      <c r="N12" s="33"/>
      <c r="O12" s="48"/>
      <c r="P12" s="48"/>
      <c r="Q12" s="48"/>
      <c r="R12" s="35"/>
    </row>
    <row r="13" spans="1:18" x14ac:dyDescent="0.35">
      <c r="A13" s="6" t="s">
        <v>24</v>
      </c>
      <c r="L13" s="33"/>
      <c r="M13" s="33"/>
      <c r="N13" s="33"/>
      <c r="O13" s="48"/>
      <c r="P13" s="48"/>
      <c r="Q13" s="48"/>
      <c r="R13" s="35"/>
    </row>
    <row r="14" spans="1:18" x14ac:dyDescent="0.35">
      <c r="A14" t="s">
        <v>135</v>
      </c>
      <c r="C14" s="2">
        <v>2</v>
      </c>
      <c r="D14" s="2">
        <v>2</v>
      </c>
      <c r="E14" s="2">
        <v>1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/>
      <c r="L14" s="33"/>
      <c r="M14" s="33"/>
      <c r="N14" s="33"/>
      <c r="O14" s="48"/>
      <c r="P14" s="48"/>
      <c r="Q14" s="48"/>
      <c r="R14" s="35"/>
    </row>
    <row r="15" spans="1:18" x14ac:dyDescent="0.35">
      <c r="A15" t="s">
        <v>136</v>
      </c>
      <c r="C15" s="2">
        <v>1</v>
      </c>
      <c r="D15" s="2">
        <v>2</v>
      </c>
      <c r="E15" s="2">
        <v>2</v>
      </c>
      <c r="F15" s="2">
        <v>2</v>
      </c>
      <c r="G15" s="2">
        <v>2</v>
      </c>
      <c r="H15" s="2">
        <v>1</v>
      </c>
      <c r="I15" s="2">
        <v>2</v>
      </c>
      <c r="J15" s="2">
        <v>1</v>
      </c>
      <c r="K15" s="2"/>
      <c r="O15" s="47"/>
      <c r="P15" s="47"/>
      <c r="Q15" s="47"/>
      <c r="R15" s="35"/>
    </row>
    <row r="16" spans="1:18" x14ac:dyDescent="0.35">
      <c r="A16" t="s">
        <v>137</v>
      </c>
      <c r="C16" s="2">
        <v>2</v>
      </c>
      <c r="D16" s="2">
        <v>2</v>
      </c>
      <c r="E16" s="2">
        <v>2</v>
      </c>
      <c r="F16" s="2">
        <v>1</v>
      </c>
      <c r="G16" s="2">
        <v>1</v>
      </c>
      <c r="H16" s="2">
        <v>2</v>
      </c>
      <c r="I16" s="2">
        <v>2</v>
      </c>
      <c r="J16" s="2">
        <v>3</v>
      </c>
      <c r="K16" s="2"/>
    </row>
    <row r="18" spans="1:14" x14ac:dyDescent="0.35">
      <c r="A18" s="6" t="s">
        <v>93</v>
      </c>
    </row>
    <row r="20" spans="1:14" x14ac:dyDescent="0.35"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153</v>
      </c>
      <c r="J20" s="1" t="s">
        <v>8</v>
      </c>
      <c r="K20" s="1" t="s">
        <v>16</v>
      </c>
      <c r="L20" s="1" t="s">
        <v>17</v>
      </c>
      <c r="M20" s="1" t="s">
        <v>18</v>
      </c>
      <c r="N20" s="1" t="s">
        <v>19</v>
      </c>
    </row>
    <row r="21" spans="1:14" x14ac:dyDescent="0.35">
      <c r="B21" s="2" t="s">
        <v>9</v>
      </c>
      <c r="C21" s="2">
        <v>2</v>
      </c>
      <c r="D21" s="2">
        <v>2</v>
      </c>
      <c r="E21" s="2">
        <v>1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f>SQRT(((C21-$C$14)^2)+((D21-$D$14)^2)+((E21-$E$14)^2)+((F21-$F$14)^2)+((G21-$G$14)^2)+((H21-$H$14)^2)+((I21-$I$14)^2)+((J21-$J$14)^2))</f>
        <v>0</v>
      </c>
      <c r="L21" s="2">
        <f>SQRT(((C21-$C$15)^2)+((D21-$D$15)^2)+((E21-$E$15)^2)+((F21-$F$15)^2)+((G21-$G$15)^2)+((H21-$H$15)^2)+((I21-$I$15)^2)+((J21-$J$15)^2))</f>
        <v>2</v>
      </c>
      <c r="M21" s="2">
        <f>SQRT(((C21-$C$16)^2)+((D21-$D$16)^2)+((E21-$E$16)^2)+((F21-$F$16)^2)+((G21-$G$16)^2)+((H21-$H$16)^2)+((I21-$I$16)^2)+((J21-$J$16)^2))</f>
        <v>2</v>
      </c>
      <c r="N21" s="2">
        <f>MIN(K21:L21:M21)</f>
        <v>0</v>
      </c>
    </row>
    <row r="22" spans="1:14" x14ac:dyDescent="0.35">
      <c r="B22" s="2" t="s">
        <v>10</v>
      </c>
      <c r="C22" s="2">
        <v>1</v>
      </c>
      <c r="D22" s="2">
        <v>2</v>
      </c>
      <c r="E22" s="2">
        <v>1</v>
      </c>
      <c r="F22" s="2">
        <v>1</v>
      </c>
      <c r="G22" s="2">
        <v>2</v>
      </c>
      <c r="H22" s="2">
        <v>1</v>
      </c>
      <c r="I22" s="2">
        <v>1</v>
      </c>
      <c r="J22" s="2">
        <v>1</v>
      </c>
      <c r="K22" s="2">
        <f t="shared" ref="K22:K27" si="0">SQRT(((C22-$C$14)^2)+((D22-$D$14)^2)+((E22-$E$14)^2)+((F22-$F$14)^2)+((G22-$G$14)^2)+((H22-$H$14)^2)+((I22-$I$14)^2)+((J22-$J$14)^2))</f>
        <v>2.2360679774997898</v>
      </c>
      <c r="L22" s="2">
        <f t="shared" ref="L22:L27" si="1">SQRT(((C22-$C$15)^2)+((D22-$D$15)^2)+((E22-$E$15)^2)+((F22-$F$15)^2)+((G22-$G$15)^2)+((H22-$H$15)^2)+((I22-$I$15)^2)+((J22-$J$15)^2))</f>
        <v>1.7320508075688772</v>
      </c>
      <c r="M22" s="2">
        <f t="shared" ref="M22:M27" si="2">SQRT(((C22-$C$16)^2)+((D22-$D$16)^2)+((E22-$E$16)^2)+((F22-$F$16)^2)+((G22-$G$16)^2)+((H22-$H$16)^2)+((I22-$I$16)^2)+((J22-$J$16)^2))</f>
        <v>3</v>
      </c>
      <c r="N22" s="2">
        <f>MIN(K22:L22:M22)</f>
        <v>1.7320508075688772</v>
      </c>
    </row>
    <row r="23" spans="1:14" x14ac:dyDescent="0.35">
      <c r="B23" s="2" t="s">
        <v>11</v>
      </c>
      <c r="C23" s="2">
        <v>2</v>
      </c>
      <c r="D23" s="2">
        <v>2</v>
      </c>
      <c r="E23" s="2">
        <v>1</v>
      </c>
      <c r="F23" s="2">
        <v>2</v>
      </c>
      <c r="G23" s="2">
        <v>2</v>
      </c>
      <c r="H23" s="2">
        <v>2</v>
      </c>
      <c r="I23" s="2">
        <v>2</v>
      </c>
      <c r="J23" s="2">
        <v>3</v>
      </c>
      <c r="K23" s="2">
        <f>SQRT(((C23-$C$14)^2)+((D23-$D$14)^2)+((E23-$E$14)^2)+((F23-$F$14)^2)+((G23-$G$14)^2)+((H23-$H$14)^2)+((I23-$I$14)^2)+((J23-$J$14)^2))</f>
        <v>1</v>
      </c>
      <c r="L23" s="2">
        <f t="shared" si="1"/>
        <v>2.6457513110645907</v>
      </c>
      <c r="M23" s="2">
        <f t="shared" si="2"/>
        <v>1.7320508075688772</v>
      </c>
      <c r="N23" s="2">
        <f>MIN(K23:L23:M23)</f>
        <v>1</v>
      </c>
    </row>
    <row r="24" spans="1:14" x14ac:dyDescent="0.35">
      <c r="B24" s="2" t="s">
        <v>12</v>
      </c>
      <c r="C24" s="2">
        <v>1</v>
      </c>
      <c r="D24" s="2">
        <v>2</v>
      </c>
      <c r="E24" s="2">
        <v>2</v>
      </c>
      <c r="F24" s="2">
        <v>2</v>
      </c>
      <c r="G24" s="2">
        <v>2</v>
      </c>
      <c r="H24" s="2">
        <v>1</v>
      </c>
      <c r="I24" s="2">
        <v>2</v>
      </c>
      <c r="J24" s="2">
        <v>1</v>
      </c>
      <c r="K24" s="2">
        <f t="shared" si="0"/>
        <v>2</v>
      </c>
      <c r="L24" s="2">
        <f t="shared" si="1"/>
        <v>0</v>
      </c>
      <c r="M24" s="2">
        <f t="shared" si="2"/>
        <v>2.8284271247461903</v>
      </c>
      <c r="N24" s="2">
        <f>MIN(K24:L24:M24)</f>
        <v>0</v>
      </c>
    </row>
    <row r="25" spans="1:14" x14ac:dyDescent="0.35">
      <c r="B25" s="2" t="s">
        <v>13</v>
      </c>
      <c r="C25" s="2">
        <v>2</v>
      </c>
      <c r="D25" s="2">
        <v>2</v>
      </c>
      <c r="E25" s="2">
        <v>2</v>
      </c>
      <c r="F25" s="2">
        <v>1</v>
      </c>
      <c r="G25" s="2">
        <v>1</v>
      </c>
      <c r="H25" s="2">
        <v>2</v>
      </c>
      <c r="I25" s="2">
        <v>2</v>
      </c>
      <c r="J25" s="2">
        <v>3</v>
      </c>
      <c r="K25" s="2">
        <f>SQRT(((C25-$C$14)^2)+((D25-$D$14)^2)+((E25-$E$14)^2)+((F25-$F$14)^2)+((G25-$G$14)^2)+((H25-$H$14)^2)+((I25-$I$14)^2)+((J25-$J$14)^2))</f>
        <v>2</v>
      </c>
      <c r="L25" s="2">
        <f t="shared" si="1"/>
        <v>2.8284271247461903</v>
      </c>
      <c r="M25" s="2">
        <f t="shared" si="2"/>
        <v>0</v>
      </c>
      <c r="N25" s="2">
        <f>MIN(K25:L25:M25)</f>
        <v>0</v>
      </c>
    </row>
    <row r="26" spans="1:14" x14ac:dyDescent="0.35">
      <c r="B26" s="2" t="s">
        <v>14</v>
      </c>
      <c r="C26" s="2">
        <v>2</v>
      </c>
      <c r="D26" s="2">
        <v>2</v>
      </c>
      <c r="E26" s="2">
        <v>1</v>
      </c>
      <c r="F26" s="2">
        <v>2</v>
      </c>
      <c r="G26" s="2">
        <v>1</v>
      </c>
      <c r="H26" s="2">
        <v>2</v>
      </c>
      <c r="I26" s="2">
        <v>1</v>
      </c>
      <c r="J26" s="2">
        <v>1</v>
      </c>
      <c r="K26" s="2">
        <f>SQRT(((C26-$C$14)^2)+((D26-$D$14)^2)+((E26-$E$14)^2)+((F26-$F$14)^2)+((G26-$G$14)^2)+((H26-$H$14)^2)+((I26-$I$14)^2)+((J26-$J$14)^2))</f>
        <v>1.7320508075688772</v>
      </c>
      <c r="L26" s="2">
        <f t="shared" si="1"/>
        <v>2.2360679774997898</v>
      </c>
      <c r="M26" s="2">
        <f t="shared" si="2"/>
        <v>2.6457513110645907</v>
      </c>
      <c r="N26" s="2">
        <f>MIN(K26:L26:M26)</f>
        <v>1.7320508075688772</v>
      </c>
    </row>
    <row r="27" spans="1:14" x14ac:dyDescent="0.35">
      <c r="B27" s="2" t="s">
        <v>15</v>
      </c>
      <c r="C27" s="2">
        <v>1</v>
      </c>
      <c r="D27" s="2">
        <v>2</v>
      </c>
      <c r="E27" s="2">
        <v>1</v>
      </c>
      <c r="F27" s="2">
        <v>1</v>
      </c>
      <c r="G27" s="2">
        <v>2</v>
      </c>
      <c r="H27" s="2">
        <v>1</v>
      </c>
      <c r="I27" s="2">
        <v>2</v>
      </c>
      <c r="J27" s="2">
        <v>1</v>
      </c>
      <c r="K27" s="2">
        <f t="shared" si="0"/>
        <v>2</v>
      </c>
      <c r="L27" s="2">
        <f t="shared" si="1"/>
        <v>1.4142135623730951</v>
      </c>
      <c r="M27" s="2">
        <f t="shared" si="2"/>
        <v>2.8284271247461903</v>
      </c>
      <c r="N27" s="2">
        <f>MIN(K27:L27:M27)</f>
        <v>1.4142135623730951</v>
      </c>
    </row>
    <row r="29" spans="1:14" x14ac:dyDescent="0.35">
      <c r="A29" s="6" t="s">
        <v>94</v>
      </c>
    </row>
    <row r="31" spans="1:14" x14ac:dyDescent="0.35">
      <c r="A31" s="2" t="s">
        <v>1</v>
      </c>
      <c r="B31" s="2" t="s">
        <v>16</v>
      </c>
      <c r="C31" s="2" t="s">
        <v>17</v>
      </c>
      <c r="D31" s="2" t="s">
        <v>18</v>
      </c>
    </row>
    <row r="32" spans="1:14" x14ac:dyDescent="0.35">
      <c r="A32" s="2" t="s">
        <v>9</v>
      </c>
      <c r="B32" s="2" t="s">
        <v>20</v>
      </c>
      <c r="C32" s="2"/>
      <c r="D32" s="2"/>
    </row>
    <row r="33" spans="1:4" x14ac:dyDescent="0.35">
      <c r="A33" s="2" t="s">
        <v>10</v>
      </c>
      <c r="B33" s="2"/>
      <c r="C33" s="2" t="s">
        <v>20</v>
      </c>
      <c r="D33" s="2"/>
    </row>
    <row r="34" spans="1:4" x14ac:dyDescent="0.35">
      <c r="A34" s="2" t="s">
        <v>11</v>
      </c>
      <c r="B34" s="2" t="s">
        <v>20</v>
      </c>
      <c r="C34" s="2"/>
      <c r="D34" s="2"/>
    </row>
    <row r="35" spans="1:4" x14ac:dyDescent="0.35">
      <c r="A35" s="2" t="s">
        <v>12</v>
      </c>
      <c r="B35" s="2"/>
      <c r="C35" s="2" t="s">
        <v>20</v>
      </c>
      <c r="D35" s="2"/>
    </row>
    <row r="36" spans="1:4" x14ac:dyDescent="0.35">
      <c r="A36" s="2" t="s">
        <v>13</v>
      </c>
      <c r="B36" s="2"/>
      <c r="C36" s="2"/>
      <c r="D36" s="2" t="s">
        <v>20</v>
      </c>
    </row>
    <row r="37" spans="1:4" x14ac:dyDescent="0.35">
      <c r="A37" s="2" t="s">
        <v>14</v>
      </c>
      <c r="B37" s="2" t="s">
        <v>20</v>
      </c>
      <c r="C37" s="2"/>
      <c r="D37" s="2"/>
    </row>
    <row r="38" spans="1:4" x14ac:dyDescent="0.35">
      <c r="A38" s="2" t="s">
        <v>15</v>
      </c>
      <c r="B38" s="2"/>
      <c r="C38" s="2" t="s">
        <v>20</v>
      </c>
      <c r="D38" s="2"/>
    </row>
  </sheetData>
  <mergeCells count="17">
    <mergeCell ref="L9:M9"/>
    <mergeCell ref="L5:M5"/>
    <mergeCell ref="L6:M6"/>
    <mergeCell ref="L4:M4"/>
    <mergeCell ref="L7:M7"/>
    <mergeCell ref="L8:M8"/>
    <mergeCell ref="O4:P4"/>
    <mergeCell ref="O5:P5"/>
    <mergeCell ref="O6:P6"/>
    <mergeCell ref="O7:P7"/>
    <mergeCell ref="O8:P8"/>
    <mergeCell ref="O15:Q15"/>
    <mergeCell ref="O9:P9"/>
    <mergeCell ref="O11:Q11"/>
    <mergeCell ref="O12:Q12"/>
    <mergeCell ref="O13:Q13"/>
    <mergeCell ref="O14:Q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I28" sqref="I28"/>
    </sheetView>
  </sheetViews>
  <sheetFormatPr defaultRowHeight="14.5" x14ac:dyDescent="0.35"/>
  <cols>
    <col min="1" max="1" width="18.26953125" customWidth="1"/>
    <col min="2" max="2" width="14" customWidth="1"/>
    <col min="7" max="7" width="17.453125" customWidth="1"/>
    <col min="8" max="8" width="14.453125" customWidth="1"/>
    <col min="14" max="14" width="15" customWidth="1"/>
  </cols>
  <sheetData>
    <row r="1" spans="1:12" x14ac:dyDescent="0.35">
      <c r="A1" s="2" t="s">
        <v>1</v>
      </c>
      <c r="B1" s="2" t="s">
        <v>16</v>
      </c>
      <c r="C1" s="2" t="s">
        <v>17</v>
      </c>
      <c r="D1" s="2" t="s">
        <v>18</v>
      </c>
    </row>
    <row r="2" spans="1:12" x14ac:dyDescent="0.35">
      <c r="A2" s="2" t="s">
        <v>9</v>
      </c>
      <c r="B2" s="2" t="s">
        <v>20</v>
      </c>
      <c r="C2" s="2"/>
      <c r="D2" s="2"/>
    </row>
    <row r="3" spans="1:12" x14ac:dyDescent="0.35">
      <c r="A3" s="2" t="s">
        <v>10</v>
      </c>
      <c r="B3" s="2"/>
      <c r="C3" s="2" t="s">
        <v>20</v>
      </c>
      <c r="D3" s="2"/>
    </row>
    <row r="4" spans="1:12" x14ac:dyDescent="0.35">
      <c r="A4" s="2" t="s">
        <v>11</v>
      </c>
      <c r="B4" s="2" t="s">
        <v>20</v>
      </c>
      <c r="C4" s="2"/>
      <c r="D4" s="2"/>
    </row>
    <row r="5" spans="1:12" x14ac:dyDescent="0.35">
      <c r="A5" s="2" t="s">
        <v>12</v>
      </c>
      <c r="B5" s="2"/>
      <c r="C5" s="2" t="s">
        <v>20</v>
      </c>
      <c r="D5" s="2"/>
    </row>
    <row r="6" spans="1:12" x14ac:dyDescent="0.35">
      <c r="A6" s="2" t="s">
        <v>13</v>
      </c>
      <c r="B6" s="2"/>
      <c r="C6" s="2"/>
      <c r="D6" s="2" t="s">
        <v>20</v>
      </c>
    </row>
    <row r="7" spans="1:12" x14ac:dyDescent="0.35">
      <c r="A7" s="2" t="s">
        <v>14</v>
      </c>
      <c r="B7" s="2" t="s">
        <v>20</v>
      </c>
      <c r="C7" s="2"/>
      <c r="D7" s="2"/>
    </row>
    <row r="8" spans="1:12" x14ac:dyDescent="0.35">
      <c r="A8" s="2" t="s">
        <v>15</v>
      </c>
      <c r="B8" s="2"/>
      <c r="C8" s="2" t="s">
        <v>20</v>
      </c>
      <c r="D8" s="2"/>
    </row>
    <row r="11" spans="1:12" x14ac:dyDescent="0.35">
      <c r="A11" s="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153</v>
      </c>
      <c r="I11" s="1" t="s">
        <v>8</v>
      </c>
      <c r="J11" s="4" t="s">
        <v>21</v>
      </c>
      <c r="K11" s="4" t="s">
        <v>22</v>
      </c>
      <c r="L11" s="4" t="s">
        <v>23</v>
      </c>
    </row>
    <row r="12" spans="1:12" x14ac:dyDescent="0.35">
      <c r="A12" s="2" t="s">
        <v>9</v>
      </c>
      <c r="B12" s="2">
        <v>2</v>
      </c>
      <c r="C12" s="2">
        <v>2</v>
      </c>
      <c r="D12" s="2">
        <v>1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4">
        <f>(B12+B14+B17)/3</f>
        <v>2</v>
      </c>
      <c r="K12" s="4">
        <f>(B13+B15+B18)/3</f>
        <v>1</v>
      </c>
      <c r="L12" s="4">
        <f>B16/1</f>
        <v>2</v>
      </c>
    </row>
    <row r="13" spans="1:12" x14ac:dyDescent="0.35">
      <c r="A13" s="2" t="s">
        <v>10</v>
      </c>
      <c r="B13" s="2">
        <v>1</v>
      </c>
      <c r="C13" s="2">
        <v>2</v>
      </c>
      <c r="D13" s="2">
        <v>1</v>
      </c>
      <c r="E13" s="2">
        <v>1</v>
      </c>
      <c r="F13" s="2">
        <v>2</v>
      </c>
      <c r="G13" s="2">
        <v>1</v>
      </c>
      <c r="H13" s="2">
        <v>1</v>
      </c>
      <c r="I13" s="2">
        <v>1</v>
      </c>
      <c r="J13" s="4">
        <f>(C12+C14+C17)/3</f>
        <v>2</v>
      </c>
      <c r="K13" s="4">
        <f>(C13+C15+C18)/3</f>
        <v>2</v>
      </c>
      <c r="L13" s="4">
        <f>C16/1</f>
        <v>2</v>
      </c>
    </row>
    <row r="14" spans="1:12" x14ac:dyDescent="0.35">
      <c r="A14" s="2" t="s">
        <v>11</v>
      </c>
      <c r="B14" s="2">
        <v>2</v>
      </c>
      <c r="C14" s="2">
        <v>2</v>
      </c>
      <c r="D14" s="2">
        <v>1</v>
      </c>
      <c r="E14" s="2">
        <v>2</v>
      </c>
      <c r="F14" s="2">
        <v>2</v>
      </c>
      <c r="G14" s="2">
        <v>2</v>
      </c>
      <c r="H14" s="2">
        <v>2</v>
      </c>
      <c r="I14" s="2">
        <v>3</v>
      </c>
      <c r="J14" s="4">
        <f>(D12+D14+D17)/3</f>
        <v>1</v>
      </c>
      <c r="K14" s="4">
        <f>(D13+D15+D18)/3</f>
        <v>1.3333333333333333</v>
      </c>
      <c r="L14" s="4">
        <f>D16/1</f>
        <v>2</v>
      </c>
    </row>
    <row r="15" spans="1:12" x14ac:dyDescent="0.35">
      <c r="A15" s="2" t="s">
        <v>12</v>
      </c>
      <c r="B15" s="2">
        <v>1</v>
      </c>
      <c r="C15" s="2">
        <v>2</v>
      </c>
      <c r="D15" s="2">
        <v>2</v>
      </c>
      <c r="E15" s="2">
        <v>2</v>
      </c>
      <c r="F15" s="2">
        <v>2</v>
      </c>
      <c r="G15" s="2">
        <v>1</v>
      </c>
      <c r="H15" s="2">
        <v>2</v>
      </c>
      <c r="I15" s="2">
        <v>1</v>
      </c>
      <c r="J15" s="4">
        <f>(E12+E14+E17)/3</f>
        <v>2</v>
      </c>
      <c r="K15" s="4">
        <f>(E13+E15+E18)/3</f>
        <v>1.3333333333333333</v>
      </c>
      <c r="L15" s="4">
        <f>E16/1</f>
        <v>1</v>
      </c>
    </row>
    <row r="16" spans="1:12" x14ac:dyDescent="0.35">
      <c r="A16" s="2" t="s">
        <v>13</v>
      </c>
      <c r="B16" s="2">
        <v>2</v>
      </c>
      <c r="C16" s="2">
        <v>2</v>
      </c>
      <c r="D16" s="2">
        <v>2</v>
      </c>
      <c r="E16" s="2">
        <v>1</v>
      </c>
      <c r="F16" s="2">
        <v>1</v>
      </c>
      <c r="G16" s="2">
        <v>2</v>
      </c>
      <c r="H16" s="2">
        <v>2</v>
      </c>
      <c r="I16" s="2">
        <v>3</v>
      </c>
      <c r="J16" s="4">
        <f>(F12+F14+F17)/3</f>
        <v>1.6666666666666667</v>
      </c>
      <c r="K16" s="4">
        <f>(F13+F15+F18)/3</f>
        <v>2</v>
      </c>
      <c r="L16" s="4">
        <f>F16/1</f>
        <v>1</v>
      </c>
    </row>
    <row r="17" spans="1:14" x14ac:dyDescent="0.35">
      <c r="A17" s="2" t="s">
        <v>14</v>
      </c>
      <c r="B17" s="2">
        <v>2</v>
      </c>
      <c r="C17" s="2">
        <v>2</v>
      </c>
      <c r="D17" s="2">
        <v>1</v>
      </c>
      <c r="E17" s="2">
        <v>2</v>
      </c>
      <c r="F17" s="2">
        <v>1</v>
      </c>
      <c r="G17" s="2">
        <v>2</v>
      </c>
      <c r="H17" s="2">
        <v>1</v>
      </c>
      <c r="I17" s="2">
        <v>1</v>
      </c>
      <c r="J17" s="4">
        <f>(G12+G14+G17)/3</f>
        <v>2</v>
      </c>
      <c r="K17" s="4">
        <f>(G13+G15+G18)/3</f>
        <v>1</v>
      </c>
      <c r="L17" s="4">
        <f>G16/1</f>
        <v>2</v>
      </c>
    </row>
    <row r="18" spans="1:14" x14ac:dyDescent="0.35">
      <c r="A18" s="2" t="s">
        <v>15</v>
      </c>
      <c r="B18" s="2">
        <v>1</v>
      </c>
      <c r="C18" s="2">
        <v>2</v>
      </c>
      <c r="D18" s="2">
        <v>1</v>
      </c>
      <c r="E18" s="2">
        <v>1</v>
      </c>
      <c r="F18" s="2">
        <v>2</v>
      </c>
      <c r="G18" s="2">
        <v>1</v>
      </c>
      <c r="H18" s="2">
        <v>2</v>
      </c>
      <c r="I18" s="2">
        <v>1</v>
      </c>
      <c r="J18" s="4">
        <f>(H12+H14+H17)/3</f>
        <v>1.6666666666666667</v>
      </c>
      <c r="K18" s="4">
        <f>(H13+H15+H18)/3</f>
        <v>1.6666666666666667</v>
      </c>
      <c r="L18" s="4">
        <f>H16/1</f>
        <v>2</v>
      </c>
    </row>
    <row r="19" spans="1:14" x14ac:dyDescent="0.35">
      <c r="J19" s="4">
        <f>(I12+I14+I17)/3</f>
        <v>2</v>
      </c>
      <c r="K19" s="4">
        <f>(I13+I15+I18)/3</f>
        <v>1</v>
      </c>
      <c r="L19" s="4">
        <f>I16/1</f>
        <v>3</v>
      </c>
    </row>
    <row r="20" spans="1:14" x14ac:dyDescent="0.35">
      <c r="A20" s="50" t="s">
        <v>24</v>
      </c>
      <c r="B20" s="50"/>
      <c r="C20" s="50"/>
    </row>
    <row r="21" spans="1:14" x14ac:dyDescent="0.35">
      <c r="A21" s="2" t="s">
        <v>25</v>
      </c>
      <c r="B21" s="2"/>
      <c r="C21" s="3">
        <f>J12</f>
        <v>2</v>
      </c>
      <c r="D21" s="3">
        <f>J13</f>
        <v>2</v>
      </c>
      <c r="E21" s="2">
        <f>J14</f>
        <v>1</v>
      </c>
      <c r="F21" s="2">
        <f>J15</f>
        <v>2</v>
      </c>
      <c r="G21" s="2">
        <f>J16</f>
        <v>1.6666666666666667</v>
      </c>
      <c r="H21" s="2">
        <f>J17</f>
        <v>2</v>
      </c>
      <c r="I21" s="2">
        <f>J18</f>
        <v>1.6666666666666667</v>
      </c>
      <c r="J21" s="2">
        <f>J19</f>
        <v>2</v>
      </c>
    </row>
    <row r="22" spans="1:14" x14ac:dyDescent="0.35">
      <c r="A22" s="2" t="s">
        <v>26</v>
      </c>
      <c r="B22" s="2"/>
      <c r="C22" s="3">
        <f>K12</f>
        <v>1</v>
      </c>
      <c r="D22" s="3">
        <f>K13</f>
        <v>2</v>
      </c>
      <c r="E22" s="2">
        <f>K14</f>
        <v>1.3333333333333333</v>
      </c>
      <c r="F22" s="2">
        <f>K15</f>
        <v>1.3333333333333333</v>
      </c>
      <c r="G22" s="2">
        <f>K16</f>
        <v>2</v>
      </c>
      <c r="H22" s="2">
        <f>K17</f>
        <v>1</v>
      </c>
      <c r="I22" s="2">
        <f>K18</f>
        <v>1.6666666666666667</v>
      </c>
      <c r="J22" s="2">
        <f>K19</f>
        <v>1</v>
      </c>
    </row>
    <row r="23" spans="1:14" x14ac:dyDescent="0.35">
      <c r="A23" s="2" t="s">
        <v>27</v>
      </c>
      <c r="B23" s="2"/>
      <c r="C23" s="3">
        <f>L12</f>
        <v>2</v>
      </c>
      <c r="D23" s="3">
        <f>L13</f>
        <v>2</v>
      </c>
      <c r="E23" s="2">
        <f>L14</f>
        <v>2</v>
      </c>
      <c r="F23" s="2">
        <f>L15</f>
        <v>1</v>
      </c>
      <c r="G23" s="2">
        <f>L16</f>
        <v>1</v>
      </c>
      <c r="H23" s="2">
        <f>L17</f>
        <v>2</v>
      </c>
      <c r="I23" s="2">
        <f>L18</f>
        <v>2</v>
      </c>
      <c r="J23" s="2">
        <f>L19</f>
        <v>3</v>
      </c>
    </row>
    <row r="25" spans="1:14" x14ac:dyDescent="0.35">
      <c r="A25" s="6" t="s">
        <v>95</v>
      </c>
    </row>
    <row r="27" spans="1:14" x14ac:dyDescent="0.35"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 t="s">
        <v>154</v>
      </c>
      <c r="J27" s="1" t="s">
        <v>8</v>
      </c>
      <c r="K27" s="38" t="s">
        <v>16</v>
      </c>
      <c r="L27" s="38" t="s">
        <v>17</v>
      </c>
      <c r="M27" s="38" t="s">
        <v>18</v>
      </c>
      <c r="N27" s="38" t="s">
        <v>19</v>
      </c>
    </row>
    <row r="28" spans="1:14" x14ac:dyDescent="0.35">
      <c r="B28" s="2" t="s">
        <v>9</v>
      </c>
      <c r="C28" s="2">
        <v>2</v>
      </c>
      <c r="D28" s="2">
        <v>2</v>
      </c>
      <c r="E28" s="2">
        <v>1</v>
      </c>
      <c r="F28" s="2">
        <v>2</v>
      </c>
      <c r="G28" s="2">
        <v>2</v>
      </c>
      <c r="H28" s="2">
        <v>2</v>
      </c>
      <c r="I28" s="2">
        <v>2</v>
      </c>
      <c r="J28" s="2">
        <v>2</v>
      </c>
      <c r="K28" s="39">
        <f t="shared" ref="K28:K34" si="0">SQRT(((C28-$C$21)^2)+((D28-$D$21)^2)+((E28-$E$21)^2)+((F28-$F$21)^2)+((G28-$G$21)^2)+((H28-$H$21)^2)+((I28-$I$21)^2)+((J28-$J$21)^2))</f>
        <v>0.47140452079103157</v>
      </c>
      <c r="L28" s="39">
        <f t="shared" ref="L28:L34" si="1">SQRT(((C28-$C$22)^2)+((D28-$D$22)^2)+((E28-$E$22)^2)+((F28-$F$22)^2)+((G28-$G$22)^2)+((H28-$H$22)^2)+((I28-$I$22)^2)+((J28-$J$22)^2))</f>
        <v>1.9148542155126762</v>
      </c>
      <c r="M28" s="39">
        <f>SQRT(((C28-$C$23)^2)+((D28-$D$23)^2)+((E28-$E$23)^2)+((F28-$F$23)^2)+((G28-$G$23)^2)+((H28-$H$23)^2)+((I28-$I$23)^2)+((J28-$J$23)^2))</f>
        <v>2</v>
      </c>
      <c r="N28" s="39">
        <f>MIN(K28:L28:M28)</f>
        <v>0.47140452079103157</v>
      </c>
    </row>
    <row r="29" spans="1:14" x14ac:dyDescent="0.35">
      <c r="B29" s="2" t="s">
        <v>10</v>
      </c>
      <c r="C29" s="2">
        <v>1</v>
      </c>
      <c r="D29" s="2">
        <v>2</v>
      </c>
      <c r="E29" s="2">
        <v>1</v>
      </c>
      <c r="F29" s="2">
        <v>1</v>
      </c>
      <c r="G29" s="2">
        <v>2</v>
      </c>
      <c r="H29" s="2">
        <v>1</v>
      </c>
      <c r="I29" s="2">
        <v>1</v>
      </c>
      <c r="J29" s="2">
        <v>1</v>
      </c>
      <c r="K29" s="40">
        <f t="shared" si="0"/>
        <v>2.1343747458109497</v>
      </c>
      <c r="L29" s="39">
        <f t="shared" si="1"/>
        <v>0.81649658092772603</v>
      </c>
      <c r="M29" s="40">
        <f t="shared" ref="M29:M34" si="2">SQRT(((C29-$C$23)^2)+((D29-$D$23)^2)+((E29-$E$23)^2)+((F29-$F$23)^2)+((G29-$G$23)^2)+((H29-$H$23)^2)+((I29-$I$23)^2)+((J29-$J$23)^2))</f>
        <v>3</v>
      </c>
      <c r="N29" s="39">
        <f>MIN(K29:L29:M29)</f>
        <v>0.81649658092772603</v>
      </c>
    </row>
    <row r="30" spans="1:14" x14ac:dyDescent="0.35">
      <c r="B30" s="2" t="s">
        <v>11</v>
      </c>
      <c r="C30" s="2">
        <v>2</v>
      </c>
      <c r="D30" s="2">
        <v>2</v>
      </c>
      <c r="E30" s="2">
        <v>1</v>
      </c>
      <c r="F30" s="2">
        <v>2</v>
      </c>
      <c r="G30" s="2">
        <v>2</v>
      </c>
      <c r="H30" s="2">
        <v>2</v>
      </c>
      <c r="I30" s="2">
        <v>2</v>
      </c>
      <c r="J30" s="2">
        <v>3</v>
      </c>
      <c r="K30" s="39">
        <f t="shared" si="0"/>
        <v>1.1055415967851332</v>
      </c>
      <c r="L30" s="39">
        <f t="shared" si="1"/>
        <v>2.5819888974716112</v>
      </c>
      <c r="M30" s="39">
        <f t="shared" si="2"/>
        <v>1.7320508075688772</v>
      </c>
      <c r="N30" s="39">
        <f>MIN(K30:L30:M30)</f>
        <v>1.1055415967851332</v>
      </c>
    </row>
    <row r="31" spans="1:14" x14ac:dyDescent="0.35">
      <c r="B31" s="2" t="s">
        <v>12</v>
      </c>
      <c r="C31" s="2">
        <v>1</v>
      </c>
      <c r="D31" s="2">
        <v>2</v>
      </c>
      <c r="E31" s="2">
        <v>2</v>
      </c>
      <c r="F31" s="2">
        <v>2</v>
      </c>
      <c r="G31" s="2">
        <v>2</v>
      </c>
      <c r="H31" s="2">
        <v>1</v>
      </c>
      <c r="I31" s="2">
        <v>2</v>
      </c>
      <c r="J31" s="2">
        <v>1</v>
      </c>
      <c r="K31" s="39">
        <f t="shared" si="0"/>
        <v>2.0548046676563256</v>
      </c>
      <c r="L31" s="39">
        <f t="shared" si="1"/>
        <v>1</v>
      </c>
      <c r="M31" s="39">
        <f t="shared" si="2"/>
        <v>2.8284271247461903</v>
      </c>
      <c r="N31" s="39">
        <f>MIN(K31:L31:M31)</f>
        <v>1</v>
      </c>
    </row>
    <row r="32" spans="1:14" x14ac:dyDescent="0.35">
      <c r="B32" s="2" t="s">
        <v>13</v>
      </c>
      <c r="C32" s="2">
        <v>2</v>
      </c>
      <c r="D32" s="2">
        <v>2</v>
      </c>
      <c r="E32" s="2">
        <v>2</v>
      </c>
      <c r="F32" s="2">
        <v>1</v>
      </c>
      <c r="G32" s="2">
        <v>1</v>
      </c>
      <c r="H32" s="2">
        <v>2</v>
      </c>
      <c r="I32" s="2">
        <v>2</v>
      </c>
      <c r="J32" s="2">
        <v>3</v>
      </c>
      <c r="K32" s="39">
        <f t="shared" si="0"/>
        <v>1.8856180831641267</v>
      </c>
      <c r="L32" s="40">
        <f t="shared" si="1"/>
        <v>2.7688746209726918</v>
      </c>
      <c r="M32" s="39">
        <f t="shared" si="2"/>
        <v>0</v>
      </c>
      <c r="N32" s="39">
        <f>MIN(K32:L32:M32)</f>
        <v>0</v>
      </c>
    </row>
    <row r="33" spans="1:14" x14ac:dyDescent="0.35">
      <c r="B33" s="2" t="s">
        <v>14</v>
      </c>
      <c r="C33" s="2">
        <v>2</v>
      </c>
      <c r="D33" s="2">
        <v>2</v>
      </c>
      <c r="E33" s="2">
        <v>1</v>
      </c>
      <c r="F33" s="2">
        <v>2</v>
      </c>
      <c r="G33" s="2">
        <v>1</v>
      </c>
      <c r="H33" s="2">
        <v>2</v>
      </c>
      <c r="I33" s="2">
        <v>1</v>
      </c>
      <c r="J33" s="2">
        <v>1</v>
      </c>
      <c r="K33" s="39">
        <f t="shared" si="0"/>
        <v>1.3743685418725535</v>
      </c>
      <c r="L33" s="39">
        <f t="shared" si="1"/>
        <v>2</v>
      </c>
      <c r="M33" s="39">
        <f t="shared" si="2"/>
        <v>2.6457513110645907</v>
      </c>
      <c r="N33" s="39">
        <f>MIN(K33:L33:M33)</f>
        <v>1.3743685418725535</v>
      </c>
    </row>
    <row r="34" spans="1:14" x14ac:dyDescent="0.35">
      <c r="B34" s="2" t="s">
        <v>15</v>
      </c>
      <c r="C34" s="2">
        <v>1</v>
      </c>
      <c r="D34" s="2">
        <v>2</v>
      </c>
      <c r="E34" s="2">
        <v>1</v>
      </c>
      <c r="F34" s="2">
        <v>1</v>
      </c>
      <c r="G34" s="2">
        <v>2</v>
      </c>
      <c r="H34" s="2">
        <v>1</v>
      </c>
      <c r="I34" s="2">
        <v>2</v>
      </c>
      <c r="J34" s="2">
        <v>1</v>
      </c>
      <c r="K34" s="39">
        <f t="shared" si="0"/>
        <v>2.0548046676563256</v>
      </c>
      <c r="L34" s="39">
        <f t="shared" si="1"/>
        <v>0.57735026918962562</v>
      </c>
      <c r="M34" s="39">
        <f t="shared" si="2"/>
        <v>2.8284271247461903</v>
      </c>
      <c r="N34" s="39">
        <f>MIN(K34:L34:M34)</f>
        <v>0.57735026918962562</v>
      </c>
    </row>
    <row r="36" spans="1:14" x14ac:dyDescent="0.35">
      <c r="A36" s="6" t="s">
        <v>96</v>
      </c>
    </row>
    <row r="37" spans="1:14" x14ac:dyDescent="0.35">
      <c r="K37">
        <v>0.77</v>
      </c>
      <c r="L37">
        <v>0.3</v>
      </c>
      <c r="M37">
        <v>0.33</v>
      </c>
    </row>
    <row r="38" spans="1:14" x14ac:dyDescent="0.35">
      <c r="A38" s="2" t="s">
        <v>1</v>
      </c>
      <c r="B38" s="2" t="s">
        <v>16</v>
      </c>
      <c r="C38" s="2" t="s">
        <v>17</v>
      </c>
      <c r="D38" s="2" t="s">
        <v>18</v>
      </c>
      <c r="F38" s="51" t="s">
        <v>97</v>
      </c>
      <c r="G38" s="51"/>
      <c r="H38" s="51"/>
      <c r="I38" s="51"/>
      <c r="J38" s="51"/>
      <c r="K38">
        <v>0</v>
      </c>
      <c r="L38">
        <v>0.7</v>
      </c>
      <c r="M38">
        <v>0</v>
      </c>
    </row>
    <row r="39" spans="1:14" x14ac:dyDescent="0.35">
      <c r="A39" s="2" t="s">
        <v>9</v>
      </c>
      <c r="B39" s="2" t="s">
        <v>20</v>
      </c>
      <c r="C39" s="2"/>
      <c r="D39" s="2"/>
      <c r="F39" s="51"/>
      <c r="G39" s="51"/>
      <c r="H39" s="51"/>
      <c r="I39" s="51"/>
      <c r="J39" s="51"/>
      <c r="K39">
        <v>0.48</v>
      </c>
      <c r="L39">
        <v>0.06</v>
      </c>
      <c r="M39">
        <v>0.42</v>
      </c>
    </row>
    <row r="40" spans="1:14" x14ac:dyDescent="0.35">
      <c r="A40" s="2" t="s">
        <v>10</v>
      </c>
      <c r="B40" s="2"/>
      <c r="C40" s="2" t="s">
        <v>20</v>
      </c>
      <c r="D40" s="2"/>
      <c r="F40" s="41"/>
      <c r="G40" s="41"/>
      <c r="H40" s="41"/>
      <c r="K40">
        <v>0.03</v>
      </c>
      <c r="L40">
        <v>0.63</v>
      </c>
      <c r="M40">
        <v>0.06</v>
      </c>
    </row>
    <row r="41" spans="1:14" x14ac:dyDescent="0.35">
      <c r="A41" s="2" t="s">
        <v>11</v>
      </c>
      <c r="B41" s="2" t="s">
        <v>20</v>
      </c>
      <c r="C41" s="2"/>
      <c r="D41" s="2"/>
      <c r="F41" s="41"/>
      <c r="G41" s="41"/>
      <c r="H41" s="41"/>
      <c r="K41">
        <v>0.11</v>
      </c>
      <c r="L41">
        <v>0</v>
      </c>
      <c r="M41">
        <v>1</v>
      </c>
    </row>
    <row r="42" spans="1:14" x14ac:dyDescent="0.35">
      <c r="A42" s="2" t="s">
        <v>12</v>
      </c>
      <c r="B42" s="2"/>
      <c r="C42" s="2" t="s">
        <v>20</v>
      </c>
      <c r="D42" s="2"/>
      <c r="K42">
        <v>0.35</v>
      </c>
      <c r="L42">
        <v>0.27</v>
      </c>
      <c r="M42">
        <v>0.12</v>
      </c>
    </row>
    <row r="43" spans="1:14" x14ac:dyDescent="0.35">
      <c r="A43" s="2" t="s">
        <v>13</v>
      </c>
      <c r="B43" s="2"/>
      <c r="C43" s="2"/>
      <c r="D43" s="2" t="s">
        <v>20</v>
      </c>
      <c r="K43">
        <v>0.03</v>
      </c>
      <c r="L43">
        <v>0.79</v>
      </c>
      <c r="M43">
        <v>0.06</v>
      </c>
    </row>
    <row r="44" spans="1:14" x14ac:dyDescent="0.35">
      <c r="A44" s="2" t="s">
        <v>14</v>
      </c>
      <c r="B44" s="2" t="s">
        <v>20</v>
      </c>
      <c r="C44" s="2"/>
      <c r="D44" s="2"/>
    </row>
    <row r="45" spans="1:14" x14ac:dyDescent="0.35">
      <c r="A45" s="2" t="s">
        <v>15</v>
      </c>
      <c r="B45" s="2"/>
      <c r="C45" s="2" t="s">
        <v>20</v>
      </c>
      <c r="D45" s="2"/>
    </row>
  </sheetData>
  <mergeCells count="2">
    <mergeCell ref="A20:C20"/>
    <mergeCell ref="F38:J39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workbookViewId="0">
      <selection activeCell="I89" sqref="I89"/>
    </sheetView>
  </sheetViews>
  <sheetFormatPr defaultRowHeight="14.5" x14ac:dyDescent="0.35"/>
  <cols>
    <col min="2" max="2" width="15.08984375" customWidth="1"/>
    <col min="3" max="3" width="8.81640625" customWidth="1"/>
    <col min="4" max="4" width="12.1796875" customWidth="1"/>
    <col min="5" max="5" width="8.81640625" customWidth="1"/>
    <col min="12" max="12" width="14.6328125" customWidth="1"/>
    <col min="13" max="13" width="13.54296875" customWidth="1"/>
  </cols>
  <sheetData>
    <row r="1" spans="1:17" ht="23.5" x14ac:dyDescent="0.55000000000000004">
      <c r="A1" s="5" t="s">
        <v>30</v>
      </c>
    </row>
    <row r="4" spans="1:17" x14ac:dyDescent="0.35">
      <c r="A4" t="s">
        <v>31</v>
      </c>
    </row>
    <row r="5" spans="1:17" x14ac:dyDescent="0.35">
      <c r="A5" t="s">
        <v>32</v>
      </c>
    </row>
    <row r="6" spans="1:17" x14ac:dyDescent="0.35">
      <c r="A6" t="s">
        <v>28</v>
      </c>
    </row>
    <row r="7" spans="1:17" x14ac:dyDescent="0.35">
      <c r="A7" t="s">
        <v>33</v>
      </c>
    </row>
    <row r="8" spans="1:17" x14ac:dyDescent="0.35">
      <c r="A8" t="s">
        <v>29</v>
      </c>
    </row>
    <row r="11" spans="1:17" x14ac:dyDescent="0.35">
      <c r="A11" s="6" t="s">
        <v>34</v>
      </c>
      <c r="M11" s="6" t="s">
        <v>138</v>
      </c>
    </row>
    <row r="12" spans="1:17" x14ac:dyDescent="0.35">
      <c r="N12" s="7"/>
      <c r="O12" s="7"/>
      <c r="P12" s="7"/>
    </row>
    <row r="13" spans="1:17" x14ac:dyDescent="0.35">
      <c r="B13" s="8" t="s">
        <v>42</v>
      </c>
      <c r="C13" s="8" t="s">
        <v>35</v>
      </c>
      <c r="D13" s="8" t="s">
        <v>36</v>
      </c>
      <c r="E13" s="8" t="s">
        <v>37</v>
      </c>
      <c r="M13" s="8" t="s">
        <v>1</v>
      </c>
      <c r="N13" s="8" t="s">
        <v>38</v>
      </c>
      <c r="O13" s="8" t="s">
        <v>39</v>
      </c>
      <c r="P13" s="8" t="s">
        <v>40</v>
      </c>
      <c r="Q13" s="8" t="s">
        <v>41</v>
      </c>
    </row>
    <row r="14" spans="1:17" x14ac:dyDescent="0.35">
      <c r="B14" s="2" t="s">
        <v>43</v>
      </c>
      <c r="C14" s="2">
        <v>0.77</v>
      </c>
      <c r="D14" s="2">
        <v>0.3</v>
      </c>
      <c r="E14" s="2">
        <v>0.33</v>
      </c>
      <c r="M14" s="2" t="s">
        <v>9</v>
      </c>
      <c r="N14" s="3">
        <v>5</v>
      </c>
      <c r="O14" s="3">
        <v>3</v>
      </c>
      <c r="P14" s="3">
        <v>4</v>
      </c>
      <c r="Q14" s="9">
        <f>SUM(N14:P14)/3</f>
        <v>4</v>
      </c>
    </row>
    <row r="15" spans="1:17" x14ac:dyDescent="0.35">
      <c r="B15" s="2" t="s">
        <v>47</v>
      </c>
      <c r="C15" s="2">
        <v>0</v>
      </c>
      <c r="D15" s="2">
        <v>0.7</v>
      </c>
      <c r="E15" s="2">
        <v>0</v>
      </c>
      <c r="M15" s="2" t="s">
        <v>10</v>
      </c>
      <c r="N15" s="3">
        <v>4</v>
      </c>
      <c r="O15" s="3">
        <v>5</v>
      </c>
      <c r="P15" s="3">
        <v>5</v>
      </c>
      <c r="Q15" s="9">
        <f t="shared" ref="Q15:Q20" si="0">SUM(N15:P15)/3</f>
        <v>4.666666666666667</v>
      </c>
    </row>
    <row r="16" spans="1:17" x14ac:dyDescent="0.35">
      <c r="B16" s="2" t="s">
        <v>44</v>
      </c>
      <c r="C16" s="2">
        <v>0.48</v>
      </c>
      <c r="D16" s="2">
        <v>0.06</v>
      </c>
      <c r="E16" s="2">
        <v>0.42</v>
      </c>
      <c r="M16" s="2" t="s">
        <v>11</v>
      </c>
      <c r="N16" s="3">
        <v>5</v>
      </c>
      <c r="O16" s="3">
        <v>3</v>
      </c>
      <c r="P16" s="3">
        <v>4</v>
      </c>
      <c r="Q16" s="9">
        <f t="shared" si="0"/>
        <v>4</v>
      </c>
    </row>
    <row r="17" spans="1:18" x14ac:dyDescent="0.35">
      <c r="B17" s="2" t="s">
        <v>45</v>
      </c>
      <c r="C17" s="2">
        <v>0.03</v>
      </c>
      <c r="D17" s="2">
        <v>0.63</v>
      </c>
      <c r="E17" s="2">
        <v>0.06</v>
      </c>
      <c r="M17" s="2" t="s">
        <v>12</v>
      </c>
      <c r="N17" s="3">
        <v>2</v>
      </c>
      <c r="O17" s="3">
        <v>5</v>
      </c>
      <c r="P17" s="3">
        <v>5</v>
      </c>
      <c r="Q17" s="9">
        <f t="shared" si="0"/>
        <v>4</v>
      </c>
    </row>
    <row r="18" spans="1:18" x14ac:dyDescent="0.35">
      <c r="B18" s="2" t="s">
        <v>46</v>
      </c>
      <c r="C18" s="2">
        <v>0.11</v>
      </c>
      <c r="D18" s="2">
        <v>0</v>
      </c>
      <c r="E18" s="2">
        <v>1</v>
      </c>
      <c r="M18" s="2" t="s">
        <v>13</v>
      </c>
      <c r="N18" s="3">
        <v>5</v>
      </c>
      <c r="O18" s="3">
        <v>4</v>
      </c>
      <c r="P18" s="3">
        <v>3</v>
      </c>
      <c r="Q18" s="9">
        <f t="shared" si="0"/>
        <v>4</v>
      </c>
    </row>
    <row r="19" spans="1:18" x14ac:dyDescent="0.35">
      <c r="B19" s="10" t="s">
        <v>49</v>
      </c>
      <c r="C19" s="2">
        <v>0.35</v>
      </c>
      <c r="D19" s="2">
        <v>0.27</v>
      </c>
      <c r="E19" s="2">
        <v>0.12</v>
      </c>
      <c r="M19" s="10" t="s">
        <v>14</v>
      </c>
      <c r="N19" s="3">
        <v>4</v>
      </c>
      <c r="O19" s="3">
        <v>5</v>
      </c>
      <c r="P19" s="3">
        <v>3</v>
      </c>
      <c r="Q19" s="9">
        <f t="shared" si="0"/>
        <v>4</v>
      </c>
    </row>
    <row r="20" spans="1:18" x14ac:dyDescent="0.35">
      <c r="B20" s="10" t="s">
        <v>48</v>
      </c>
      <c r="C20" s="2">
        <v>0.03</v>
      </c>
      <c r="D20" s="2">
        <v>0.79</v>
      </c>
      <c r="E20" s="2">
        <v>0.06</v>
      </c>
      <c r="M20" s="10" t="s">
        <v>15</v>
      </c>
      <c r="N20" s="3">
        <v>5</v>
      </c>
      <c r="O20" s="3">
        <v>4</v>
      </c>
      <c r="P20" s="3">
        <v>3</v>
      </c>
      <c r="Q20" s="9">
        <f t="shared" si="0"/>
        <v>4</v>
      </c>
    </row>
    <row r="21" spans="1:18" x14ac:dyDescent="0.35">
      <c r="B21" s="10" t="s">
        <v>50</v>
      </c>
      <c r="C21" s="2">
        <v>0.25</v>
      </c>
      <c r="D21" s="2">
        <v>0.39</v>
      </c>
      <c r="E21" s="2">
        <v>0.28000000000000003</v>
      </c>
    </row>
    <row r="22" spans="1:18" x14ac:dyDescent="0.35">
      <c r="C22" s="11"/>
    </row>
    <row r="23" spans="1:18" x14ac:dyDescent="0.35">
      <c r="A23" s="6" t="s">
        <v>51</v>
      </c>
      <c r="M23" s="6" t="s">
        <v>79</v>
      </c>
    </row>
    <row r="25" spans="1:18" x14ac:dyDescent="0.35">
      <c r="G25" s="6" t="s">
        <v>52</v>
      </c>
      <c r="R25" s="6" t="s">
        <v>80</v>
      </c>
    </row>
    <row r="29" spans="1:18" x14ac:dyDescent="0.35">
      <c r="B29" t="s">
        <v>56</v>
      </c>
      <c r="C29" s="12" t="s">
        <v>55</v>
      </c>
      <c r="M29" t="s">
        <v>53</v>
      </c>
      <c r="N29" s="15" t="s">
        <v>81</v>
      </c>
    </row>
    <row r="30" spans="1:18" x14ac:dyDescent="0.35">
      <c r="C30" s="14" t="s">
        <v>57</v>
      </c>
      <c r="D30" s="13"/>
      <c r="E30" s="13"/>
      <c r="F30" s="13"/>
      <c r="G30" s="13"/>
      <c r="H30" s="13"/>
      <c r="I30" s="13"/>
      <c r="N30" s="14" t="s">
        <v>82</v>
      </c>
      <c r="O30" s="13"/>
      <c r="P30" s="13"/>
      <c r="Q30" s="13"/>
      <c r="R30" s="13"/>
    </row>
    <row r="32" spans="1:18" x14ac:dyDescent="0.35">
      <c r="B32" s="25" t="s">
        <v>54</v>
      </c>
      <c r="C32" s="18">
        <f>((C14-C21)*(C15-C21))+((D14-D21)*(D15-D21))+((E14-E21)*(E15-E21))</f>
        <v>-0.1719</v>
      </c>
      <c r="D32" s="19" t="s">
        <v>58</v>
      </c>
      <c r="E32" s="20">
        <f>C32/C33</f>
        <v>-0.66611397273798967</v>
      </c>
      <c r="I32" s="16"/>
      <c r="M32" s="31" t="s">
        <v>54</v>
      </c>
      <c r="N32" s="30">
        <f>((5-4)*(4-4.67))+((3-4)*(5-4.67))+((4-4)*(5-4.67))</f>
        <v>-1</v>
      </c>
      <c r="O32" s="19" t="s">
        <v>58</v>
      </c>
      <c r="P32" s="27">
        <f>N32/N33</f>
        <v>-0.86600375396120899</v>
      </c>
    </row>
    <row r="33" spans="2:16" x14ac:dyDescent="0.35">
      <c r="B33" s="26"/>
      <c r="C33" s="21">
        <f>(SQRT((C14-C21)^2+(D14-D21)^2+(E14-E21)^2)*(SQRT((C15-C21)^2+(D15-D21)^2+(E15-E21)^2)))</f>
        <v>0.2580639455638854</v>
      </c>
      <c r="D33" s="22"/>
      <c r="E33" s="23"/>
      <c r="H33" s="17"/>
      <c r="M33" s="32"/>
      <c r="N33" s="28">
        <f>SQRT((5-4)^2+(3-4)^2+(4-4)^2)*SQRT((4-4.67)^2+(5-4.67)^2+(5-4.67)^2)</f>
        <v>1.1547294055318762</v>
      </c>
      <c r="O33" s="28"/>
      <c r="P33" s="29"/>
    </row>
    <row r="34" spans="2:16" x14ac:dyDescent="0.35">
      <c r="B34" s="25" t="s">
        <v>59</v>
      </c>
      <c r="C34" s="18">
        <f>((C14-C21)*(C16-C21))+((D14-D21)*(D16-D21))+((E14-E21)*(E16-E21))</f>
        <v>0.15630000000000002</v>
      </c>
      <c r="D34" s="19" t="s">
        <v>58</v>
      </c>
      <c r="E34" s="20">
        <f>C34/C35</f>
        <v>0.69228859460250902</v>
      </c>
      <c r="M34" s="31" t="s">
        <v>59</v>
      </c>
      <c r="N34" s="30">
        <f>((N14-Q14)*(N16-Q16))+((O14-Q14)*(O16-Q16))+((P14-Q14)*(P16-Q16))</f>
        <v>2</v>
      </c>
      <c r="O34" s="19" t="s">
        <v>58</v>
      </c>
      <c r="P34" s="27">
        <f t="shared" ref="P34:P72" si="1">N34/N35</f>
        <v>0.99999999999999978</v>
      </c>
    </row>
    <row r="35" spans="2:16" x14ac:dyDescent="0.35">
      <c r="B35" s="26"/>
      <c r="C35" s="21">
        <f>(SQRT((C14-C21)^2+(D14-D21)^2+(E14-E21)^2)*(SQRT((C16-C21)^2+(D16-D21)^2+(E16-E21)^2)))</f>
        <v>0.22577289474159648</v>
      </c>
      <c r="D35" s="22"/>
      <c r="E35" s="23"/>
      <c r="M35" s="32"/>
      <c r="N35" s="28">
        <f>SQRT((N14-Q14)^2+(O14-Q14)^2+(P14-Q14)^2)*SQRT((N16-Q16)^2+(O16-Q16)^2+(P16-Q16)^2)</f>
        <v>2.0000000000000004</v>
      </c>
      <c r="O35" s="28"/>
      <c r="P35" s="29"/>
    </row>
    <row r="36" spans="2:16" x14ac:dyDescent="0.35">
      <c r="B36" s="25" t="s">
        <v>60</v>
      </c>
      <c r="C36" s="18">
        <f>((C14-C21)*(C17-C21))+((D14-D21)*(D17-D21))+((E14-E21)*(E17-E21))</f>
        <v>-0.14700000000000002</v>
      </c>
      <c r="D36" s="19" t="s">
        <v>58</v>
      </c>
      <c r="E36" s="20">
        <f>C36/C37</f>
        <v>-0.70573316465104685</v>
      </c>
      <c r="M36" s="31" t="s">
        <v>60</v>
      </c>
      <c r="N36" s="30">
        <f>((N14-Q14)*(N17-Q17))+((O14-Q14)*(O17-Q17))+((P14-Q14)*(P17-Q17))</f>
        <v>-3</v>
      </c>
      <c r="O36" s="19" t="s">
        <v>58</v>
      </c>
      <c r="P36" s="27">
        <f t="shared" si="1"/>
        <v>-0.86602540378443871</v>
      </c>
    </row>
    <row r="37" spans="2:16" x14ac:dyDescent="0.35">
      <c r="B37" s="26"/>
      <c r="C37" s="21">
        <f>(SQRT((C14-C21)^2+(D14-D21)^2+(E14-E21)^2)*(SQRT((C17-C21)^2+(D17-D21)^2+(E17-E21)^2)))</f>
        <v>0.20829402295793323</v>
      </c>
      <c r="D37" s="22"/>
      <c r="E37" s="23"/>
      <c r="M37" s="32"/>
      <c r="N37" s="28">
        <f>SQRT((N14-Q14)^2+(O14-Q14)^2+(P14-Q14)^2)*SQRT((N17-Q17)^2+(O17-Q17)^2+(P17-Q17)^2)</f>
        <v>3.4641016151377544</v>
      </c>
      <c r="O37" s="28"/>
      <c r="P37" s="29"/>
    </row>
    <row r="38" spans="2:16" x14ac:dyDescent="0.35">
      <c r="B38" s="25" t="s">
        <v>61</v>
      </c>
      <c r="C38" s="18">
        <f>((C14-C21)*(C18-C21))+((D14-D21)*(D18-D21))+((E14-E21)*(E18-E21))</f>
        <v>-1.7000000000000001E-3</v>
      </c>
      <c r="D38" s="19" t="s">
        <v>58</v>
      </c>
      <c r="E38" s="20">
        <f>C38/C39</f>
        <v>-1.8990196571838176E-3</v>
      </c>
      <c r="M38" s="31" t="s">
        <v>61</v>
      </c>
      <c r="N38" s="30">
        <f>((N14-Q14)*(N18-Q18))+((O14-Q14)*(O18-Q18))+((P14-Q14)*(P18-Q18))</f>
        <v>1</v>
      </c>
      <c r="O38" s="19" t="s">
        <v>58</v>
      </c>
      <c r="P38" s="27">
        <f t="shared" si="1"/>
        <v>0.49999999999999989</v>
      </c>
    </row>
    <row r="39" spans="2:16" x14ac:dyDescent="0.35">
      <c r="B39" s="26"/>
      <c r="C39" s="21">
        <f>(SQRT((C14-C23)^2+(D14-D23)^2+(E14-E23)^2)*(SQRT((C18-C23)^2+(D18-D23)^2+(E18-E23)^2)))</f>
        <v>0.89519873771135317</v>
      </c>
      <c r="D39" s="22"/>
      <c r="E39" s="23"/>
      <c r="M39" s="32"/>
      <c r="N39" s="28">
        <f>SQRT((N14-Q14)^2+(O14-Q14)^2+(P14-Q14)^2)*SQRT((N18-Q18)^2+(O18-Q18)^2+(P18-Q18)^2)</f>
        <v>2.0000000000000004</v>
      </c>
      <c r="O39" s="28"/>
      <c r="P39" s="29"/>
    </row>
    <row r="40" spans="2:16" x14ac:dyDescent="0.35">
      <c r="B40" s="25" t="s">
        <v>62</v>
      </c>
      <c r="C40" s="18">
        <f>((C14-C21)*(C19-C21))+((D14-D21)*(D19-D21))+((E14-E21)*(E19-E21))</f>
        <v>5.4799999999999995E-2</v>
      </c>
      <c r="D40" s="19" t="s">
        <v>58</v>
      </c>
      <c r="E40" s="20">
        <f>C40/C41</f>
        <v>0.4623196965081191</v>
      </c>
      <c r="M40" s="31" t="s">
        <v>62</v>
      </c>
      <c r="N40" s="30">
        <f>((N14-Q14)*(N19-Q19))+((O14-Q14)*(O19-Q19))+((P14-Q14)*(P19-Q19))</f>
        <v>-1</v>
      </c>
      <c r="O40" s="19" t="s">
        <v>58</v>
      </c>
      <c r="P40" s="27">
        <f t="shared" si="1"/>
        <v>-0.49999999999999989</v>
      </c>
    </row>
    <row r="41" spans="2:16" x14ac:dyDescent="0.35">
      <c r="B41" s="26"/>
      <c r="C41" s="21">
        <f>(SQRT((C14-C21)^2+(D14-D21)^2+(E14-E21)^2)*(SQRT((C19-C21)^2+(D19-D21)^2+(E19-E21)^2)))</f>
        <v>0.11853269591129699</v>
      </c>
      <c r="D41" s="22"/>
      <c r="E41" s="23"/>
      <c r="M41" s="32"/>
      <c r="N41" s="28">
        <f>SQRT((N14-Q14)^2+(O14-Q14)^2+(P14-Q14)^2)*SQRT((N19-Q19)^2+(O19-Q19)^2+(P19-Q19)^2)</f>
        <v>2.0000000000000004</v>
      </c>
      <c r="O41" s="28"/>
      <c r="P41" s="29"/>
    </row>
    <row r="42" spans="2:16" x14ac:dyDescent="0.35">
      <c r="B42" s="25" t="s">
        <v>63</v>
      </c>
      <c r="C42" s="18">
        <f>((C14-C21)*(C20-C21))+((D14-D21)*(D20-D21))+((E14-E21)*(E20-E21))</f>
        <v>-0.16140000000000002</v>
      </c>
      <c r="D42" s="19" t="s">
        <v>58</v>
      </c>
      <c r="E42" s="20">
        <f>C42/C43</f>
        <v>-0.60083173136492485</v>
      </c>
      <c r="M42" s="31" t="s">
        <v>63</v>
      </c>
      <c r="N42" s="30">
        <f>((N14-Q14)*(N20-Q20))+((O14-Q14)*(O20-Q20))+((P14-Q14)*(P20-Q20))</f>
        <v>1</v>
      </c>
      <c r="O42" s="19" t="s">
        <v>58</v>
      </c>
      <c r="P42" s="27">
        <f t="shared" si="1"/>
        <v>0.49999999999999989</v>
      </c>
    </row>
    <row r="43" spans="2:16" x14ac:dyDescent="0.35">
      <c r="B43" s="26"/>
      <c r="C43" s="21">
        <f>(SQRT((C14-C21)^2+(D14-D21)^2+(E14-E21)^2)*(SQRT((C20-C21)^2+(D20-D21)^2+(E20-E21)^2)))</f>
        <v>0.26862762330035983</v>
      </c>
      <c r="D43" s="22"/>
      <c r="E43" s="23"/>
      <c r="M43" s="32"/>
      <c r="N43" s="28">
        <f>SQRT((N14-Q14)^2+(O14-Q14)^2+(P14-Q14)^2)*SQRT((N20-Q20)^2+(O20-Q20)^2+(P20-Q20)^2)</f>
        <v>2.0000000000000004</v>
      </c>
      <c r="O43" s="28"/>
      <c r="P43" s="29"/>
    </row>
    <row r="44" spans="2:16" x14ac:dyDescent="0.35">
      <c r="B44" s="25" t="s">
        <v>64</v>
      </c>
      <c r="C44" s="18">
        <f>((C15-C21)*(C16-C21))+((D15-D21)*(D16-D21))+((E15-E21)*(E16-E21))</f>
        <v>-0.19899999999999998</v>
      </c>
      <c r="D44" s="19" t="s">
        <v>58</v>
      </c>
      <c r="E44" s="20">
        <f>C44/C45</f>
        <v>-0.95975473197999384</v>
      </c>
      <c r="M44" s="31" t="s">
        <v>64</v>
      </c>
      <c r="N44" s="30">
        <f>((N15-Q15)*(N16-Q16))+((O15-Q15)*(O16-Q16))+((P15-Q15)*(P16-Q16))</f>
        <v>-1</v>
      </c>
      <c r="O44" s="19" t="s">
        <v>58</v>
      </c>
      <c r="P44" s="27">
        <f t="shared" si="1"/>
        <v>-0.86602540378443849</v>
      </c>
    </row>
    <row r="45" spans="2:16" x14ac:dyDescent="0.35">
      <c r="B45" s="26"/>
      <c r="C45" s="21">
        <f>(SQRT((C15-C21)^2+(D15-D21)^2+(E15-E21)^2)*(SQRT((C16-C21)^2+(D16-D21)^2+(E16-E21)^2)))</f>
        <v>0.20734464063486185</v>
      </c>
      <c r="D45" s="22"/>
      <c r="E45" s="23"/>
      <c r="M45" s="32"/>
      <c r="N45" s="28">
        <f>SQRT((N15-Q15)^2+(O15-Q15)^2+(P15-Q15)^2)*SQRT((N16-Q16)^2+(O16-Q16)^2+(P16-Q16)^2)</f>
        <v>1.1547005383792517</v>
      </c>
      <c r="O45" s="28"/>
      <c r="P45" s="29"/>
    </row>
    <row r="46" spans="2:16" x14ac:dyDescent="0.35">
      <c r="B46" s="25" t="s">
        <v>65</v>
      </c>
      <c r="C46" s="18">
        <f>((C15-C21)*(C17-C21))+((D15-D21)*(D17-D21))+((E15-E21)*(E17-E21))</f>
        <v>0.191</v>
      </c>
      <c r="D46" s="19" t="s">
        <v>58</v>
      </c>
      <c r="E46" s="20">
        <f>C46/C47</f>
        <v>0.99847120847788495</v>
      </c>
      <c r="M46" s="31" t="s">
        <v>65</v>
      </c>
      <c r="N46" s="30">
        <f>((N15-Q15)*(N17-Q17))+((O15-Q15)*(O17-Q17))+((P15-Q15)*(P17-Q17))</f>
        <v>2</v>
      </c>
      <c r="O46" s="19" t="s">
        <v>58</v>
      </c>
      <c r="P46" s="27">
        <f t="shared" si="1"/>
        <v>1</v>
      </c>
    </row>
    <row r="47" spans="2:16" x14ac:dyDescent="0.35">
      <c r="B47" s="26"/>
      <c r="C47" s="21">
        <f>(SQRT((C15-C21)^2+(D15-D21)^2+(E15-E21)^2)*(SQRT((C17-C21)^2+(D17-D21)^2+(E17-E21)^2)))</f>
        <v>0.19129244627010239</v>
      </c>
      <c r="D47" s="22"/>
      <c r="E47" s="23"/>
      <c r="M47" s="32"/>
      <c r="N47" s="28">
        <f>SQRT((N15-Q15)^2+(O15-Q15)^2+(P15-Q15)^2)*SQRT((N17-Q17)^2+(O17-Q17)^2+(P17-Q17)^2)</f>
        <v>1.9999999999999998</v>
      </c>
      <c r="O47" s="28"/>
      <c r="P47" s="29"/>
    </row>
    <row r="48" spans="2:16" x14ac:dyDescent="0.35">
      <c r="B48" s="25" t="s">
        <v>66</v>
      </c>
      <c r="C48" s="18">
        <f>((C15-C21)*(C18-C21))+((D15-D21)*(D18-D21))+((E15-E21)*(E18-E21))</f>
        <v>-0.28749999999999998</v>
      </c>
      <c r="D48" s="19" t="s">
        <v>58</v>
      </c>
      <c r="E48" s="20">
        <f>C48/C49</f>
        <v>-0.71089860550224604</v>
      </c>
      <c r="M48" s="31" t="s">
        <v>66</v>
      </c>
      <c r="N48" s="30">
        <f>((N15-Q15)*(N18-Q18))+((O15-Q15)*(O18-Q18))+((P15-Q15)*(P18-Q18))</f>
        <v>-1</v>
      </c>
      <c r="O48" s="19" t="s">
        <v>58</v>
      </c>
      <c r="P48" s="27">
        <f t="shared" si="1"/>
        <v>-0.86602540378443849</v>
      </c>
    </row>
    <row r="49" spans="2:16" x14ac:dyDescent="0.35">
      <c r="B49" s="26"/>
      <c r="C49" s="21">
        <f>(SQRT((C15-C21)^2+(D15-D21)^2+(E15-E21)^2)*(SQRT((C18-C21)^2+(D18-D21)^2+(E18-E21)^2)))</f>
        <v>0.40441772958167893</v>
      </c>
      <c r="D49" s="22"/>
      <c r="E49" s="23"/>
      <c r="M49" s="32"/>
      <c r="N49" s="28">
        <f>SQRT((N15-Q15)^2+(O15-Q15)^2+(P15-Q15)^2)*SQRT((N18-Q18)^2+(O18-Q18)^2+(P18-Q18)^2)</f>
        <v>1.1547005383792517</v>
      </c>
      <c r="O49" s="28"/>
      <c r="P49" s="29"/>
    </row>
    <row r="50" spans="2:16" x14ac:dyDescent="0.35">
      <c r="B50" s="25" t="s">
        <v>67</v>
      </c>
      <c r="C50" s="18">
        <f>((C15-C21)*(C19-C21))+((D15-D21)*(D19-D21))+((E15-E21)*(E19-E21))</f>
        <v>-1.7399999999999971E-2</v>
      </c>
      <c r="D50" s="19" t="s">
        <v>58</v>
      </c>
      <c r="E50" s="20">
        <f>C50/C51</f>
        <v>-0.15984169383676936</v>
      </c>
      <c r="M50" s="31" t="s">
        <v>67</v>
      </c>
      <c r="N50" s="30">
        <f>((N15-Q15)*(N19-Q19))+((O15-Q15)*(O19-Q19))+((P15-Q15)*(P19-Q19))</f>
        <v>0</v>
      </c>
      <c r="O50" s="19" t="s">
        <v>58</v>
      </c>
      <c r="P50" s="27">
        <f t="shared" si="1"/>
        <v>0</v>
      </c>
    </row>
    <row r="51" spans="2:16" x14ac:dyDescent="0.35">
      <c r="B51" s="26"/>
      <c r="C51" s="21">
        <f>(SQRT((C15-C21)^2+(D15-D21)^2+(E15-E21)^2)*(SQRT((C19-C21)^2+(D19-D21)^2+(E19-E21)^2)))</f>
        <v>0.1088577052853862</v>
      </c>
      <c r="D51" s="22"/>
      <c r="E51" s="23"/>
      <c r="M51" s="32"/>
      <c r="N51" s="28">
        <f>SQRT((N15-Q15)^2+(O15-Q15)^2+(P15-Q15)^2)*SQRT((N19-Q19)^2+(O19-Q19)^2+(P19-Q19)^2)</f>
        <v>1.1547005383792517</v>
      </c>
      <c r="O51" s="28"/>
      <c r="P51" s="29"/>
    </row>
    <row r="52" spans="2:16" x14ac:dyDescent="0.35">
      <c r="B52" s="25" t="s">
        <v>68</v>
      </c>
      <c r="C52" s="18">
        <f>((C15-C21)*(C20-C21))+((D15-D21)*(D20-D21))+((E15-E21)*(E20-E21))</f>
        <v>0.24060000000000001</v>
      </c>
      <c r="D52" s="19" t="s">
        <v>58</v>
      </c>
      <c r="E52" s="20">
        <f>C52/C53</f>
        <v>0.97526792297807474</v>
      </c>
      <c r="M52" s="31" t="s">
        <v>68</v>
      </c>
      <c r="N52" s="30">
        <f>((N15-Q15)*(N20-Q20))+((O15-Q15)*(O20-Q20))+((P15-Q15)*(P20-Q20))</f>
        <v>-1</v>
      </c>
      <c r="O52" s="19" t="s">
        <v>58</v>
      </c>
      <c r="P52" s="27">
        <f t="shared" si="1"/>
        <v>-0.86602540378443849</v>
      </c>
    </row>
    <row r="53" spans="2:16" x14ac:dyDescent="0.35">
      <c r="B53" s="26"/>
      <c r="C53" s="21">
        <f>(SQRT((C15-C21)^2+(D15-D21)^2+(E15-E21)^2)*(SQRT((C20-C21)^2+(D20-D21)^2+(E20-E21)^2)))</f>
        <v>0.24670143899053368</v>
      </c>
      <c r="D53" s="22"/>
      <c r="E53" s="23"/>
      <c r="M53" s="32"/>
      <c r="N53" s="28">
        <f>SQRT((N15-Q15)^2+(O15-Q15)^2+(P15-Q15)^2)*SQRT((N20-Q20)^2+(O20-Q20)^2+(P20-Q20)^2)</f>
        <v>1.1547005383792517</v>
      </c>
      <c r="O53" s="28"/>
      <c r="P53" s="29"/>
    </row>
    <row r="54" spans="2:16" x14ac:dyDescent="0.35">
      <c r="B54" s="25" t="s">
        <v>69</v>
      </c>
      <c r="C54" s="18">
        <f>((C16-C21)*(C17-C21))+((D16-D21)*(D17-D21))+((E16-E21)*(E17-E21))</f>
        <v>-0.16059999999999999</v>
      </c>
      <c r="D54" s="19" t="s">
        <v>58</v>
      </c>
      <c r="E54" s="20">
        <f>C54/C55</f>
        <v>-0.95962875186363727</v>
      </c>
      <c r="M54" s="31" t="s">
        <v>69</v>
      </c>
      <c r="N54" s="30">
        <f>((N16-Q16)*(N17-Q17))+((O16-Q16)*(O17-Q17))+((P16-Q16)*(P17-Q17))</f>
        <v>-3</v>
      </c>
      <c r="O54" s="19" t="s">
        <v>58</v>
      </c>
      <c r="P54" s="27">
        <f t="shared" si="1"/>
        <v>-0.86602540378443871</v>
      </c>
    </row>
    <row r="55" spans="2:16" x14ac:dyDescent="0.35">
      <c r="B55" s="26"/>
      <c r="C55" s="21">
        <f>(SQRT((C16-C21)^2+(D16-D21)^2+(E16-E21)^2)*(SQRT((C17-C21)^2+(D17-D21)^2+(E17-E21)^2)))</f>
        <v>0.16735638619425314</v>
      </c>
      <c r="D55" s="22"/>
      <c r="E55" s="23"/>
      <c r="M55" s="32"/>
      <c r="N55" s="28">
        <f>SQRT((N16-Q16)^2+(O16-Q16)^2+(P16-Q16)^2)*SQRT((N17-Q17)^2+(O17-Q17)^2+(P17-Q17)^2)</f>
        <v>3.4641016151377544</v>
      </c>
      <c r="O55" s="28"/>
      <c r="P55" s="29"/>
    </row>
    <row r="56" spans="2:16" x14ac:dyDescent="0.35">
      <c r="B56" s="25" t="s">
        <v>70</v>
      </c>
      <c r="C56" s="18">
        <f>((C16-C21)*(C18-C21))+((D16-D21)*(D18-D21))+((E16-E21)*(E18-E21))</f>
        <v>0.19729999999999998</v>
      </c>
      <c r="D56" s="19" t="s">
        <v>58</v>
      </c>
      <c r="E56" s="20">
        <f>C56/C57</f>
        <v>0.55763808895539368</v>
      </c>
      <c r="M56" s="31" t="s">
        <v>70</v>
      </c>
      <c r="N56" s="30">
        <f>((N16-Q16)*(N18-Q18))+((O16-Q16)*(O18-Q18))+((P16-Q16)*(P18-Q18))</f>
        <v>1</v>
      </c>
      <c r="O56" s="19" t="s">
        <v>58</v>
      </c>
      <c r="P56" s="27">
        <f t="shared" si="1"/>
        <v>0.49999999999999989</v>
      </c>
    </row>
    <row r="57" spans="2:16" x14ac:dyDescent="0.35">
      <c r="B57" s="26"/>
      <c r="C57" s="21">
        <f>(SQRT((C16-C21)^2+(D16-D21)^2+(E16-E21)^2)*(SQRT((C18-C21)^2+(D18-D21)^2+(E18-E21)^2)))</f>
        <v>0.35381370804421919</v>
      </c>
      <c r="D57" s="22"/>
      <c r="E57" s="23"/>
      <c r="M57" s="32"/>
      <c r="N57" s="28">
        <f>SQRT((N16-Q16)^2+(O16-Q16)^2+(P16-Q16)^2)*SQRT((N18-Q18)^2+(O18-Q18)^2+(P18-Q18)^2)</f>
        <v>2.0000000000000004</v>
      </c>
      <c r="O57" s="28"/>
      <c r="P57" s="29"/>
    </row>
    <row r="58" spans="2:16" x14ac:dyDescent="0.35">
      <c r="B58" s="25" t="s">
        <v>71</v>
      </c>
      <c r="C58" s="18">
        <f>((C16-C21)*(C19-C21))+((D16-D21)*(D19-D21))+((E16-E21)*(E19-E21))</f>
        <v>4.0199999999999993E-2</v>
      </c>
      <c r="D58" s="19" t="s">
        <v>58</v>
      </c>
      <c r="E58" s="20">
        <f>C58/C59</f>
        <v>0.42210685929219566</v>
      </c>
      <c r="M58" s="31" t="s">
        <v>71</v>
      </c>
      <c r="N58" s="30">
        <f>((N16-Q16)*(N19-Q19))+((O16-Q16)*(O19-Q19))+((P16-Q16)*(P19-Q19))</f>
        <v>-1</v>
      </c>
      <c r="O58" s="19" t="s">
        <v>58</v>
      </c>
      <c r="P58" s="27">
        <f t="shared" si="1"/>
        <v>-0.49999999999999989</v>
      </c>
    </row>
    <row r="59" spans="2:16" x14ac:dyDescent="0.35">
      <c r="B59" s="26"/>
      <c r="C59" s="21">
        <f>(SQRT((C16-C21)^2+(D16-D21)^2+(E16-E21)^2)*(SQRT((C19-C21)^2+(D19-D21)^2+(E19-E21)^2)))</f>
        <v>9.5236547606473002E-2</v>
      </c>
      <c r="D59" s="22"/>
      <c r="E59" s="23"/>
      <c r="M59" s="32"/>
      <c r="N59" s="28">
        <f>SQRT((N16-Q16)^2+(O16-Q16)^2+(P16-Q16)^2)*SQRT((N19-Q19)^2+(O19-Q19)^2+(P19-Q19)^2)</f>
        <v>2.0000000000000004</v>
      </c>
      <c r="O59" s="28"/>
      <c r="P59" s="29"/>
    </row>
    <row r="60" spans="2:16" x14ac:dyDescent="0.35">
      <c r="B60" s="25" t="s">
        <v>72</v>
      </c>
      <c r="C60" s="18">
        <f>((C16-C21)*(C20-C21))+((D16-D21)*(D20-D21))+((E16-E21)*(E20-E21))</f>
        <v>-0.21340000000000001</v>
      </c>
      <c r="D60" s="19" t="s">
        <v>58</v>
      </c>
      <c r="E60" s="20">
        <f>C60/C61</f>
        <v>-0.98873125745192803</v>
      </c>
      <c r="M60" s="31" t="s">
        <v>72</v>
      </c>
      <c r="N60" s="30">
        <f>((N16-Q16)*(N20-Q20))+((O16-Q16)*(O20-Q20))+((P16-Q16)*(P20-Q20))</f>
        <v>1</v>
      </c>
      <c r="O60" s="19" t="s">
        <v>58</v>
      </c>
      <c r="P60" s="27">
        <f t="shared" si="1"/>
        <v>0.49999999999999989</v>
      </c>
    </row>
    <row r="61" spans="2:16" x14ac:dyDescent="0.35">
      <c r="B61" s="26"/>
      <c r="C61" s="21">
        <f>(SQRT((C16-C21)^2+(D16-D21)^2+(E16-E21)^2)*(SQRT((C20-C21)^2+(D20-D21)^2+(E20-E21)^2)))</f>
        <v>0.21583215701095146</v>
      </c>
      <c r="D61" s="22"/>
      <c r="E61" s="23"/>
      <c r="M61" s="32"/>
      <c r="N61" s="28">
        <f>SQRT((N16-Q16)^2+(O16-Q16)^2+(P16-Q16)^2)*SQRT((N20-Q20)^2+(O20-Q20)^2+(P20-Q20)^2)</f>
        <v>2.0000000000000004</v>
      </c>
      <c r="O61" s="28"/>
      <c r="P61" s="29"/>
    </row>
    <row r="62" spans="2:16" x14ac:dyDescent="0.35">
      <c r="B62" s="25" t="s">
        <v>73</v>
      </c>
      <c r="C62" s="18">
        <f>((C17-C21)*(C18-C21))+((D17-D21)*(D18-D21))+((E17-E21)*(E18-E21))</f>
        <v>-0.22120000000000001</v>
      </c>
      <c r="D62" s="19" t="s">
        <v>58</v>
      </c>
      <c r="E62" s="20">
        <f>C62/C63</f>
        <v>-0.67765002850173994</v>
      </c>
      <c r="M62" s="31" t="s">
        <v>73</v>
      </c>
      <c r="N62" s="30">
        <f>((N17-Q17)*(N18-Q18))+((O17-Q17)*(O18-Q18))+((P17-Q17)*(P18-Q18))</f>
        <v>-3</v>
      </c>
      <c r="O62" s="19" t="s">
        <v>58</v>
      </c>
      <c r="P62" s="27">
        <f t="shared" si="1"/>
        <v>-0.86602540378443871</v>
      </c>
    </row>
    <row r="63" spans="2:16" x14ac:dyDescent="0.35">
      <c r="B63" s="26"/>
      <c r="C63" s="21">
        <f>(SQRT((C17-C21)^2+(D17-D21)^2+(E17-E21)^2)*(SQRT((C18-C21)^2+(D18-D21)^2+(E18-E21)^2)))</f>
        <v>0.32642218061890343</v>
      </c>
      <c r="D63" s="22"/>
      <c r="E63" s="23"/>
      <c r="M63" s="32"/>
      <c r="N63" s="28">
        <f>SQRT((N17-Q17)^2+(O17-Q17)^2+(P17-Q17)^2)*SQRT((N18-Q18)^2+(O18-Q18)^2+(P18-Q18)^2)</f>
        <v>3.4641016151377544</v>
      </c>
      <c r="O63" s="28"/>
      <c r="P63" s="29"/>
    </row>
    <row r="64" spans="2:16" x14ac:dyDescent="0.35">
      <c r="B64" s="25" t="s">
        <v>74</v>
      </c>
      <c r="C64" s="18">
        <f>((C17-C21)*(C19-C21))+((D17-D21)*(D19-D21))+((E17-E21)*(E19-E21))</f>
        <v>-1.5599999999999989E-2</v>
      </c>
      <c r="D64" s="19" t="s">
        <v>58</v>
      </c>
      <c r="E64" s="20">
        <f>C64/C65</f>
        <v>-0.17754806690633418</v>
      </c>
      <c r="M64" s="31" t="s">
        <v>74</v>
      </c>
      <c r="N64" s="30">
        <f>((N17-Q17)*(N19-Q19))+((O17-Q17)*(O19-Q19))+((P17-Q17)*(P19-Q19))</f>
        <v>0</v>
      </c>
      <c r="O64" s="19" t="s">
        <v>58</v>
      </c>
      <c r="P64" s="27">
        <f t="shared" si="1"/>
        <v>0</v>
      </c>
    </row>
    <row r="65" spans="1:16" x14ac:dyDescent="0.35">
      <c r="B65" s="26"/>
      <c r="C65" s="21">
        <f>(SQRT((C17-C21)^2+(D17-D21)^2+(E17-E21)^2)*(SQRT((C19-C21)^2+(D19-D21)^2+(E19-E21)^2)))</f>
        <v>8.7863530545955193E-2</v>
      </c>
      <c r="D65" s="22"/>
      <c r="E65" s="23"/>
      <c r="M65" s="32"/>
      <c r="N65" s="28">
        <f>SQRT((N17-Q17)^2+(O17-Q17)^2+(P17-Q17)^2)*SQRT((N19-Q19)^2+(O19-Q19)^2+(P19-Q19)^2)</f>
        <v>3.4641016151377544</v>
      </c>
      <c r="O65" s="28"/>
      <c r="P65" s="29"/>
    </row>
    <row r="66" spans="1:16" x14ac:dyDescent="0.35">
      <c r="B66" s="25" t="s">
        <v>75</v>
      </c>
      <c r="C66" s="18">
        <f>((C17-C21)*(C20-C21))+((D17-D21)*(D20-D21))+((E17-E21)*(E20-E21))</f>
        <v>0.19280000000000003</v>
      </c>
      <c r="D66" s="19" t="s">
        <v>58</v>
      </c>
      <c r="E66" s="20">
        <f>C66/C67</f>
        <v>0.96824635750891097</v>
      </c>
      <c r="M66" s="31" t="s">
        <v>75</v>
      </c>
      <c r="N66" s="30">
        <f>((N17-Q17)*(N20-Q20))+((O17-Q17)*(O20-Q20))+((P17-Q17)*(P20-Q20))</f>
        <v>-3</v>
      </c>
      <c r="O66" s="19" t="s">
        <v>58</v>
      </c>
      <c r="P66" s="27">
        <f t="shared" si="1"/>
        <v>-0.86602540378443871</v>
      </c>
    </row>
    <row r="67" spans="1:16" x14ac:dyDescent="0.35">
      <c r="B67" s="26"/>
      <c r="C67" s="21">
        <f>(SQRT((C17-C21)^2+(D17-D21)^2+(E17-E21)^2)*(SQRT((C20-C21)^2+(D20-D21)^2+(E20-E21)^2)))</f>
        <v>0.1991228766365131</v>
      </c>
      <c r="D67" s="24"/>
      <c r="E67" s="23"/>
      <c r="M67" s="32"/>
      <c r="N67" s="28">
        <f>SQRT((N17-Q17)^2+(O17-Q17)^2+(P17-Q17)^2)*SQRT((N20-Q20)^2+(O20-Q20)^2+(P20-Q20)^2)</f>
        <v>3.4641016151377544</v>
      </c>
      <c r="O67" s="24"/>
      <c r="P67" s="29"/>
    </row>
    <row r="68" spans="1:16" x14ac:dyDescent="0.35">
      <c r="B68" s="25" t="s">
        <v>76</v>
      </c>
      <c r="C68" s="18">
        <f>((C18-C21)*(C19-C21))+((D18-D21)*(D19-D21))+((E18-E21)*(E19-E21))</f>
        <v>-8.2400000000000029E-2</v>
      </c>
      <c r="D68" s="19" t="s">
        <v>58</v>
      </c>
      <c r="E68" s="20">
        <f t="shared" ref="E68" si="2">C68/C69</f>
        <v>-0.44359454392833242</v>
      </c>
      <c r="M68" s="31" t="s">
        <v>76</v>
      </c>
      <c r="N68" s="30">
        <f>((N18-Q18)*(N19-Q19))+((O18-Q18)*(O19-Q19))+((P18-Q18)*(P19-Q19))</f>
        <v>1</v>
      </c>
      <c r="O68" s="19" t="s">
        <v>58</v>
      </c>
      <c r="P68" s="27">
        <f t="shared" si="1"/>
        <v>0.49999999999999989</v>
      </c>
    </row>
    <row r="69" spans="1:16" x14ac:dyDescent="0.35">
      <c r="B69" s="26"/>
      <c r="C69" s="21">
        <f>(SQRT((C18-C21)^2+(D18-D21)^2+(E18-E21)^2)*(SQRT((C19-C21)^2+(D19-D21)^2+(E19-E21)^2)))</f>
        <v>0.18575521526998912</v>
      </c>
      <c r="D69" s="24"/>
      <c r="E69" s="23"/>
      <c r="M69" s="32"/>
      <c r="N69" s="28">
        <f>SQRT((N18-Q18)^2+(O18-Q18)^2+(P18-Q18)^2)*SQRT((N19-Q19)^2+(O19-Q19)^2+(P19-Q19)^2)</f>
        <v>2.0000000000000004</v>
      </c>
      <c r="O69" s="24"/>
      <c r="P69" s="29"/>
    </row>
    <row r="70" spans="1:16" x14ac:dyDescent="0.35">
      <c r="B70" s="25" t="s">
        <v>77</v>
      </c>
      <c r="C70" s="18">
        <f>((C18-C21)*(C20-C21))+((D18-D21)*(D20-D21))+((E18-E21)*(E20-E21))</f>
        <v>-0.28360000000000007</v>
      </c>
      <c r="D70" s="19" t="s">
        <v>58</v>
      </c>
      <c r="E70" s="20">
        <f t="shared" ref="E70" si="3">C70/C71</f>
        <v>-0.67367852443842013</v>
      </c>
      <c r="M70" s="31" t="s">
        <v>77</v>
      </c>
      <c r="N70" s="30">
        <f>((N18-Q18)*(N20-Q20))+((O18-Q18)*(O20-Q20))+((P18-Q18)*(P20-Q20))</f>
        <v>2</v>
      </c>
      <c r="O70" s="19" t="s">
        <v>58</v>
      </c>
      <c r="P70" s="27">
        <f t="shared" si="1"/>
        <v>0.99999999999999978</v>
      </c>
    </row>
    <row r="71" spans="1:16" x14ac:dyDescent="0.35">
      <c r="B71" s="26"/>
      <c r="C71" s="21">
        <f>(SQRT((C18-C21)^2+(D18-D21)^2+(E18-E21)^2)*(SQRT((C20-C21)^2+(D20-D21)^2+(E20-E21)^2)))</f>
        <v>0.42097230312693973</v>
      </c>
      <c r="D71" s="24"/>
      <c r="E71" s="23"/>
      <c r="M71" s="32"/>
      <c r="N71" s="28">
        <f>SQRT((N18-Q18)^2+(O18-Q18)^2+(P18-Q18)^2)*SQRT((N20-Q20)^2+(O20-Q20)^2+(P20-Q20)^2)</f>
        <v>2.0000000000000004</v>
      </c>
      <c r="O71" s="24"/>
      <c r="P71" s="29"/>
    </row>
    <row r="72" spans="1:16" x14ac:dyDescent="0.35">
      <c r="B72" s="25" t="s">
        <v>78</v>
      </c>
      <c r="C72" s="18">
        <f>((C19-C21)*(C20-C21))+((D19-D21)*(D20-D21))+((E19-E21)*(E20-E21))</f>
        <v>-3.4799999999999984E-2</v>
      </c>
      <c r="D72" s="19" t="s">
        <v>58</v>
      </c>
      <c r="E72" s="20">
        <f t="shared" ref="E72" si="4">C72/C73</f>
        <v>-0.30711196168392024</v>
      </c>
      <c r="M72" s="31" t="s">
        <v>78</v>
      </c>
      <c r="N72" s="30">
        <f>((N19-Q19)*(N20-Q20))+((O19-Q19)*(O20-Q20))+((P19-Q19)*(P20-Q20))</f>
        <v>1</v>
      </c>
      <c r="O72" s="19" t="s">
        <v>58</v>
      </c>
      <c r="P72" s="27">
        <f t="shared" si="1"/>
        <v>0.49999999999999989</v>
      </c>
    </row>
    <row r="73" spans="1:16" x14ac:dyDescent="0.35">
      <c r="B73" s="26"/>
      <c r="C73" s="21">
        <f>(SQRT((C19-C21)^2+(D19-D21)^2+(E19-E21)^2)*(SQRT((C20-C21)^2+(D20-D21)^2+(E20-E21)^2)))</f>
        <v>0.11331372379372236</v>
      </c>
      <c r="D73" s="24"/>
      <c r="E73" s="23"/>
      <c r="M73" s="32"/>
      <c r="N73" s="28">
        <f>SQRT((N19-Q19)^2+(O19-Q19)^2+(P19-Q19)^2)*SQRT((N20-Q20)^2+(O20-Q20)^2+(P20-Q20)^2)</f>
        <v>2.0000000000000004</v>
      </c>
      <c r="O73" s="24"/>
      <c r="P73" s="29"/>
    </row>
    <row r="76" spans="1:16" x14ac:dyDescent="0.35">
      <c r="A76" s="6" t="s">
        <v>83</v>
      </c>
    </row>
    <row r="77" spans="1:16" x14ac:dyDescent="0.35">
      <c r="G77" t="s">
        <v>84</v>
      </c>
    </row>
    <row r="78" spans="1:16" x14ac:dyDescent="0.35">
      <c r="G78" t="s">
        <v>85</v>
      </c>
    </row>
    <row r="80" spans="1:16" x14ac:dyDescent="0.35">
      <c r="B80" t="s">
        <v>98</v>
      </c>
    </row>
    <row r="82" spans="2:3" x14ac:dyDescent="0.35">
      <c r="B82" t="s">
        <v>99</v>
      </c>
      <c r="C82" s="15" t="s">
        <v>100</v>
      </c>
    </row>
    <row r="83" spans="2:3" x14ac:dyDescent="0.35">
      <c r="B83" s="17" t="s">
        <v>54</v>
      </c>
      <c r="C83">
        <f>(P32*(1-0.4))+(E32*0.4)</f>
        <v>-0.7860478414719213</v>
      </c>
    </row>
    <row r="84" spans="2:3" x14ac:dyDescent="0.35">
      <c r="B84" s="17" t="s">
        <v>59</v>
      </c>
      <c r="C84">
        <f>(P34*(1-0.4))+(E34*0.4)</f>
        <v>0.87691543784100356</v>
      </c>
    </row>
    <row r="85" spans="2:3" x14ac:dyDescent="0.35">
      <c r="B85" s="17" t="s">
        <v>60</v>
      </c>
      <c r="C85">
        <f>(P36*(1-0.4))+(E36*0.4)</f>
        <v>-0.80190850813108194</v>
      </c>
    </row>
    <row r="86" spans="2:3" x14ac:dyDescent="0.35">
      <c r="B86" s="17" t="s">
        <v>61</v>
      </c>
      <c r="C86">
        <f>(P38*(1-0.4))+(E38*0.4)</f>
        <v>0.29924039213712639</v>
      </c>
    </row>
    <row r="87" spans="2:3" x14ac:dyDescent="0.35">
      <c r="B87" s="17" t="s">
        <v>62</v>
      </c>
      <c r="C87">
        <f>(P40*(1-0.4))+(E40*0.4)</f>
        <v>-0.11507212139675227</v>
      </c>
    </row>
    <row r="88" spans="2:3" x14ac:dyDescent="0.35">
      <c r="B88" s="17" t="s">
        <v>63</v>
      </c>
      <c r="C88">
        <f>(P42*(1-0.4))+(E42*0.4)</f>
        <v>5.9667307454029983E-2</v>
      </c>
    </row>
    <row r="89" spans="2:3" x14ac:dyDescent="0.35">
      <c r="B89" s="17" t="s">
        <v>64</v>
      </c>
      <c r="C89">
        <f>(P44*(1-0.4))+(E44*0.4)</f>
        <v>-0.90351713506266051</v>
      </c>
    </row>
    <row r="90" spans="2:3" x14ac:dyDescent="0.35">
      <c r="B90" s="17" t="s">
        <v>65</v>
      </c>
      <c r="C90">
        <f>(P46*(1-0.4))+(E46*0.4)</f>
        <v>0.99938848339115394</v>
      </c>
    </row>
    <row r="91" spans="2:3" x14ac:dyDescent="0.35">
      <c r="B91" s="17" t="s">
        <v>66</v>
      </c>
      <c r="C91">
        <f>(P48*(1-0.4))+(E48*0.4)</f>
        <v>-0.8039746844715614</v>
      </c>
    </row>
    <row r="92" spans="2:3" x14ac:dyDescent="0.35">
      <c r="B92" s="17" t="s">
        <v>67</v>
      </c>
      <c r="C92">
        <f>(P50*(1-0.4))+(E50*0.4)</f>
        <v>-6.3936677534707748E-2</v>
      </c>
    </row>
    <row r="93" spans="2:3" x14ac:dyDescent="0.35">
      <c r="B93" s="17" t="s">
        <v>68</v>
      </c>
      <c r="C93">
        <f>(P52*(1-0.4))+(E52*0.4)</f>
        <v>-0.12950807307943313</v>
      </c>
    </row>
    <row r="94" spans="2:3" x14ac:dyDescent="0.35">
      <c r="B94" s="17" t="s">
        <v>69</v>
      </c>
      <c r="C94">
        <f>(P54*(1-0.4))+(E54*0.4)</f>
        <v>-0.90346674301611818</v>
      </c>
    </row>
    <row r="95" spans="2:3" x14ac:dyDescent="0.35">
      <c r="B95" s="17" t="s">
        <v>70</v>
      </c>
      <c r="C95">
        <f>(P56*(1-0.4))+(E56*0.4)</f>
        <v>0.52305523558215739</v>
      </c>
    </row>
    <row r="96" spans="2:3" x14ac:dyDescent="0.35">
      <c r="B96" s="17" t="s">
        <v>71</v>
      </c>
      <c r="C96">
        <f>(P58*(1-0.4))+(E58*0.4)</f>
        <v>-0.13115725628312166</v>
      </c>
    </row>
    <row r="97" spans="1:17" x14ac:dyDescent="0.35">
      <c r="B97" s="17" t="s">
        <v>72</v>
      </c>
      <c r="C97">
        <f>(P60*(1-0.4))+(E60*0.4)</f>
        <v>-9.5492502980771277E-2</v>
      </c>
    </row>
    <row r="98" spans="1:17" x14ac:dyDescent="0.35">
      <c r="B98" s="17" t="s">
        <v>73</v>
      </c>
      <c r="C98">
        <f>(P62*(1-0.4))+(E62*0.4)</f>
        <v>-0.79067525367135927</v>
      </c>
    </row>
    <row r="99" spans="1:17" x14ac:dyDescent="0.35">
      <c r="B99" s="17" t="s">
        <v>74</v>
      </c>
      <c r="C99">
        <f>(P64*(1-0.4))+(E64*0.4)</f>
        <v>-7.101922676253368E-2</v>
      </c>
    </row>
    <row r="100" spans="1:17" x14ac:dyDescent="0.35">
      <c r="B100" s="17" t="s">
        <v>75</v>
      </c>
      <c r="C100">
        <f>(P66*(1-0.4))+(E66*0.4)</f>
        <v>-0.13231669926709883</v>
      </c>
    </row>
    <row r="101" spans="1:17" x14ac:dyDescent="0.35">
      <c r="B101" s="17" t="s">
        <v>76</v>
      </c>
      <c r="C101">
        <f>(P68*(1-0.4))+(E68*0.4)</f>
        <v>0.12256218242866695</v>
      </c>
    </row>
    <row r="102" spans="1:17" x14ac:dyDescent="0.35">
      <c r="B102" s="17" t="s">
        <v>77</v>
      </c>
      <c r="C102">
        <f>(P70*(1-0.4))+(E70*0.4)</f>
        <v>0.33052859022463182</v>
      </c>
    </row>
    <row r="103" spans="1:17" x14ac:dyDescent="0.35">
      <c r="B103" s="17" t="s">
        <v>78</v>
      </c>
      <c r="C103">
        <f>(P72*(1-0.4))+(E72*0.4)</f>
        <v>0.17715521532643183</v>
      </c>
    </row>
    <row r="104" spans="1:17" x14ac:dyDescent="0.35">
      <c r="B104" s="17"/>
    </row>
    <row r="105" spans="1:17" x14ac:dyDescent="0.35">
      <c r="A105" s="6" t="s">
        <v>101</v>
      </c>
      <c r="L105" s="52"/>
      <c r="M105" s="52"/>
      <c r="N105" s="52"/>
      <c r="O105" s="52"/>
      <c r="P105" s="52"/>
      <c r="Q105" s="52"/>
    </row>
    <row r="106" spans="1:17" x14ac:dyDescent="0.35">
      <c r="B106" s="17"/>
      <c r="L106" s="52"/>
      <c r="M106" s="52"/>
      <c r="N106" s="52"/>
      <c r="O106" s="52"/>
      <c r="P106" s="52"/>
      <c r="Q106" s="52"/>
    </row>
    <row r="107" spans="1:17" x14ac:dyDescent="0.35">
      <c r="B107" s="42"/>
      <c r="C107" s="42"/>
      <c r="D107" s="42"/>
      <c r="E107" s="42"/>
      <c r="F107" s="42"/>
      <c r="L107" s="53" t="s">
        <v>1</v>
      </c>
      <c r="M107" s="53" t="s">
        <v>38</v>
      </c>
      <c r="N107" s="53" t="s">
        <v>39</v>
      </c>
      <c r="O107" s="53" t="s">
        <v>40</v>
      </c>
      <c r="P107" s="53" t="s">
        <v>41</v>
      </c>
      <c r="Q107" s="52"/>
    </row>
    <row r="108" spans="1:17" x14ac:dyDescent="0.35">
      <c r="B108" s="42"/>
      <c r="C108" s="42"/>
      <c r="D108" s="42"/>
      <c r="E108" s="42"/>
      <c r="F108" s="42"/>
      <c r="L108" s="54" t="s">
        <v>9</v>
      </c>
      <c r="M108" s="55">
        <v>5</v>
      </c>
      <c r="N108" s="55">
        <v>3</v>
      </c>
      <c r="O108" s="55">
        <v>4</v>
      </c>
      <c r="P108" s="56">
        <f>SUM(M108:O108)/3</f>
        <v>4</v>
      </c>
      <c r="Q108" s="52"/>
    </row>
    <row r="109" spans="1:17" x14ac:dyDescent="0.35">
      <c r="B109" s="42"/>
      <c r="C109" s="42"/>
      <c r="D109" s="42"/>
      <c r="E109" s="42"/>
      <c r="F109" s="42"/>
      <c r="L109" s="54" t="s">
        <v>10</v>
      </c>
      <c r="M109" s="55">
        <v>4</v>
      </c>
      <c r="N109" s="55">
        <v>5</v>
      </c>
      <c r="O109" s="55">
        <v>5</v>
      </c>
      <c r="P109" s="56">
        <f t="shared" ref="P109:P114" si="5">SUM(M109:O109)/3</f>
        <v>4.666666666666667</v>
      </c>
      <c r="Q109" s="52"/>
    </row>
    <row r="110" spans="1:17" x14ac:dyDescent="0.35">
      <c r="L110" s="54" t="s">
        <v>11</v>
      </c>
      <c r="M110" s="55">
        <v>5</v>
      </c>
      <c r="N110" s="55">
        <v>3</v>
      </c>
      <c r="O110" s="55">
        <v>4</v>
      </c>
      <c r="P110" s="56">
        <f t="shared" si="5"/>
        <v>4</v>
      </c>
      <c r="Q110" s="52"/>
    </row>
    <row r="111" spans="1:17" x14ac:dyDescent="0.35">
      <c r="A111" s="6"/>
      <c r="B111" s="42"/>
      <c r="C111" s="42"/>
      <c r="D111" s="42"/>
      <c r="E111" s="42"/>
      <c r="F111" s="42"/>
      <c r="L111" s="54" t="s">
        <v>12</v>
      </c>
      <c r="M111" s="55">
        <v>2</v>
      </c>
      <c r="N111" s="55">
        <v>5</v>
      </c>
      <c r="O111" s="55">
        <v>5</v>
      </c>
      <c r="P111" s="56">
        <f t="shared" si="5"/>
        <v>4</v>
      </c>
      <c r="Q111" s="52"/>
    </row>
    <row r="112" spans="1:17" x14ac:dyDescent="0.35">
      <c r="A112" s="6"/>
      <c r="B112" s="42"/>
      <c r="C112" s="42"/>
      <c r="D112" s="42"/>
      <c r="E112" s="42"/>
      <c r="F112" s="42"/>
      <c r="L112" s="54" t="s">
        <v>13</v>
      </c>
      <c r="M112" s="55">
        <v>5</v>
      </c>
      <c r="N112" s="55">
        <v>4</v>
      </c>
      <c r="O112" s="55">
        <v>3</v>
      </c>
      <c r="P112" s="56">
        <f t="shared" si="5"/>
        <v>4</v>
      </c>
      <c r="Q112" s="52"/>
    </row>
    <row r="113" spans="1:19" x14ac:dyDescent="0.35">
      <c r="L113" s="54" t="s">
        <v>14</v>
      </c>
      <c r="M113" s="55">
        <v>4</v>
      </c>
      <c r="N113" s="55">
        <v>5</v>
      </c>
      <c r="O113" s="55">
        <v>3</v>
      </c>
      <c r="P113" s="56">
        <f t="shared" si="5"/>
        <v>4</v>
      </c>
      <c r="Q113" s="52"/>
    </row>
    <row r="114" spans="1:19" x14ac:dyDescent="0.35">
      <c r="L114" s="54" t="s">
        <v>15</v>
      </c>
      <c r="M114" s="55">
        <v>5</v>
      </c>
      <c r="N114" s="55">
        <v>4</v>
      </c>
      <c r="O114" s="55">
        <v>3</v>
      </c>
      <c r="P114" s="56">
        <f t="shared" si="5"/>
        <v>4</v>
      </c>
      <c r="Q114" s="52"/>
    </row>
    <row r="115" spans="1:19" x14ac:dyDescent="0.35">
      <c r="A115" s="7" t="s">
        <v>102</v>
      </c>
      <c r="B115" s="15">
        <f>4+((((5-4)*0)+((4-4.67)*(-0.78))+((5-4)*(0.87))+((2-4)*(-0.8))+((5-4)*(0.29))+((4-4)*(-0.11))+((5-4)*(0.05)))/(0+0.78+0.87+0.8+0.29+0.11+0.05))</f>
        <v>5.149172413793103</v>
      </c>
      <c r="D115" s="7" t="s">
        <v>109</v>
      </c>
      <c r="E115">
        <f>4+((((3-4)*0)+((5-4.67)*(-0.78))+((3-4)*(0.87))+((5-4)*(-0.8))+((4-4)*(0.29))+((5-4)*(-0.11))+((4-4)*(0.05)))/(0+0.78+0.87+0.8+0.29+0.11+0.05))</f>
        <v>3.2974482758620689</v>
      </c>
      <c r="G115" s="7" t="s">
        <v>116</v>
      </c>
      <c r="H115">
        <f>4+((((4-4)*0)+((5-4.67)*(-0.78))+((4-4)*(0.87))+((5-4)*(-0.8))+((3-4)*(0.29))+((3-4)*(-0.11))+((3-4)*(0.05)))/(0+0.78+0.87+0.8+0.29+0.11+0.05))</f>
        <v>3.5560689655172415</v>
      </c>
      <c r="L115" s="52"/>
      <c r="M115" s="52"/>
      <c r="N115" s="52"/>
      <c r="O115" s="52"/>
      <c r="P115" s="52"/>
      <c r="Q115" s="52"/>
    </row>
    <row r="116" spans="1:19" x14ac:dyDescent="0.35">
      <c r="A116" s="7" t="s">
        <v>103</v>
      </c>
      <c r="B116" s="15">
        <f>4.67+((((5-4)*(-0.78))+((4-4.67)*0)+((5-4)*(-0.9))+((2-4)*(0.99))+((5-4)*(-0.8))+((4-4)*(-0.06))+((5-4)*(-0.12)))/(0.78+0+0.9+0.99+0.8+0.06+0.12))</f>
        <v>3.4152054794520548</v>
      </c>
      <c r="D116" s="7" t="s">
        <v>110</v>
      </c>
      <c r="E116">
        <f>4.67+((((3-4)*(-0.78))+((5-4.67)*0)+((3-4)*(-0.9))+((5-4)*(0.99))+((4-4)*(-0.8))+((5-4)*(-0.06))+((4-4)*(-0.12)))/(0.78+0+0.9+0.99+0.8+0.06+0.12))</f>
        <v>5.3850684931506851</v>
      </c>
      <c r="G116" s="7" t="s">
        <v>117</v>
      </c>
      <c r="H116">
        <f>4.67+((((4-4)*(-0.78))+((5-4.67)*0)+((4-4)*(-0.9))+((5-4)*(0.99))+((3-4)*(-0.8))+((3-4)*(-0.06))+((3-4)*(-0.12)))/(0.78+0+0.9+0.99+0.8+0.06+0.12))</f>
        <v>5.2097260273972603</v>
      </c>
      <c r="L116" s="57"/>
      <c r="M116" s="57"/>
      <c r="N116" s="57"/>
      <c r="O116" s="57"/>
      <c r="P116" s="57"/>
      <c r="Q116" s="52"/>
    </row>
    <row r="117" spans="1:19" x14ac:dyDescent="0.35">
      <c r="A117" s="7" t="s">
        <v>104</v>
      </c>
      <c r="B117" s="15">
        <f>4+((((5-4)*(0.87))+((4-4.67)*(-0.9))+((5-4)*0)+((2-4)*(-0.9))+((5-4)*(0.52))+((4-4)*(-0.13))+((5-4)*(-0.09)))/(0.87+0.9+0+0.9+0.52+0.13+0.09))</f>
        <v>5.0859237536656892</v>
      </c>
      <c r="D117" s="7" t="s">
        <v>111</v>
      </c>
      <c r="E117">
        <f>4+((((3-4)*(0.87))+((5-4.67)*(-0.9))+((3-4)*0)+((5-4)*(-0.9))+((4-4)*(0.52))+((5-4)*(-0.13))+((4-4)*(-0.09)))/(0.87+0.9+0+0.9+0.52+0.13+0.09))</f>
        <v>3.3557184750733136</v>
      </c>
      <c r="G117" s="7" t="s">
        <v>118</v>
      </c>
      <c r="H117">
        <f>4+((((4-4)*(0.87))+((5-4.67)*(-0.9))+((4-4)*0)+((5-4)*(-0.9))+((3-4)*(0.52))+((3-4)*(-0.13))+((3-4)*(-0.09)))/(0.87+0.9+0+0.9+0.52+0.13+0.09))</f>
        <v>3.5609970674486804</v>
      </c>
      <c r="L117" s="57"/>
      <c r="M117" s="57"/>
      <c r="N117" s="57"/>
      <c r="O117" s="57"/>
      <c r="P117" s="57"/>
      <c r="Q117" s="52"/>
    </row>
    <row r="118" spans="1:19" x14ac:dyDescent="0.35">
      <c r="A118" s="7" t="s">
        <v>105</v>
      </c>
      <c r="B118" s="15">
        <f>4+((((5-4)*(-0.8))+((4-4.67)*(0.99))+((5-4)*(-0.9))+((2-4)*0)+((5-4)*(-0.79))+((4-4)*(-0.07))+((5-4)*(-0.13)))/(0.8+0.99+0.9+0+0.79+0.07+0.13))</f>
        <v>3.1077989130434784</v>
      </c>
      <c r="D118" s="7" t="s">
        <v>112</v>
      </c>
      <c r="E118">
        <f>4+((((3-4)*(-0.8))+((5-4.67)*(0.99))+((3-4)*(-0.9))+((5-4)*0)+((4-4)*(-0.79))+((5-4)*(-0.07))+((4-4)*(-0.13)))/(0.8+0.99+0.9+0+0.79+0.07+0.13))</f>
        <v>4.5317119565217396</v>
      </c>
      <c r="G118" s="7" t="s">
        <v>119</v>
      </c>
      <c r="H118">
        <f>4+((((4-4)*(-0.8))+((5-4.67)*(0.99))+((4-4)*(-0.9))+((5-4)*0)+((3-4)*(-0.79))+((3-4)*(-0.07))+((3-4)*(-0.13)))/(0.8+0.99+0.9+0+0.79+0.07+0.13))</f>
        <v>4.357798913043478</v>
      </c>
      <c r="L118" s="57"/>
      <c r="M118" s="57"/>
      <c r="N118" s="57"/>
      <c r="O118" s="57"/>
      <c r="P118" s="57"/>
      <c r="Q118" s="52"/>
    </row>
    <row r="119" spans="1:19" x14ac:dyDescent="0.35">
      <c r="A119" s="7" t="s">
        <v>106</v>
      </c>
      <c r="B119" s="15">
        <f>4+((((5-4)*(0.29))+((4-4.67)*(-0.8))+((5-4)*(0.52))+((2-4)*(-0.79))+((5-4)*0)+((4-4)*(0.12))+((5-4)*(0.33)))/(0.29+0.8+0.52+0.79+0+0.12+0.33))</f>
        <v>5.1424561403508768</v>
      </c>
      <c r="D119" s="7" t="s">
        <v>113</v>
      </c>
      <c r="E119">
        <f>4+((((3-4)*(0.29))+((5-4.67)*(-0.8))+((3-4)*(0.52))+((5-4)*(-0.79))+((4-4)*0)+((5-4)*(0.12))+((4-4)*(0.33)))/(0.29+0.8+0.52+0.79+0+0.12+0.33))</f>
        <v>3.3880701754385965</v>
      </c>
      <c r="G119" s="7" t="s">
        <v>120</v>
      </c>
      <c r="H119">
        <f>4+((((4-4)*(0.29))+((5-4.67)*(-0.8))+((4-4)*(0.52))+((5-4)*(-0.79))+((3-4)*0)+((3-4)*(0.12))+((3-4)*(0.33)))/(0.29+0.8+0.52+0.79+0+0.12+0.33))</f>
        <v>3.4722807017543862</v>
      </c>
      <c r="L119" s="57"/>
      <c r="M119" s="57"/>
      <c r="N119" s="57"/>
      <c r="O119" s="57"/>
      <c r="P119" s="57"/>
      <c r="Q119" s="52"/>
    </row>
    <row r="120" spans="1:19" x14ac:dyDescent="0.35">
      <c r="A120" s="7" t="s">
        <v>107</v>
      </c>
      <c r="B120" s="15">
        <f>4+((((5-4)*(-0.11))+((4-4.67)*(-0.06))+((5-4)*(-0.13))+((2-4)*(-0.07))+((5-4)*(0.12))+((4-4)*0)+((5-4)*(0.17)))/(0.11+0.06+0.13+0.07+0.12+0+0.17))</f>
        <v>4.3487878787878786</v>
      </c>
      <c r="D120" s="7" t="s">
        <v>114</v>
      </c>
      <c r="E120">
        <f>4+((((3-4)*(-0.11))+((5-4.67)*(-0.06))+((3-4)*(-0.13))+((5-4)*(-0.07))+((4-4)*(0.12))+((5-4)*0)+((4-4)*(0.17)))/(0.11+0.06+0.13+0.07+0.12+0+0.17))</f>
        <v>4.2275757575757575</v>
      </c>
      <c r="G120" s="7" t="s">
        <v>121</v>
      </c>
      <c r="H120">
        <f>4+((((4-4)*(-0.11))+((5-4.67)*(-0.06))+((4-4)*(-0.13))+((5-4)*(-0.07))+((3-4)*(0.12))+((3-4)*0)+((3-4)*(0.17)))/(0.11+0.06+0.13+0.07+0.12+0+0.17))</f>
        <v>3.4245454545454548</v>
      </c>
      <c r="L120" s="57"/>
      <c r="M120" s="57"/>
      <c r="N120" s="57"/>
      <c r="O120" s="57"/>
      <c r="P120" s="57"/>
      <c r="Q120" s="52"/>
    </row>
    <row r="121" spans="1:19" x14ac:dyDescent="0.35">
      <c r="A121" s="7" t="s">
        <v>108</v>
      </c>
      <c r="B121" s="15">
        <f>4+((((5-4)*(0.05))+((4-4.67)*(-0.12))+((5-4)*(-0.09))+((2-4)*(-0.13))+((5-4)*(0.33))+((4-4)*(0.17))+((5-4)*0))/(0.05+0.12+0.09+0.13+0.33+0.17+0))</f>
        <v>4.7083146067415731</v>
      </c>
      <c r="D121" s="7" t="s">
        <v>115</v>
      </c>
      <c r="E121">
        <f>4+((((3-4)*(0.05))+((5-4.67)*(-0.12))+((3-4)*(-0.09))+((5-4)*(-0.13))+((4-4)*(0.33))+((5-4)*(0.17))+((4-4)*0))/(0.05+0.12+0.09+0.13+0.33+0.17+0))</f>
        <v>4.0453932584269658</v>
      </c>
      <c r="G121" s="7" t="s">
        <v>122</v>
      </c>
      <c r="H121">
        <f>4+((((4-4)*(0.05))+((5-4.67)*(-0.12))+((4-4)*(-0.09))+((5-4)*(-0.13))+((3-4)*(0.33))+((3-4)*(0.17))+((3-4)*0))/(0.05+0.12+0.09+0.13+0.33+0.17+0))</f>
        <v>3.2476404494382023</v>
      </c>
      <c r="L121" s="58" t="s">
        <v>139</v>
      </c>
      <c r="M121" s="59">
        <f>4+((((5)*0)+((4)*(-0.78))+((5)*(0.87))+((2)*(-0.8))+((5)*(0.29))+((4)*(-0.11))+((5)*(0.05)))/(0+0.78+0.87+0.8+0.29+0.11+0.05))</f>
        <v>4.3068965517241375</v>
      </c>
      <c r="N121" s="57"/>
      <c r="O121" s="58" t="s">
        <v>140</v>
      </c>
      <c r="P121" s="57">
        <f>4+((((3)*0)+((5)*(-0.78))+((3)*(0.87))+((5)*(-0.8))+((4)*(0.29))+((5)*(-0.11))+((4)*(0.05)))/(0+0.78+0.87+0.8+0.29+0.11+0.05))</f>
        <v>2.455172413793103</v>
      </c>
      <c r="Q121" s="52"/>
      <c r="R121" s="7" t="s">
        <v>116</v>
      </c>
      <c r="S121">
        <f>4+((((4)*0)+((5)*(-0.78))+((4)*(0.87))+((5)*(-0.8))+((3)*(0.29))+((3)*(-0.11))+((3)*(0.05)))/(0+0.78+0.87+0.8+0.29+0.11+0.05))</f>
        <v>2.7137931034482756</v>
      </c>
    </row>
    <row r="122" spans="1:19" x14ac:dyDescent="0.35">
      <c r="L122" s="58" t="s">
        <v>141</v>
      </c>
      <c r="M122" s="59">
        <f>4.67+((((5)*(-0.78))+((4)*0)+((5)*(-0.9))+((2)*(0.99))+((5)*(-0.8))+((4)*(-0.06))+((5)*(-0.12)))/(0.78+0+0.9+0.99+0.8+0.06+0.12))</f>
        <v>1.5850684931506849</v>
      </c>
      <c r="N122" s="57"/>
      <c r="O122" s="58" t="s">
        <v>142</v>
      </c>
      <c r="P122" s="57">
        <f>4.67+((((3)*(-0.78))+((5)*0)+((3)*(-0.9))+((5)*(0.99))+((4)*(-0.8))+((5)*(-0.06))+((4)*(-0.12)))/(0.78+0+0.9+0.99+0.8+0.06+0.12))</f>
        <v>3.5549315068493148</v>
      </c>
      <c r="Q122" s="52"/>
      <c r="R122" s="7" t="s">
        <v>117</v>
      </c>
      <c r="S122">
        <f>4.67+((((4)*(-0.78))+((5)*0)+((4)*(-0.9))+((5)*(0.99))+((3)*(-0.8))+((3)*(-0.06))+((3)*(-0.12)))/(0.78+0+0.9+0.99+0.8+0.06+0.12))</f>
        <v>3.37958904109589</v>
      </c>
    </row>
    <row r="123" spans="1:19" x14ac:dyDescent="0.35">
      <c r="B123" s="43" t="s">
        <v>123</v>
      </c>
      <c r="L123" s="58" t="s">
        <v>143</v>
      </c>
      <c r="M123" s="59">
        <f>4+((((5)*(0.87))+((4)*(-0.9))+((5)*0)+((2)*(-0.9))+((5)*(0.52))+((4)*(-0.13))+((5)*(-0.09)))/(0.87+0.9+0+0.9+0.52+0.13+0.09))</f>
        <v>4.1700879765395893</v>
      </c>
      <c r="N123" s="57"/>
      <c r="O123" s="58" t="s">
        <v>144</v>
      </c>
      <c r="P123" s="57">
        <f>4+((((3)*(0.87))+((5)*(-0.9))+((3)*0)+((5)*(-0.9))+((4)*(0.52))+((5)*(-0.13))+((4)*(-0.09)))/(0.87+0.9+0+0.9+0.52+0.13+0.09))</f>
        <v>2.4398826979472137</v>
      </c>
      <c r="Q123" s="52"/>
      <c r="R123" s="7" t="s">
        <v>118</v>
      </c>
      <c r="S123">
        <f>4+((((4)*(0.87))+((5)*(-0.9))+((4)*0)+((5)*(-0.9))+((3)*(0.52))+((3)*(-0.13))+((3)*(-0.09)))/(0.87+0.9+0+0.9+0.52+0.13+0.09))</f>
        <v>2.645161290322581</v>
      </c>
    </row>
    <row r="124" spans="1:19" x14ac:dyDescent="0.35">
      <c r="L124" s="58" t="s">
        <v>145</v>
      </c>
      <c r="M124" s="59">
        <f>4+((((5)*(-0.8))+((4)*(0.99))+((5)*(-0.9))+((2)*0)+((5)*(-0.79))+((4)*(-0.07))+((5)*(-0.13)))/(0.8+0.99+0.9+0+0.79+0.07+0.13))</f>
        <v>1.4402173913043477</v>
      </c>
      <c r="N124" s="57"/>
      <c r="O124" s="58" t="s">
        <v>146</v>
      </c>
      <c r="P124" s="57">
        <f>4+((((3)*(-0.8))+((5)*(0.99))+((3)*(-0.9))+((5)*0)+((4)*(-0.79))+((5)*(-0.07))+((4)*(-0.13)))/(0.8+0.99+0.9+0+0.79+0.07+0.13))</f>
        <v>2.8641304347826084</v>
      </c>
      <c r="Q124" s="52"/>
      <c r="R124" s="7" t="s">
        <v>119</v>
      </c>
      <c r="S124">
        <f>4+((((4)*(-0.8))+((5)*(0.99))+((4)*(-0.9))+((5)*0)+((3)*(-0.79))+((3)*(-0.07))+((3)*(-0.13)))/(0.8+0.99+0.9+0+0.79+0.07+0.13))</f>
        <v>2.6902173913043477</v>
      </c>
    </row>
    <row r="125" spans="1:19" x14ac:dyDescent="0.35">
      <c r="B125" s="8" t="s">
        <v>1</v>
      </c>
      <c r="C125" s="8" t="s">
        <v>38</v>
      </c>
      <c r="D125" s="8" t="s">
        <v>39</v>
      </c>
      <c r="E125" s="8" t="s">
        <v>40</v>
      </c>
      <c r="L125" s="58" t="s">
        <v>147</v>
      </c>
      <c r="M125" s="59">
        <f>4+((((5)*(0.29))+((4)*(-0.8))+((5)*(0.52))+((2)*(-0.79))+((5)*0)+((4)*(0.12))+((5)*(0.33)))/(0.29+0.8+0.52+0.79+0+0.12+0.33))</f>
        <v>4.4912280701754383</v>
      </c>
      <c r="N125" s="57"/>
      <c r="O125" s="58" t="s">
        <v>148</v>
      </c>
      <c r="P125" s="57">
        <f>4+((((3)*(0.29))+((5)*(-0.8))+((3)*(0.52))+((5)*(-0.79))+((4)*0)+((5)*(0.12))+((4)*(0.33)))/(0.29+0.8+0.52+0.79+0+0.12+0.33))</f>
        <v>2.7368421052631584</v>
      </c>
      <c r="Q125" s="52"/>
      <c r="R125" s="7" t="s">
        <v>120</v>
      </c>
      <c r="S125">
        <f>4+((((4)*(0.29))+((5)*(-0.8))+((4)*(0.52))+((5)*(-0.79))+((3)*0)+((3)*(0.12))+((3)*(0.33)))/(0.29+0.8+0.52+0.79+0+0.12+0.33))</f>
        <v>2.8210526315789477</v>
      </c>
    </row>
    <row r="126" spans="1:19" x14ac:dyDescent="0.35">
      <c r="B126" s="2" t="s">
        <v>9</v>
      </c>
      <c r="C126" s="3">
        <f t="shared" ref="C126:C132" si="6">B115</f>
        <v>5.149172413793103</v>
      </c>
      <c r="D126" s="3">
        <f t="shared" ref="D126:D132" si="7">E115</f>
        <v>3.2974482758620689</v>
      </c>
      <c r="E126" s="3">
        <f t="shared" ref="E126:E132" si="8">H115</f>
        <v>3.5560689655172415</v>
      </c>
      <c r="L126" s="58" t="s">
        <v>149</v>
      </c>
      <c r="M126" s="59">
        <f>4+((((5)*(-0.11))+((4)*(-0.06))+((5)*(-0.13))+((2)*(-0.07))+((5)*(0.12))+((4)*0)+((5)*(0.17)))/(0.11+0.06+0.13+0.07+0.12+0+0.17))</f>
        <v>3.8030303030303032</v>
      </c>
      <c r="N126" s="57"/>
      <c r="O126" s="58" t="s">
        <v>150</v>
      </c>
      <c r="P126" s="57">
        <f>4+((((3)*(-0.11))+((5)*(-0.06))+((3)*(-0.13))+((5)*(-0.07))+((4)*(0.12))+((5)*0)+((4)*(0.17)))/(0.11+0.06+0.13+0.07+0.12+0+0.17))</f>
        <v>3.6818181818181817</v>
      </c>
      <c r="Q126" s="52"/>
      <c r="R126" s="7" t="s">
        <v>121</v>
      </c>
      <c r="S126">
        <f>4+((((4)*(-0.11))+((5)*(-0.06))+((4)*(-0.13))+((5)*(-0.07))+((3)*(0.12))+((3)*0)+((3)*(0.17)))/(0.11+0.06+0.13+0.07+0.12+0+0.17))</f>
        <v>2.8787878787878789</v>
      </c>
    </row>
    <row r="127" spans="1:19" x14ac:dyDescent="0.35">
      <c r="B127" s="2" t="s">
        <v>10</v>
      </c>
      <c r="C127" s="3">
        <f t="shared" si="6"/>
        <v>3.4152054794520548</v>
      </c>
      <c r="D127" s="3">
        <f t="shared" si="7"/>
        <v>5.3850684931506851</v>
      </c>
      <c r="E127" s="3">
        <f t="shared" si="8"/>
        <v>5.2097260273972603</v>
      </c>
      <c r="L127" s="58" t="s">
        <v>151</v>
      </c>
      <c r="M127" s="59">
        <f>4+((((5)*(0.05))+((4)*(-0.12))+((5)*(-0.09))+((2)*(-0.13))+((5)*(0.33))+((4)*(0.17))+((5)*0))/(0.05+0.12+0.09+0.13+0.33+0.17+0))</f>
        <v>5.5617977528089888</v>
      </c>
      <c r="N127" s="57"/>
      <c r="O127" s="58" t="s">
        <v>152</v>
      </c>
      <c r="P127" s="57">
        <f>4+((((3)*(0.05))+((5)*(-0.12))+((3)*(-0.09))+((5)*(-0.13))+((4)*(0.33))+((5)*(0.17))+((4)*0))/(0.05+0.12+0.09+0.13+0.33+0.17+0))</f>
        <v>4.8988764044943824</v>
      </c>
      <c r="Q127" s="52"/>
      <c r="R127" s="7" t="s">
        <v>122</v>
      </c>
      <c r="S127">
        <f>4+((((4)*(0.05))+((5)*(-0.12))+((4)*(-0.09))+((5)*(-0.13))+((3)*(0.33))+((3)*(0.17))+((3)*0))/(0.05+0.12+0.09+0.13+0.33+0.17+0))</f>
        <v>4.1011235955056176</v>
      </c>
    </row>
    <row r="128" spans="1:19" x14ac:dyDescent="0.35">
      <c r="B128" s="2" t="s">
        <v>11</v>
      </c>
      <c r="C128" s="3">
        <f t="shared" si="6"/>
        <v>5.0859237536656892</v>
      </c>
      <c r="D128" s="3">
        <f t="shared" si="7"/>
        <v>3.3557184750733136</v>
      </c>
      <c r="E128" s="3">
        <f t="shared" si="8"/>
        <v>3.5609970674486804</v>
      </c>
      <c r="L128" s="57"/>
      <c r="M128" s="57"/>
      <c r="N128" s="57"/>
      <c r="O128" s="57"/>
      <c r="P128" s="57"/>
      <c r="Q128" s="52"/>
    </row>
    <row r="129" spans="2:18" x14ac:dyDescent="0.35">
      <c r="B129" s="2" t="s">
        <v>12</v>
      </c>
      <c r="C129" s="3">
        <f t="shared" si="6"/>
        <v>3.1077989130434784</v>
      </c>
      <c r="D129" s="3">
        <f t="shared" si="7"/>
        <v>4.5317119565217396</v>
      </c>
      <c r="E129" s="3">
        <f t="shared" si="8"/>
        <v>4.357798913043478</v>
      </c>
      <c r="L129" s="58"/>
      <c r="M129" s="59"/>
      <c r="N129" s="57"/>
      <c r="O129" s="58"/>
      <c r="P129" s="57"/>
      <c r="Q129" s="52"/>
      <c r="R129" s="7"/>
    </row>
    <row r="130" spans="2:18" x14ac:dyDescent="0.35">
      <c r="B130" s="2" t="s">
        <v>13</v>
      </c>
      <c r="C130" s="3">
        <f t="shared" si="6"/>
        <v>5.1424561403508768</v>
      </c>
      <c r="D130" s="3">
        <f t="shared" si="7"/>
        <v>3.3880701754385965</v>
      </c>
      <c r="E130" s="3">
        <f t="shared" si="8"/>
        <v>3.4722807017543862</v>
      </c>
      <c r="L130" s="60" t="s">
        <v>1</v>
      </c>
      <c r="M130" s="60" t="s">
        <v>38</v>
      </c>
      <c r="N130" s="60" t="s">
        <v>39</v>
      </c>
      <c r="O130" s="60" t="s">
        <v>40</v>
      </c>
      <c r="P130" s="57"/>
      <c r="Q130" s="52"/>
      <c r="R130" s="7"/>
    </row>
    <row r="131" spans="2:18" x14ac:dyDescent="0.35">
      <c r="B131" s="10" t="s">
        <v>14</v>
      </c>
      <c r="C131" s="3">
        <f t="shared" si="6"/>
        <v>4.3487878787878786</v>
      </c>
      <c r="D131" s="3">
        <f t="shared" si="7"/>
        <v>4.2275757575757575</v>
      </c>
      <c r="E131" s="3">
        <f t="shared" si="8"/>
        <v>3.4245454545454548</v>
      </c>
      <c r="L131" s="60" t="s">
        <v>9</v>
      </c>
      <c r="M131" s="61">
        <f t="shared" ref="M131:M137" si="9">M121</f>
        <v>4.3068965517241375</v>
      </c>
      <c r="N131" s="61">
        <f t="shared" ref="N131:N137" si="10">P121</f>
        <v>2.455172413793103</v>
      </c>
      <c r="O131" s="61">
        <f t="shared" ref="O131:O137" si="11">S121</f>
        <v>2.7137931034482756</v>
      </c>
      <c r="P131" s="57"/>
      <c r="Q131" s="52"/>
      <c r="R131" s="7"/>
    </row>
    <row r="132" spans="2:18" x14ac:dyDescent="0.35">
      <c r="B132" s="10" t="s">
        <v>15</v>
      </c>
      <c r="C132" s="3">
        <f t="shared" si="6"/>
        <v>4.7083146067415731</v>
      </c>
      <c r="D132" s="3">
        <f t="shared" si="7"/>
        <v>4.0453932584269658</v>
      </c>
      <c r="E132" s="3">
        <f t="shared" si="8"/>
        <v>3.2476404494382023</v>
      </c>
      <c r="L132" s="60" t="s">
        <v>10</v>
      </c>
      <c r="M132" s="61">
        <f t="shared" si="9"/>
        <v>1.5850684931506849</v>
      </c>
      <c r="N132" s="61">
        <f t="shared" si="10"/>
        <v>3.5549315068493148</v>
      </c>
      <c r="O132" s="61">
        <f t="shared" si="11"/>
        <v>3.37958904109589</v>
      </c>
      <c r="P132" s="57"/>
      <c r="Q132" s="52"/>
      <c r="R132" s="7"/>
    </row>
    <row r="133" spans="2:18" x14ac:dyDescent="0.35">
      <c r="L133" s="60" t="s">
        <v>11</v>
      </c>
      <c r="M133" s="61">
        <f t="shared" si="9"/>
        <v>4.1700879765395893</v>
      </c>
      <c r="N133" s="61">
        <f t="shared" si="10"/>
        <v>2.4398826979472137</v>
      </c>
      <c r="O133" s="61">
        <f t="shared" si="11"/>
        <v>2.645161290322581</v>
      </c>
      <c r="P133" s="57"/>
      <c r="Q133" s="52"/>
      <c r="R133" s="7"/>
    </row>
    <row r="134" spans="2:18" x14ac:dyDescent="0.35">
      <c r="B134" s="6" t="s">
        <v>124</v>
      </c>
      <c r="L134" s="60" t="s">
        <v>12</v>
      </c>
      <c r="M134" s="61">
        <f t="shared" si="9"/>
        <v>1.4402173913043477</v>
      </c>
      <c r="N134" s="61">
        <f t="shared" si="10"/>
        <v>2.8641304347826084</v>
      </c>
      <c r="O134" s="61">
        <f t="shared" si="11"/>
        <v>2.6902173913043477</v>
      </c>
      <c r="P134" s="57"/>
      <c r="Q134" s="52"/>
      <c r="R134" s="7"/>
    </row>
    <row r="135" spans="2:18" x14ac:dyDescent="0.35">
      <c r="L135" s="60" t="s">
        <v>13</v>
      </c>
      <c r="M135" s="61">
        <f t="shared" si="9"/>
        <v>4.4912280701754383</v>
      </c>
      <c r="N135" s="61">
        <f t="shared" si="10"/>
        <v>2.7368421052631584</v>
      </c>
      <c r="O135" s="61">
        <f t="shared" si="11"/>
        <v>2.8210526315789477</v>
      </c>
      <c r="P135" s="57"/>
      <c r="Q135" s="52"/>
      <c r="R135" s="7"/>
    </row>
    <row r="136" spans="2:18" x14ac:dyDescent="0.35">
      <c r="B136" s="8" t="s">
        <v>1</v>
      </c>
      <c r="C136" s="8" t="s">
        <v>41</v>
      </c>
      <c r="L136" s="60" t="s">
        <v>14</v>
      </c>
      <c r="M136" s="61">
        <f t="shared" si="9"/>
        <v>3.8030303030303032</v>
      </c>
      <c r="N136" s="61">
        <f t="shared" si="10"/>
        <v>3.6818181818181817</v>
      </c>
      <c r="O136" s="61">
        <f t="shared" si="11"/>
        <v>2.8787878787878789</v>
      </c>
      <c r="P136" s="57"/>
      <c r="Q136" s="52"/>
    </row>
    <row r="137" spans="2:18" x14ac:dyDescent="0.35">
      <c r="B137" s="2" t="s">
        <v>9</v>
      </c>
      <c r="C137" s="45">
        <f>SUM(C126:E126)/3</f>
        <v>4.0008965517241375</v>
      </c>
      <c r="L137" s="60" t="s">
        <v>15</v>
      </c>
      <c r="M137" s="61">
        <f t="shared" si="9"/>
        <v>5.5617977528089888</v>
      </c>
      <c r="N137" s="61">
        <f t="shared" si="10"/>
        <v>4.8988764044943824</v>
      </c>
      <c r="O137" s="61">
        <f t="shared" si="11"/>
        <v>4.1011235955056176</v>
      </c>
      <c r="P137" s="57"/>
      <c r="Q137" s="52"/>
    </row>
    <row r="138" spans="2:18" x14ac:dyDescent="0.35">
      <c r="B138" s="2" t="s">
        <v>10</v>
      </c>
      <c r="C138" s="45">
        <f t="shared" ref="C138:C143" si="12">SUM(C127:E127)/3</f>
        <v>4.6700000000000008</v>
      </c>
      <c r="L138" s="57"/>
      <c r="M138" s="57"/>
      <c r="N138" s="57"/>
      <c r="O138" s="57"/>
      <c r="P138" s="57"/>
      <c r="Q138" s="52"/>
    </row>
    <row r="139" spans="2:18" x14ac:dyDescent="0.35">
      <c r="B139" s="2" t="s">
        <v>11</v>
      </c>
      <c r="C139" s="45">
        <f t="shared" si="12"/>
        <v>4.0008797653958945</v>
      </c>
      <c r="L139" s="60" t="s">
        <v>1</v>
      </c>
      <c r="M139" s="60" t="s">
        <v>41</v>
      </c>
      <c r="N139" s="57"/>
      <c r="O139" s="57"/>
      <c r="P139" s="57"/>
      <c r="Q139" s="52"/>
    </row>
    <row r="140" spans="2:18" x14ac:dyDescent="0.35">
      <c r="B140" s="2" t="s">
        <v>12</v>
      </c>
      <c r="C140" s="45">
        <f t="shared" si="12"/>
        <v>3.9991032608695654</v>
      </c>
      <c r="L140" s="60" t="s">
        <v>9</v>
      </c>
      <c r="M140" s="62">
        <f>SUM(M131:O131)/3</f>
        <v>3.1586206896551716</v>
      </c>
      <c r="N140" s="57"/>
      <c r="O140" s="57"/>
      <c r="P140" s="57"/>
      <c r="Q140" s="52"/>
    </row>
    <row r="141" spans="2:18" x14ac:dyDescent="0.35">
      <c r="B141" s="2" t="s">
        <v>13</v>
      </c>
      <c r="C141" s="45">
        <f t="shared" si="12"/>
        <v>4.0009356725146192</v>
      </c>
      <c r="L141" s="60" t="s">
        <v>10</v>
      </c>
      <c r="M141" s="62">
        <f t="shared" ref="M141:M146" si="13">SUM(M132:O132)/3</f>
        <v>2.8398630136986296</v>
      </c>
      <c r="N141" s="57"/>
      <c r="O141" s="57"/>
      <c r="P141" s="57"/>
      <c r="Q141" s="52"/>
    </row>
    <row r="142" spans="2:18" x14ac:dyDescent="0.35">
      <c r="B142" s="10" t="s">
        <v>14</v>
      </c>
      <c r="C142" s="45">
        <f t="shared" si="12"/>
        <v>4.00030303030303</v>
      </c>
      <c r="L142" s="60" t="s">
        <v>11</v>
      </c>
      <c r="M142" s="62">
        <f t="shared" si="13"/>
        <v>3.0850439882697942</v>
      </c>
      <c r="N142" s="57"/>
      <c r="O142" s="57"/>
      <c r="P142" s="57"/>
      <c r="Q142" s="52"/>
    </row>
    <row r="143" spans="2:18" x14ac:dyDescent="0.35">
      <c r="B143" s="10" t="s">
        <v>15</v>
      </c>
      <c r="C143" s="45">
        <f t="shared" si="12"/>
        <v>4.0004494382022475</v>
      </c>
      <c r="L143" s="60" t="s">
        <v>12</v>
      </c>
      <c r="M143" s="62">
        <f t="shared" si="13"/>
        <v>2.3315217391304346</v>
      </c>
      <c r="N143" s="57"/>
      <c r="O143" s="57"/>
      <c r="P143" s="57"/>
      <c r="Q143" s="52"/>
    </row>
    <row r="144" spans="2:18" x14ac:dyDescent="0.35">
      <c r="L144" s="60" t="s">
        <v>13</v>
      </c>
      <c r="M144" s="62">
        <f t="shared" si="13"/>
        <v>3.3497076023391816</v>
      </c>
      <c r="N144" s="57"/>
      <c r="O144" s="57"/>
      <c r="P144" s="57"/>
      <c r="Q144" s="52"/>
    </row>
    <row r="145" spans="2:17" x14ac:dyDescent="0.35">
      <c r="B145" s="6" t="s">
        <v>125</v>
      </c>
      <c r="L145" s="60" t="s">
        <v>14</v>
      </c>
      <c r="M145" s="62">
        <f t="shared" si="13"/>
        <v>3.4545454545454546</v>
      </c>
      <c r="N145" s="57"/>
      <c r="O145" s="57"/>
      <c r="P145" s="57"/>
      <c r="Q145" s="52"/>
    </row>
    <row r="146" spans="2:17" x14ac:dyDescent="0.35">
      <c r="L146" s="60" t="s">
        <v>15</v>
      </c>
      <c r="M146" s="62">
        <f t="shared" si="13"/>
        <v>4.8539325842696632</v>
      </c>
      <c r="N146" s="57"/>
      <c r="O146" s="57"/>
      <c r="P146" s="57"/>
      <c r="Q146" s="52"/>
    </row>
    <row r="147" spans="2:17" x14ac:dyDescent="0.35">
      <c r="B147" s="8" t="s">
        <v>1</v>
      </c>
      <c r="C147" s="8" t="s">
        <v>41</v>
      </c>
      <c r="D147" s="44" t="s">
        <v>126</v>
      </c>
      <c r="L147" s="57"/>
      <c r="M147" s="57"/>
      <c r="N147" s="57"/>
      <c r="O147" s="57"/>
      <c r="P147" s="57"/>
      <c r="Q147" s="52"/>
    </row>
    <row r="148" spans="2:17" x14ac:dyDescent="0.35">
      <c r="B148" s="2" t="s">
        <v>10</v>
      </c>
      <c r="C148" s="45">
        <f>C138</f>
        <v>4.6700000000000008</v>
      </c>
      <c r="D148" s="45" t="s">
        <v>127</v>
      </c>
      <c r="L148" s="60" t="s">
        <v>1</v>
      </c>
      <c r="M148" s="60" t="s">
        <v>41</v>
      </c>
      <c r="N148" s="62" t="s">
        <v>126</v>
      </c>
      <c r="O148" s="57"/>
      <c r="P148" s="57"/>
      <c r="Q148" s="52"/>
    </row>
    <row r="149" spans="2:17" x14ac:dyDescent="0.35">
      <c r="B149" s="2" t="s">
        <v>13</v>
      </c>
      <c r="C149" s="45">
        <f>C141</f>
        <v>4.0009356725146192</v>
      </c>
      <c r="D149" s="45" t="s">
        <v>128</v>
      </c>
      <c r="L149" s="60" t="s">
        <v>15</v>
      </c>
      <c r="M149" s="62">
        <f>M146</f>
        <v>4.8539325842696632</v>
      </c>
      <c r="N149" s="62" t="s">
        <v>127</v>
      </c>
      <c r="O149" s="57"/>
      <c r="P149" s="57"/>
      <c r="Q149" s="52"/>
    </row>
    <row r="150" spans="2:17" x14ac:dyDescent="0.35">
      <c r="B150" s="2" t="s">
        <v>9</v>
      </c>
      <c r="C150" s="45">
        <f>C137</f>
        <v>4.0008965517241375</v>
      </c>
      <c r="D150" s="45" t="s">
        <v>129</v>
      </c>
      <c r="L150" s="60" t="s">
        <v>14</v>
      </c>
      <c r="M150" s="62">
        <f>M145</f>
        <v>3.4545454545454546</v>
      </c>
      <c r="N150" s="62" t="s">
        <v>128</v>
      </c>
      <c r="O150" s="57"/>
      <c r="P150" s="57"/>
      <c r="Q150" s="52"/>
    </row>
    <row r="151" spans="2:17" x14ac:dyDescent="0.35">
      <c r="B151" s="2" t="s">
        <v>11</v>
      </c>
      <c r="C151" s="45">
        <f>C139</f>
        <v>4.0008797653958945</v>
      </c>
      <c r="D151" s="45" t="s">
        <v>130</v>
      </c>
      <c r="L151" s="60" t="s">
        <v>13</v>
      </c>
      <c r="M151" s="62">
        <f>M144</f>
        <v>3.3497076023391816</v>
      </c>
      <c r="N151" s="62" t="s">
        <v>129</v>
      </c>
      <c r="O151" s="57"/>
      <c r="P151" s="57"/>
      <c r="Q151" s="52"/>
    </row>
    <row r="152" spans="2:17" x14ac:dyDescent="0.35">
      <c r="B152" s="2" t="s">
        <v>15</v>
      </c>
      <c r="C152" s="45">
        <f>C143</f>
        <v>4.0004494382022475</v>
      </c>
      <c r="D152" s="45" t="s">
        <v>131</v>
      </c>
      <c r="L152" s="60" t="s">
        <v>9</v>
      </c>
      <c r="M152" s="62">
        <f>M140</f>
        <v>3.1586206896551716</v>
      </c>
      <c r="N152" s="62" t="s">
        <v>130</v>
      </c>
      <c r="O152" s="57"/>
      <c r="P152" s="57"/>
      <c r="Q152" s="52"/>
    </row>
    <row r="153" spans="2:17" x14ac:dyDescent="0.35">
      <c r="B153" s="10" t="s">
        <v>14</v>
      </c>
      <c r="C153" s="45">
        <f>C142</f>
        <v>4.00030303030303</v>
      </c>
      <c r="D153" s="45" t="s">
        <v>132</v>
      </c>
      <c r="L153" s="60" t="s">
        <v>11</v>
      </c>
      <c r="M153" s="62">
        <f>M142</f>
        <v>3.0850439882697942</v>
      </c>
      <c r="N153" s="62" t="s">
        <v>131</v>
      </c>
      <c r="O153" s="57"/>
      <c r="P153" s="57"/>
      <c r="Q153" s="52"/>
    </row>
    <row r="154" spans="2:17" x14ac:dyDescent="0.35">
      <c r="B154" s="10" t="s">
        <v>12</v>
      </c>
      <c r="C154" s="45">
        <f>C140</f>
        <v>3.9991032608695654</v>
      </c>
      <c r="D154" s="45" t="s">
        <v>133</v>
      </c>
      <c r="L154" s="60" t="s">
        <v>10</v>
      </c>
      <c r="M154" s="62">
        <f>M141</f>
        <v>2.8398630136986296</v>
      </c>
      <c r="N154" s="62" t="s">
        <v>132</v>
      </c>
      <c r="O154" s="57"/>
      <c r="P154" s="57"/>
      <c r="Q154" s="52"/>
    </row>
    <row r="155" spans="2:17" x14ac:dyDescent="0.35">
      <c r="L155" s="60" t="s">
        <v>12</v>
      </c>
      <c r="M155" s="62">
        <f>M143</f>
        <v>2.3315217391304346</v>
      </c>
      <c r="N155" s="62" t="s">
        <v>133</v>
      </c>
      <c r="O155" s="57"/>
      <c r="P155" s="57"/>
      <c r="Q155" s="52"/>
    </row>
    <row r="156" spans="2:17" x14ac:dyDescent="0.35">
      <c r="B156" s="6" t="s">
        <v>134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2017-09-04T09:38:11Z</dcterms:created>
  <dcterms:modified xsi:type="dcterms:W3CDTF">2017-11-09T16:29:45Z</dcterms:modified>
</cp:coreProperties>
</file>