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hamdi\Documents\statistikafiles\"/>
    </mc:Choice>
  </mc:AlternateContent>
  <xr:revisionPtr revIDLastSave="0" documentId="13_ncr:1_{F2F26C54-DCA4-4BD6-83C4-79E35302777F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heet1" sheetId="1" r:id="rId1"/>
    <sheet name="Data Frekuensi" sheetId="2" r:id="rId2"/>
    <sheet name="Simpangan Rata-rata" sheetId="3" r:id="rId3"/>
    <sheet name="Variansi" sheetId="4" r:id="rId4"/>
    <sheet name="Simpangan Baku Standard Deviasi" sheetId="5" r:id="rId5"/>
    <sheet name="Jangkauan Kuartil" sheetId="6" r:id="rId6"/>
    <sheet name="Jangkauan Persenti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6" l="1"/>
  <c r="I9" i="6"/>
  <c r="M1" i="6"/>
  <c r="M3" i="6"/>
  <c r="L7" i="4" l="1"/>
  <c r="L6" i="4"/>
  <c r="I9" i="4"/>
  <c r="Q4" i="4"/>
  <c r="M55" i="3"/>
  <c r="L55" i="3"/>
  <c r="O7" i="6" l="1"/>
  <c r="K9" i="6"/>
  <c r="K8" i="6"/>
  <c r="K7" i="6"/>
  <c r="O1" i="6"/>
  <c r="I11" i="4"/>
  <c r="O4" i="4"/>
  <c r="P4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" i="3"/>
  <c r="M3" i="3"/>
  <c r="R3" i="3"/>
  <c r="P3" i="3" l="1"/>
  <c r="I7" i="7" l="1"/>
  <c r="I9" i="7" s="1"/>
  <c r="I6" i="7"/>
  <c r="I4" i="7" l="1"/>
  <c r="I3" i="7"/>
  <c r="C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I4" i="6"/>
  <c r="I3" i="6"/>
  <c r="E10" i="6"/>
  <c r="E9" i="6"/>
  <c r="E8" i="6"/>
  <c r="E7" i="6"/>
  <c r="D10" i="6"/>
  <c r="D9" i="6"/>
  <c r="D8" i="6"/>
  <c r="D7" i="6"/>
  <c r="E6" i="6"/>
  <c r="E5" i="6"/>
  <c r="D6" i="6"/>
  <c r="D5" i="6"/>
  <c r="E4" i="6"/>
  <c r="D4" i="6"/>
  <c r="C11" i="6"/>
  <c r="C12" i="4" l="1"/>
  <c r="D11" i="4"/>
  <c r="E11" i="4" s="1"/>
  <c r="D10" i="4"/>
  <c r="F10" i="4" s="1"/>
  <c r="D9" i="4"/>
  <c r="E9" i="4" s="1"/>
  <c r="D8" i="4"/>
  <c r="E8" i="4" s="1"/>
  <c r="D7" i="4"/>
  <c r="F7" i="4" s="1"/>
  <c r="D6" i="4"/>
  <c r="F6" i="4" s="1"/>
  <c r="D5" i="4"/>
  <c r="F5" i="4" s="1"/>
  <c r="F9" i="4" l="1"/>
  <c r="E7" i="4"/>
  <c r="F8" i="4"/>
  <c r="E10" i="4"/>
  <c r="F11" i="4"/>
  <c r="F12" i="4" s="1"/>
  <c r="I7" i="4" s="1"/>
  <c r="E6" i="4"/>
  <c r="E5" i="4"/>
  <c r="C12" i="5"/>
  <c r="D11" i="5"/>
  <c r="F11" i="5" s="1"/>
  <c r="D10" i="5"/>
  <c r="E10" i="5" s="1"/>
  <c r="D9" i="5"/>
  <c r="F9" i="5" s="1"/>
  <c r="D8" i="5"/>
  <c r="F8" i="5" s="1"/>
  <c r="D7" i="5"/>
  <c r="F7" i="5" s="1"/>
  <c r="D6" i="5"/>
  <c r="F6" i="5" s="1"/>
  <c r="D5" i="5"/>
  <c r="E5" i="5" s="1"/>
  <c r="E9" i="5" l="1"/>
  <c r="F5" i="5"/>
  <c r="F10" i="5"/>
  <c r="E12" i="4"/>
  <c r="F12" i="5"/>
  <c r="I7" i="5" s="1"/>
  <c r="E7" i="5"/>
  <c r="E8" i="5"/>
  <c r="E6" i="5"/>
  <c r="E11" i="5"/>
  <c r="E12" i="5" l="1"/>
  <c r="Q3" i="2"/>
  <c r="D12" i="3" l="1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C13" i="3"/>
  <c r="N15" i="2"/>
  <c r="Q4" i="2"/>
  <c r="R3" i="2"/>
  <c r="Q5" i="2" s="1"/>
  <c r="R5" i="2" s="1"/>
  <c r="E13" i="3" l="1"/>
  <c r="D16" i="3" s="1"/>
  <c r="F6" i="3" s="1"/>
  <c r="G6" i="3" s="1"/>
  <c r="H10" i="1"/>
  <c r="F7" i="3" l="1"/>
  <c r="G7" i="3" s="1"/>
  <c r="F11" i="3"/>
  <c r="G11" i="3" s="1"/>
  <c r="F8" i="3"/>
  <c r="G8" i="3" s="1"/>
  <c r="F9" i="3"/>
  <c r="G9" i="3" s="1"/>
  <c r="F10" i="3"/>
  <c r="G10" i="3" s="1"/>
  <c r="F12" i="3"/>
  <c r="G12" i="3" s="1"/>
  <c r="H11" i="1"/>
  <c r="H12" i="1"/>
  <c r="H13" i="1"/>
  <c r="H14" i="1"/>
  <c r="H15" i="1"/>
  <c r="H9" i="1"/>
  <c r="E16" i="1"/>
  <c r="H5" i="1"/>
  <c r="F6" i="1" s="1"/>
  <c r="G13" i="3" l="1"/>
  <c r="D17" i="3" s="1"/>
  <c r="F2" i="1"/>
  <c r="F7" i="1" s="1"/>
</calcChain>
</file>

<file path=xl/sharedStrings.xml><?xml version="1.0" encoding="utf-8"?>
<sst xmlns="http://schemas.openxmlformats.org/spreadsheetml/2006/main" count="170" uniqueCount="102">
  <si>
    <t>No. Urut</t>
  </si>
  <si>
    <t>PAI</t>
  </si>
  <si>
    <t>P</t>
  </si>
  <si>
    <t>K</t>
  </si>
  <si>
    <t>R=</t>
  </si>
  <si>
    <t>Jangkauan Data</t>
  </si>
  <si>
    <t>Bin</t>
  </si>
  <si>
    <t>More</t>
  </si>
  <si>
    <t>Frequency</t>
  </si>
  <si>
    <t>Cumulative %</t>
  </si>
  <si>
    <t>LogN</t>
  </si>
  <si>
    <t>Banyak Kelas</t>
  </si>
  <si>
    <t>Interval</t>
  </si>
  <si>
    <t>I</t>
  </si>
  <si>
    <t>Jumlah</t>
  </si>
  <si>
    <t>tbk</t>
  </si>
  <si>
    <t>tak</t>
  </si>
  <si>
    <t>Panjang Interval</t>
  </si>
  <si>
    <t>F</t>
  </si>
  <si>
    <t>Panjang Kelas</t>
  </si>
  <si>
    <t>57-62</t>
  </si>
  <si>
    <t>63-68</t>
  </si>
  <si>
    <t>69-74</t>
  </si>
  <si>
    <t>75-80</t>
  </si>
  <si>
    <t>81-86</t>
  </si>
  <si>
    <t>87-92</t>
  </si>
  <si>
    <t>93-98</t>
  </si>
  <si>
    <t>Data Urut</t>
  </si>
  <si>
    <t>Data Acak</t>
  </si>
  <si>
    <t>Membuat Data Kelompok</t>
  </si>
  <si>
    <t>Jumlah Kelas = 1 + 3.3 Log N</t>
  </si>
  <si>
    <t>Diketahui Jumlah data 50</t>
  </si>
  <si>
    <t>Range = Data Tertinggi - Data Terendah</t>
  </si>
  <si>
    <t xml:space="preserve">Interval = Range / Jumlah Kelas </t>
  </si>
  <si>
    <t>Periode</t>
  </si>
  <si>
    <t>Frekuensi</t>
  </si>
  <si>
    <t>57 - 62</t>
  </si>
  <si>
    <t>63 - 68</t>
  </si>
  <si>
    <t>69 - 74</t>
  </si>
  <si>
    <t>75 - 80</t>
  </si>
  <si>
    <t>81 - 86</t>
  </si>
  <si>
    <t>87 - 92</t>
  </si>
  <si>
    <t>93 - 98</t>
  </si>
  <si>
    <t>x</t>
  </si>
  <si>
    <t>fx</t>
  </si>
  <si>
    <t>SR</t>
  </si>
  <si>
    <t>Simpangan Rata-rata</t>
  </si>
  <si>
    <r>
      <t>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=</t>
    </r>
  </si>
  <si>
    <t>S    =</t>
  </si>
  <si>
    <r>
      <t>S</t>
    </r>
    <r>
      <rPr>
        <vertAlign val="superscript"/>
        <sz val="16"/>
        <color theme="1"/>
        <rFont val="Calibri"/>
        <family val="2"/>
        <scheme val="minor"/>
      </rPr>
      <t xml:space="preserve">2 </t>
    </r>
    <r>
      <rPr>
        <sz val="16"/>
        <color theme="1"/>
        <rFont val="Calibri"/>
        <family val="2"/>
        <scheme val="minor"/>
      </rPr>
      <t xml:space="preserve"> =</t>
    </r>
  </si>
  <si>
    <t>interval</t>
  </si>
  <si>
    <t>Kelas Ke-5 (81-86)</t>
  </si>
  <si>
    <t>Kelas Ke-7 (93-98)</t>
  </si>
  <si>
    <t>Jangkauan Persentil</t>
  </si>
  <si>
    <t>Kelas Q1 berada di periode</t>
  </si>
  <si>
    <t>Kelas Q3 berada di periode</t>
  </si>
  <si>
    <t>Kelas P10 Berada pada periode</t>
  </si>
  <si>
    <t>Kelas P90 Berada pada periode</t>
  </si>
  <si>
    <t xml:space="preserve">Jumlah P10 </t>
  </si>
  <si>
    <t>Kelas ke 2 (63-68)</t>
  </si>
  <si>
    <t>Kelas ke 7 (93-98)</t>
  </si>
  <si>
    <t>Jumlah P90</t>
  </si>
  <si>
    <t>Kuartil adalah bilangan yang digunakan untuk membagi sekumpulan data menjadi 4 bagian yang jumlahnya sama banyak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</si>
  <si>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</si>
  <si>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</si>
  <si>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</si>
  <si>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</si>
  <si>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</si>
  <si>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</si>
  <si>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</si>
  <si>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</si>
  <si>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</si>
  <si>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</si>
  <si>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</si>
  <si>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</si>
  <si>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</si>
  <si>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</si>
  <si>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Tidak terpakai</t>
  </si>
  <si>
    <t>Hasil excel</t>
  </si>
  <si>
    <t>Simpangan rata-rata jarak antara nilai-nilai data menuju rata-ratanya</t>
  </si>
  <si>
    <t xml:space="preserve">7 ,37 adalah rata-rata jumlah jarak nilai 50 siswa ke jumlah rata-rata nilai keseluruhan </t>
  </si>
  <si>
    <t>(xi)^2</t>
  </si>
  <si>
    <t>jumlah xi</t>
  </si>
  <si>
    <t>jumlah xi^2</t>
  </si>
  <si>
    <t>S^2</t>
  </si>
  <si>
    <t xml:space="preserve">s= </t>
  </si>
  <si>
    <t>Q1</t>
  </si>
  <si>
    <t>Q3</t>
  </si>
  <si>
    <t>Nilai ke 38</t>
  </si>
  <si>
    <t>Nilai ke 13</t>
  </si>
  <si>
    <t xml:space="preserve">Q2 = </t>
  </si>
  <si>
    <t>Q2</t>
  </si>
  <si>
    <t>Rumus Excel</t>
  </si>
  <si>
    <t>Kuartil bawah</t>
  </si>
  <si>
    <t>median</t>
  </si>
  <si>
    <t>Kuartil Atas</t>
  </si>
  <si>
    <t>Standar deviasi adalah nilai statistik yang digunakan untuk menentukan bagaimana sebaran data dalam sampel, dan seberapa dekat titik data individu ke mean – atau rata-rata – nilai sampel.</t>
  </si>
  <si>
    <t>Sebuah standar deviasi dari kumpulan data sama dengan nol menunjukkan bahwa semua nilai-nilai dalam himpunan tersebut adalah sama. Sebuah nilai deviasi yang lebih besar akan memberikan makna bahwa titik data individu jauh dari nilai rata-rata.</t>
  </si>
  <si>
    <t>Varian merupakan ukuran variabilitas data, yang berarti semakin besar nilai varian berarti semakin tinggi fluktuasi data antara satu data dengan data yang lain</t>
  </si>
  <si>
    <t>Nilai ke 26</t>
  </si>
  <si>
    <t>Jangkauan / simpangan Kuartil</t>
  </si>
  <si>
    <t>Simpangan kuartil adalah setengah dari nilai selisih data Kuartil atas dan kuartil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</si>
</sst>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 Light"/>
      <family val="1"/>
      <scheme val="maj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7" fillId="0" borderId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5" fillId="3" borderId="4" xfId="0" applyNumberFormat="1" applyFont="1" applyFill="1" applyBorder="1" applyAlignment="1">
      <alignment horizontal="center" vertical="center"/>
    </xf>
    <xf numFmtId="1" fontId="8" fillId="3" borderId="4" xfId="5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6" fillId="3" borderId="0" xfId="0" applyFont="1" applyFill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2" fontId="0" fillId="0" borderId="0" xfId="0" applyNumberFormat="1" applyAlignment="1"/>
    <xf numFmtId="0" fontId="0" fillId="0" borderId="0" xfId="0" quotePrefix="1" applyAlignment="1"/>
    <xf numFmtId="2" fontId="0" fillId="0" borderId="0" xfId="0" quotePrefix="1" applyNumberFormat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6" xfId="0" applyFill="1" applyBorder="1" applyAlignment="1"/>
    <xf numFmtId="0" fontId="13" fillId="0" borderId="7" xfId="0" applyFont="1" applyFill="1" applyBorder="1" applyAlignment="1">
      <alignment horizontal="centerContinuous"/>
    </xf>
    <xf numFmtId="0" fontId="0" fillId="4" borderId="0" xfId="0" applyFill="1"/>
    <xf numFmtId="1" fontId="0" fillId="4" borderId="0" xfId="0" applyNumberFormat="1" applyFill="1"/>
    <xf numFmtId="0" fontId="0" fillId="4" borderId="4" xfId="0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5" fillId="5" borderId="4" xfId="0" applyNumberFormat="1" applyFont="1" applyFill="1" applyBorder="1" applyAlignment="1">
      <alignment horizontal="center" vertical="center"/>
    </xf>
    <xf numFmtId="0" fontId="0" fillId="5" borderId="0" xfId="0" applyFill="1"/>
    <xf numFmtId="1" fontId="8" fillId="5" borderId="4" xfId="5" applyNumberFormat="1" applyFont="1" applyFill="1" applyBorder="1" applyAlignment="1">
      <alignment horizontal="center" vertical="center"/>
    </xf>
    <xf numFmtId="2" fontId="0" fillId="0" borderId="4" xfId="0" applyNumberFormat="1" applyBorder="1"/>
    <xf numFmtId="1" fontId="0" fillId="6" borderId="4" xfId="0" applyNumberFormat="1" applyFill="1" applyBorder="1"/>
    <xf numFmtId="2" fontId="0" fillId="6" borderId="4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6">
    <cellStyle name="Comma [0]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64A5368-0754-4CC2-984A-AB4897E3E26B}"/>
                </a:ext>
              </a:extLst>
            </xdr:cNvPr>
            <xdr:cNvSpPr txBox="1"/>
          </xdr:nvSpPr>
          <xdr:spPr>
            <a:xfrm>
              <a:off x="3238498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2</xdr:col>
      <xdr:colOff>219075</xdr:colOff>
      <xdr:row>14</xdr:row>
      <xdr:rowOff>47625</xdr:rowOff>
    </xdr:from>
    <xdr:ext cx="504826" cy="250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438275" y="2143125"/>
          <a:ext cx="504826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D" sz="1600"/>
        </a:p>
      </xdr:txBody>
    </xdr:sp>
    <xdr:clientData/>
  </xdr:oneCellAnchor>
  <xdr:oneCellAnchor>
    <xdr:from>
      <xdr:col>2</xdr:col>
      <xdr:colOff>104774</xdr:colOff>
      <xdr:row>14</xdr:row>
      <xdr:rowOff>157162</xdr:rowOff>
    </xdr:from>
    <xdr:ext cx="5048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3E3D377-920B-42C7-986F-78EA2BE97E09}"/>
                </a:ext>
              </a:extLst>
            </xdr:cNvPr>
            <xdr:cNvSpPr txBox="1"/>
          </xdr:nvSpPr>
          <xdr:spPr>
            <a:xfrm>
              <a:off x="1323974" y="2252662"/>
              <a:ext cx="5048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6</xdr:col>
      <xdr:colOff>76198</xdr:colOff>
      <xdr:row>3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𝛴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𝐹</m:t>
                  </m:r>
                </m:oMath>
              </a14:m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F78429-826A-4051-8D02-6D1612D41A68}"/>
                </a:ext>
              </a:extLst>
            </xdr:cNvPr>
            <xdr:cNvSpPr txBox="1"/>
          </xdr:nvSpPr>
          <xdr:spPr>
            <a:xfrm>
              <a:off x="4105273" y="7572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𝛴𝐹</a:t>
              </a:r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12</xdr:col>
      <xdr:colOff>561975</xdr:colOff>
      <xdr:row>3</xdr:row>
      <xdr:rowOff>33337</xdr:rowOff>
    </xdr:from>
    <xdr:ext cx="4480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F12990-DC9C-48E2-BF4D-1E69141D0454}"/>
                </a:ext>
              </a:extLst>
            </xdr:cNvPr>
            <xdr:cNvSpPr txBox="1"/>
          </xdr:nvSpPr>
          <xdr:spPr>
            <a:xfrm>
              <a:off x="8391525" y="604837"/>
              <a:ext cx="4480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F12990-DC9C-48E2-BF4D-1E69141D0454}"/>
                </a:ext>
              </a:extLst>
            </xdr:cNvPr>
            <xdr:cNvSpPr txBox="1"/>
          </xdr:nvSpPr>
          <xdr:spPr>
            <a:xfrm>
              <a:off x="8391525" y="604837"/>
              <a:ext cx="4480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|𝑥−𝑥 ̅ |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12</xdr:col>
      <xdr:colOff>1000125</xdr:colOff>
      <xdr:row>0</xdr:row>
      <xdr:rowOff>161925</xdr:rowOff>
    </xdr:from>
    <xdr:ext cx="4953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FD4D25-0A70-48BE-B987-1B947CFA34A5}"/>
                </a:ext>
              </a:extLst>
            </xdr:cNvPr>
            <xdr:cNvSpPr txBox="1"/>
          </xdr:nvSpPr>
          <xdr:spPr>
            <a:xfrm>
              <a:off x="8829675" y="161925"/>
              <a:ext cx="4953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FD4D25-0A70-48BE-B987-1B947CFA34A5}"/>
                </a:ext>
              </a:extLst>
            </xdr:cNvPr>
            <xdr:cNvSpPr txBox="1"/>
          </xdr:nvSpPr>
          <xdr:spPr>
            <a:xfrm>
              <a:off x="8829675" y="161925"/>
              <a:ext cx="4953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11</xdr:col>
      <xdr:colOff>209550</xdr:colOff>
      <xdr:row>2</xdr:row>
      <xdr:rowOff>185737</xdr:rowOff>
    </xdr:from>
    <xdr:ext cx="1561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23986CF-942B-4A08-96D1-1E48016C5F03}"/>
                </a:ext>
              </a:extLst>
            </xdr:cNvPr>
            <xdr:cNvSpPr txBox="1"/>
          </xdr:nvSpPr>
          <xdr:spPr>
            <a:xfrm>
              <a:off x="7429500" y="566737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𝑥𝑖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23986CF-942B-4A08-96D1-1E48016C5F03}"/>
                </a:ext>
              </a:extLst>
            </xdr:cNvPr>
            <xdr:cNvSpPr txBox="1"/>
          </xdr:nvSpPr>
          <xdr:spPr>
            <a:xfrm>
              <a:off x="7429500" y="566737"/>
              <a:ext cx="1561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𝑥𝑖</a:t>
              </a:r>
              <a:endParaRPr lang="en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38098</xdr:colOff>
      <xdr:row>2</xdr:row>
      <xdr:rowOff>185737</xdr:rowOff>
    </xdr:from>
    <xdr:ext cx="1123952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acc>
                    <m:accPr>
                      <m:chr m:val="̅"/>
                      <m:ctrlP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ID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endParaRPr lang="en-ID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E659C-447D-4EE3-9972-EFFCA70A3FCD}"/>
                </a:ext>
              </a:extLst>
            </xdr:cNvPr>
            <xdr:cNvSpPr txBox="1"/>
          </xdr:nvSpPr>
          <xdr:spPr>
            <a:xfrm>
              <a:off x="3086098" y="566737"/>
              <a:ext cx="1123952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(𝑥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ID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 ̅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400050</xdr:colOff>
      <xdr:row>3</xdr:row>
      <xdr:rowOff>76200</xdr:rowOff>
    </xdr:from>
    <xdr:ext cx="981075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276850" y="6477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7</xdr:col>
      <xdr:colOff>390525</xdr:colOff>
      <xdr:row>7</xdr:row>
      <xdr:rowOff>152400</xdr:rowOff>
    </xdr:from>
    <xdr:ext cx="398507" cy="3164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657725" y="1514475"/>
              <a:ext cx="398507" cy="3164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√(𝑠^2 )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390525</xdr:colOff>
      <xdr:row>10</xdr:row>
      <xdr:rowOff>0</xdr:rowOff>
    </xdr:from>
    <xdr:ext cx="1036181" cy="298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600">
                            <a:latin typeface="Cambria Math" panose="02040503050406030204" pitchFamily="18" charset="0"/>
                          </a:rPr>
                          <m:t>300312,5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57725" y="1981200"/>
              <a:ext cx="1036181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√300312,5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504825</xdr:colOff>
      <xdr:row>12</xdr:row>
      <xdr:rowOff>38100</xdr:rowOff>
    </xdr:from>
    <xdr:ext cx="987835" cy="2504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4772025" y="2447925"/>
          <a:ext cx="987835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600"/>
            <a:t>548.007755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34" workbookViewId="0">
      <selection activeCell="I38" sqref="I38"/>
    </sheetView>
  </sheetViews>
  <sheetFormatPr defaultRowHeight="15" x14ac:dyDescent="0.25"/>
  <cols>
    <col min="2" max="2" width="9.140625" style="10"/>
    <col min="4" max="4" width="13.28515625" bestFit="1" customWidth="1"/>
    <col min="6" max="6" width="9.5703125" bestFit="1" customWidth="1"/>
    <col min="8" max="8" width="15.42578125" bestFit="1" customWidth="1"/>
    <col min="9" max="9" width="12.7109375" bestFit="1" customWidth="1"/>
  </cols>
  <sheetData>
    <row r="1" spans="1:13" ht="15" customHeight="1" x14ac:dyDescent="0.25">
      <c r="A1" s="47" t="s">
        <v>0</v>
      </c>
      <c r="B1" s="7" t="s">
        <v>1</v>
      </c>
    </row>
    <row r="2" spans="1:13" ht="15" customHeight="1" x14ac:dyDescent="0.25">
      <c r="A2" s="48"/>
      <c r="B2" s="8" t="s">
        <v>2</v>
      </c>
      <c r="E2" t="s">
        <v>4</v>
      </c>
      <c r="F2">
        <f>97-57</f>
        <v>40</v>
      </c>
    </row>
    <row r="3" spans="1:13" ht="16.5" x14ac:dyDescent="0.25">
      <c r="A3" s="1">
        <v>1</v>
      </c>
      <c r="B3" s="9">
        <v>4</v>
      </c>
      <c r="E3" t="s">
        <v>5</v>
      </c>
    </row>
    <row r="4" spans="1:13" x14ac:dyDescent="0.25">
      <c r="A4" s="4">
        <v>1</v>
      </c>
      <c r="B4" s="6">
        <v>57</v>
      </c>
    </row>
    <row r="5" spans="1:13" ht="15.75" x14ac:dyDescent="0.25">
      <c r="A5" s="3">
        <v>2</v>
      </c>
      <c r="B5" s="5">
        <v>60</v>
      </c>
      <c r="G5" t="s">
        <v>10</v>
      </c>
      <c r="H5">
        <f>LOG(50)</f>
        <v>1.6989700043360187</v>
      </c>
    </row>
    <row r="6" spans="1:13" ht="15.75" x14ac:dyDescent="0.25">
      <c r="A6" s="3">
        <v>3</v>
      </c>
      <c r="B6" s="5">
        <v>62</v>
      </c>
      <c r="D6" t="s">
        <v>11</v>
      </c>
      <c r="E6" t="s">
        <v>3</v>
      </c>
      <c r="F6" s="13">
        <f>1+3.3*H5</f>
        <v>6.6066010143088612</v>
      </c>
    </row>
    <row r="7" spans="1:13" x14ac:dyDescent="0.25">
      <c r="A7" s="4">
        <v>4</v>
      </c>
      <c r="B7" s="5">
        <v>63.066666666666663</v>
      </c>
      <c r="D7" t="s">
        <v>12</v>
      </c>
      <c r="E7" t="s">
        <v>13</v>
      </c>
      <c r="F7" s="13">
        <f>F2/F6</f>
        <v>6.0545505795440464</v>
      </c>
    </row>
    <row r="8" spans="1:13" ht="15.75" x14ac:dyDescent="0.25">
      <c r="A8" s="3">
        <v>5</v>
      </c>
      <c r="B8" s="6">
        <v>66</v>
      </c>
      <c r="D8" t="s">
        <v>19</v>
      </c>
      <c r="E8" t="s">
        <v>18</v>
      </c>
      <c r="F8" t="s">
        <v>15</v>
      </c>
      <c r="G8" t="s">
        <v>16</v>
      </c>
      <c r="H8" t="s">
        <v>17</v>
      </c>
    </row>
    <row r="9" spans="1:13" ht="15.75" x14ac:dyDescent="0.25">
      <c r="A9" s="3">
        <v>6</v>
      </c>
      <c r="B9" s="6">
        <v>70</v>
      </c>
      <c r="C9">
        <v>1</v>
      </c>
      <c r="D9" s="14" t="s">
        <v>20</v>
      </c>
      <c r="E9">
        <v>1</v>
      </c>
      <c r="F9">
        <v>56.5</v>
      </c>
      <c r="G9">
        <v>62.5</v>
      </c>
      <c r="H9">
        <f>G9-F9</f>
        <v>6</v>
      </c>
      <c r="K9">
        <v>40</v>
      </c>
      <c r="L9" t="s">
        <v>8</v>
      </c>
      <c r="M9" t="s">
        <v>9</v>
      </c>
    </row>
    <row r="10" spans="1:13" x14ac:dyDescent="0.25">
      <c r="A10" s="4">
        <v>7</v>
      </c>
      <c r="B10" s="6">
        <v>74</v>
      </c>
      <c r="C10">
        <v>2</v>
      </c>
      <c r="D10" t="s">
        <v>21</v>
      </c>
      <c r="E10">
        <v>4</v>
      </c>
      <c r="F10">
        <v>62.5</v>
      </c>
      <c r="G10">
        <v>68.5</v>
      </c>
      <c r="H10" s="2">
        <f>G10-F10</f>
        <v>6</v>
      </c>
      <c r="K10" s="11" t="s">
        <v>6</v>
      </c>
      <c r="L10">
        <v>0</v>
      </c>
      <c r="M10" s="12">
        <v>0</v>
      </c>
    </row>
    <row r="11" spans="1:13" ht="15.75" x14ac:dyDescent="0.25">
      <c r="A11" s="3">
        <v>8</v>
      </c>
      <c r="B11" s="6">
        <v>78</v>
      </c>
      <c r="C11">
        <v>3</v>
      </c>
      <c r="D11" t="s">
        <v>22</v>
      </c>
      <c r="E11">
        <v>1</v>
      </c>
      <c r="F11">
        <v>68.5</v>
      </c>
      <c r="G11">
        <v>74.5</v>
      </c>
      <c r="H11" s="2">
        <f t="shared" ref="H11:H15" si="0">G11-F11</f>
        <v>6</v>
      </c>
      <c r="K11" t="s">
        <v>7</v>
      </c>
      <c r="L11">
        <v>50</v>
      </c>
      <c r="M11" s="12">
        <v>1</v>
      </c>
    </row>
    <row r="12" spans="1:13" ht="15.75" x14ac:dyDescent="0.25">
      <c r="A12" s="3">
        <v>9</v>
      </c>
      <c r="B12" s="5">
        <v>79.466666666666669</v>
      </c>
      <c r="C12">
        <v>4</v>
      </c>
      <c r="D12" t="s">
        <v>23</v>
      </c>
      <c r="E12">
        <v>5</v>
      </c>
      <c r="F12">
        <v>74.5</v>
      </c>
      <c r="G12">
        <v>80.5</v>
      </c>
      <c r="H12" s="2">
        <f t="shared" si="0"/>
        <v>6</v>
      </c>
    </row>
    <row r="13" spans="1:13" x14ac:dyDescent="0.25">
      <c r="A13" s="4">
        <v>10</v>
      </c>
      <c r="B13" s="6">
        <v>79.666666666666671</v>
      </c>
      <c r="C13">
        <v>5</v>
      </c>
      <c r="D13" t="s">
        <v>24</v>
      </c>
      <c r="E13">
        <v>13</v>
      </c>
      <c r="F13">
        <v>80.5</v>
      </c>
      <c r="G13">
        <v>86.5</v>
      </c>
      <c r="H13" s="2">
        <f t="shared" si="0"/>
        <v>6</v>
      </c>
    </row>
    <row r="14" spans="1:13" ht="15.75" x14ac:dyDescent="0.25">
      <c r="A14" s="3">
        <v>11</v>
      </c>
      <c r="B14" s="6">
        <v>80</v>
      </c>
      <c r="C14">
        <v>6</v>
      </c>
      <c r="D14" t="s">
        <v>25</v>
      </c>
      <c r="E14">
        <v>16</v>
      </c>
      <c r="F14">
        <v>86.5</v>
      </c>
      <c r="G14">
        <v>92.5</v>
      </c>
      <c r="H14" s="2">
        <f t="shared" si="0"/>
        <v>6</v>
      </c>
    </row>
    <row r="15" spans="1:13" ht="15.75" x14ac:dyDescent="0.25">
      <c r="A15" s="3">
        <v>12</v>
      </c>
      <c r="B15" s="6">
        <v>80.666666666666671</v>
      </c>
      <c r="C15">
        <v>7</v>
      </c>
      <c r="D15" t="s">
        <v>26</v>
      </c>
      <c r="E15">
        <v>10</v>
      </c>
      <c r="F15">
        <v>92.5</v>
      </c>
      <c r="G15">
        <v>98.5</v>
      </c>
      <c r="H15" s="2">
        <f t="shared" si="0"/>
        <v>6</v>
      </c>
    </row>
    <row r="16" spans="1:13" x14ac:dyDescent="0.25">
      <c r="A16" s="4">
        <v>13</v>
      </c>
      <c r="B16" s="5">
        <v>83.533333333333331</v>
      </c>
      <c r="D16" t="s">
        <v>14</v>
      </c>
      <c r="E16">
        <f>SUM(E9:E15)</f>
        <v>50</v>
      </c>
    </row>
    <row r="17" spans="1:2" ht="15.75" x14ac:dyDescent="0.25">
      <c r="A17" s="3">
        <v>14</v>
      </c>
      <c r="B17" s="5">
        <v>84.399999999999991</v>
      </c>
    </row>
    <row r="18" spans="1:2" ht="15.75" x14ac:dyDescent="0.25">
      <c r="A18" s="3">
        <v>15</v>
      </c>
      <c r="B18" s="5">
        <v>84.600000000000009</v>
      </c>
    </row>
    <row r="19" spans="1:2" x14ac:dyDescent="0.25">
      <c r="A19" s="4">
        <v>16</v>
      </c>
      <c r="B19" s="5">
        <v>84.600000000000009</v>
      </c>
    </row>
    <row r="20" spans="1:2" ht="15.75" x14ac:dyDescent="0.25">
      <c r="A20" s="3">
        <v>17</v>
      </c>
      <c r="B20" s="6">
        <v>85.666666666666671</v>
      </c>
    </row>
    <row r="21" spans="1:2" ht="15.75" x14ac:dyDescent="0.25">
      <c r="A21" s="3">
        <v>18</v>
      </c>
      <c r="B21" s="5">
        <v>85.733333333333334</v>
      </c>
    </row>
    <row r="22" spans="1:2" x14ac:dyDescent="0.25">
      <c r="A22" s="4">
        <v>19</v>
      </c>
      <c r="B22" s="5">
        <v>86</v>
      </c>
    </row>
    <row r="23" spans="1:2" ht="15.75" x14ac:dyDescent="0.25">
      <c r="A23" s="3">
        <v>20</v>
      </c>
      <c r="B23" s="5">
        <v>86.133333333333326</v>
      </c>
    </row>
    <row r="24" spans="1:2" ht="15.75" x14ac:dyDescent="0.25">
      <c r="A24" s="3">
        <v>21</v>
      </c>
      <c r="B24" s="5">
        <v>86.333333333333329</v>
      </c>
    </row>
    <row r="25" spans="1:2" x14ac:dyDescent="0.25">
      <c r="A25" s="4">
        <v>22</v>
      </c>
      <c r="B25" s="6">
        <v>86.333333333333329</v>
      </c>
    </row>
    <row r="26" spans="1:2" ht="15.75" x14ac:dyDescent="0.25">
      <c r="A26" s="3">
        <v>23</v>
      </c>
      <c r="B26" s="5">
        <v>86.666666666666671</v>
      </c>
    </row>
    <row r="27" spans="1:2" ht="15.75" x14ac:dyDescent="0.25">
      <c r="A27" s="3">
        <v>24</v>
      </c>
      <c r="B27" s="6">
        <v>87</v>
      </c>
    </row>
    <row r="28" spans="1:2" x14ac:dyDescent="0.25">
      <c r="A28" s="4">
        <v>25</v>
      </c>
      <c r="B28" s="6">
        <v>88.666666666666671</v>
      </c>
    </row>
    <row r="29" spans="1:2" ht="15.75" x14ac:dyDescent="0.25">
      <c r="A29" s="3">
        <v>26</v>
      </c>
      <c r="B29" s="5">
        <v>89.266666666666666</v>
      </c>
    </row>
    <row r="30" spans="1:2" ht="15.75" x14ac:dyDescent="0.25">
      <c r="A30" s="3">
        <v>27</v>
      </c>
      <c r="B30" s="5">
        <v>89.466666666666654</v>
      </c>
    </row>
    <row r="31" spans="1:2" x14ac:dyDescent="0.25">
      <c r="A31" s="4">
        <v>28</v>
      </c>
      <c r="B31" s="5">
        <v>89.8</v>
      </c>
    </row>
    <row r="32" spans="1:2" ht="15.75" x14ac:dyDescent="0.25">
      <c r="A32" s="3">
        <v>29</v>
      </c>
      <c r="B32" s="5">
        <v>89.933333333333337</v>
      </c>
    </row>
    <row r="33" spans="1:9" ht="15.75" x14ac:dyDescent="0.25">
      <c r="A33" s="3">
        <v>30</v>
      </c>
      <c r="B33" s="5">
        <v>90.666666666666671</v>
      </c>
    </row>
    <row r="34" spans="1:9" x14ac:dyDescent="0.25">
      <c r="A34" s="4">
        <v>31</v>
      </c>
      <c r="B34" s="5">
        <v>90.8</v>
      </c>
    </row>
    <row r="35" spans="1:9" ht="16.5" thickBot="1" x14ac:dyDescent="0.3">
      <c r="A35" s="3">
        <v>32</v>
      </c>
      <c r="B35" s="5">
        <v>90.866666666666674</v>
      </c>
    </row>
    <row r="36" spans="1:9" ht="15.75" x14ac:dyDescent="0.25">
      <c r="A36" s="3">
        <v>33</v>
      </c>
      <c r="B36" s="5">
        <v>91.066666666666663</v>
      </c>
      <c r="H36" s="35" t="s">
        <v>63</v>
      </c>
      <c r="I36" s="35"/>
    </row>
    <row r="37" spans="1:9" x14ac:dyDescent="0.25">
      <c r="A37" s="4">
        <v>34</v>
      </c>
      <c r="B37" s="5">
        <v>91.533333333333346</v>
      </c>
      <c r="H37" s="33"/>
      <c r="I37" s="33"/>
    </row>
    <row r="38" spans="1:9" ht="15.75" x14ac:dyDescent="0.25">
      <c r="A38" s="3">
        <v>35</v>
      </c>
      <c r="B38" s="5">
        <v>91.533333333333346</v>
      </c>
      <c r="H38" s="33" t="s">
        <v>64</v>
      </c>
      <c r="I38" s="33">
        <v>85.705333333333328</v>
      </c>
    </row>
    <row r="39" spans="1:9" ht="15.75" x14ac:dyDescent="0.25">
      <c r="A39" s="3">
        <v>36</v>
      </c>
      <c r="B39" s="5">
        <v>92</v>
      </c>
      <c r="H39" s="33" t="s">
        <v>65</v>
      </c>
      <c r="I39" s="33">
        <v>1.4179120928138926</v>
      </c>
    </row>
    <row r="40" spans="1:9" x14ac:dyDescent="0.25">
      <c r="A40" s="4">
        <v>37</v>
      </c>
      <c r="B40" s="5">
        <v>92.333333333333329</v>
      </c>
      <c r="H40" s="33" t="s">
        <v>66</v>
      </c>
      <c r="I40" s="33">
        <v>88.966666666666669</v>
      </c>
    </row>
    <row r="41" spans="1:9" ht="15.75" x14ac:dyDescent="0.25">
      <c r="A41" s="3">
        <v>38</v>
      </c>
      <c r="B41" s="5">
        <v>92.733333333333334</v>
      </c>
      <c r="H41" s="33" t="s">
        <v>67</v>
      </c>
      <c r="I41" s="33">
        <v>84.600000000000009</v>
      </c>
    </row>
    <row r="42" spans="1:9" ht="15.75" x14ac:dyDescent="0.25">
      <c r="A42" s="3">
        <v>39</v>
      </c>
      <c r="B42" s="5">
        <v>92.933333333333337</v>
      </c>
      <c r="H42" s="33" t="s">
        <v>68</v>
      </c>
      <c r="I42" s="33">
        <v>10.026152559551129</v>
      </c>
    </row>
    <row r="43" spans="1:9" x14ac:dyDescent="0.25">
      <c r="A43" s="4">
        <v>40</v>
      </c>
      <c r="B43" s="5">
        <v>93.2</v>
      </c>
      <c r="H43" s="33" t="s">
        <v>69</v>
      </c>
      <c r="I43" s="33">
        <v>100.52373514739364</v>
      </c>
    </row>
    <row r="44" spans="1:9" ht="15.75" x14ac:dyDescent="0.25">
      <c r="A44" s="3">
        <v>41</v>
      </c>
      <c r="B44" s="5">
        <v>94</v>
      </c>
      <c r="H44" s="33" t="s">
        <v>70</v>
      </c>
      <c r="I44" s="33">
        <v>1.4547799557831986</v>
      </c>
    </row>
    <row r="45" spans="1:9" ht="15.75" x14ac:dyDescent="0.25">
      <c r="A45" s="3">
        <v>42</v>
      </c>
      <c r="B45" s="5">
        <v>94.066666666666663</v>
      </c>
      <c r="H45" s="33" t="s">
        <v>71</v>
      </c>
      <c r="I45" s="33">
        <v>-1.44069540750446</v>
      </c>
    </row>
    <row r="46" spans="1:9" x14ac:dyDescent="0.25">
      <c r="A46" s="4">
        <v>43</v>
      </c>
      <c r="B46" s="5">
        <v>94.133333333333326</v>
      </c>
      <c r="H46" s="33" t="s">
        <v>72</v>
      </c>
      <c r="I46" s="33">
        <v>40.066666666666663</v>
      </c>
    </row>
    <row r="47" spans="1:9" ht="15.75" x14ac:dyDescent="0.25">
      <c r="A47" s="3">
        <v>44</v>
      </c>
      <c r="B47" s="5">
        <v>94.600000000000009</v>
      </c>
      <c r="H47" s="33" t="s">
        <v>73</v>
      </c>
      <c r="I47" s="33">
        <v>57</v>
      </c>
    </row>
    <row r="48" spans="1:9" ht="15.75" x14ac:dyDescent="0.25">
      <c r="A48" s="3">
        <v>45</v>
      </c>
      <c r="B48" s="5">
        <v>94.866666666666674</v>
      </c>
      <c r="H48" s="33" t="s">
        <v>74</v>
      </c>
      <c r="I48" s="33">
        <v>97.066666666666663</v>
      </c>
    </row>
    <row r="49" spans="1:9" x14ac:dyDescent="0.25">
      <c r="A49" s="4">
        <v>46</v>
      </c>
      <c r="B49" s="5">
        <v>95.066666666666663</v>
      </c>
      <c r="H49" s="33" t="s">
        <v>75</v>
      </c>
      <c r="I49" s="33">
        <v>4285.2666666666664</v>
      </c>
    </row>
    <row r="50" spans="1:9" ht="16.5" thickBot="1" x14ac:dyDescent="0.3">
      <c r="A50" s="3">
        <v>47</v>
      </c>
      <c r="B50" s="6">
        <v>95.666666666666671</v>
      </c>
      <c r="H50" s="34" t="s">
        <v>76</v>
      </c>
      <c r="I50" s="34">
        <v>50</v>
      </c>
    </row>
    <row r="51" spans="1:9" ht="15.75" x14ac:dyDescent="0.25">
      <c r="A51" s="3">
        <v>48</v>
      </c>
      <c r="B51" s="6">
        <v>95.666666666666671</v>
      </c>
      <c r="I51">
        <v>0</v>
      </c>
    </row>
    <row r="52" spans="1:9" x14ac:dyDescent="0.25">
      <c r="A52" s="4">
        <v>49</v>
      </c>
      <c r="B52" s="5">
        <v>96.466666666666654</v>
      </c>
    </row>
    <row r="53" spans="1:9" ht="15.75" x14ac:dyDescent="0.25">
      <c r="A53" s="3">
        <v>50</v>
      </c>
      <c r="B53" s="5">
        <v>97.066666666666663</v>
      </c>
    </row>
  </sheetData>
  <sortState ref="K10">
    <sortCondition ref="K10"/>
  </sortState>
  <mergeCells count="1">
    <mergeCell ref="A1:A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"/>
  <sheetViews>
    <sheetView showGridLines="0" workbookViewId="0">
      <selection activeCell="B10" sqref="B10:K14"/>
    </sheetView>
  </sheetViews>
  <sheetFormatPr defaultRowHeight="15" x14ac:dyDescent="0.25"/>
  <cols>
    <col min="13" max="13" width="9.42578125" customWidth="1"/>
    <col min="14" max="14" width="9.7109375" bestFit="1" customWidth="1"/>
  </cols>
  <sheetData>
    <row r="1" spans="2:19" x14ac:dyDescent="0.25">
      <c r="B1" t="s">
        <v>28</v>
      </c>
      <c r="M1" s="36" t="s">
        <v>31</v>
      </c>
      <c r="N1" s="36"/>
      <c r="O1" s="36"/>
      <c r="P1" s="36"/>
      <c r="Q1" s="36"/>
      <c r="R1" s="36"/>
      <c r="S1" s="36"/>
    </row>
    <row r="2" spans="2:19" x14ac:dyDescent="0.25">
      <c r="B2" s="5">
        <v>90.8</v>
      </c>
      <c r="C2" s="5">
        <v>90.866666666666674</v>
      </c>
      <c r="D2" s="5">
        <v>91.066666666666663</v>
      </c>
      <c r="E2" s="5">
        <v>91.533333333333346</v>
      </c>
      <c r="F2" s="5">
        <v>91.533333333333346</v>
      </c>
      <c r="G2" s="5">
        <v>92</v>
      </c>
      <c r="H2" s="5">
        <v>92.333333333333329</v>
      </c>
      <c r="I2" s="5">
        <v>92.733333333333334</v>
      </c>
      <c r="J2" s="5">
        <v>92.933333333333337</v>
      </c>
      <c r="K2" s="5">
        <v>93.2</v>
      </c>
      <c r="M2" s="36" t="s">
        <v>29</v>
      </c>
      <c r="N2" s="36"/>
      <c r="O2" s="36"/>
      <c r="P2" s="36"/>
      <c r="Q2" s="36"/>
      <c r="R2" s="36"/>
      <c r="S2" s="36"/>
    </row>
    <row r="3" spans="2:19" x14ac:dyDescent="0.25">
      <c r="B3" s="5">
        <v>86.333333333333329</v>
      </c>
      <c r="C3" s="6">
        <v>86.333333333333329</v>
      </c>
      <c r="D3" s="5">
        <v>86.666666666666671</v>
      </c>
      <c r="E3" s="6">
        <v>87</v>
      </c>
      <c r="F3" s="6">
        <v>88.666666666666671</v>
      </c>
      <c r="G3" s="5">
        <v>89.266666666666666</v>
      </c>
      <c r="H3" s="5">
        <v>89.466666666666654</v>
      </c>
      <c r="I3" s="5">
        <v>89.8</v>
      </c>
      <c r="J3" s="5">
        <v>89.933333333333337</v>
      </c>
      <c r="K3" s="5">
        <v>90.666666666666671</v>
      </c>
      <c r="M3" s="36" t="s">
        <v>30</v>
      </c>
      <c r="N3" s="36"/>
      <c r="O3" s="36"/>
      <c r="P3" s="36"/>
      <c r="Q3" s="36">
        <f xml:space="preserve"> 1+ 3.3 * LOG(50)</f>
        <v>6.6066010143088612</v>
      </c>
      <c r="R3" s="37">
        <f>Q3</f>
        <v>6.6066010143088612</v>
      </c>
      <c r="S3" s="36"/>
    </row>
    <row r="4" spans="2:19" x14ac:dyDescent="0.25">
      <c r="B4" s="6">
        <v>80</v>
      </c>
      <c r="C4" s="6">
        <v>80.666666666666671</v>
      </c>
      <c r="D4" s="5">
        <v>83.533333333333331</v>
      </c>
      <c r="E4" s="5">
        <v>84.399999999999991</v>
      </c>
      <c r="F4" s="5">
        <v>84.600000000000009</v>
      </c>
      <c r="G4" s="5">
        <v>84.600000000000009</v>
      </c>
      <c r="H4" s="6">
        <v>85.666666666666671</v>
      </c>
      <c r="I4" s="5">
        <v>85.733333333333334</v>
      </c>
      <c r="J4" s="5">
        <v>86</v>
      </c>
      <c r="K4" s="5">
        <v>86.133333333333326</v>
      </c>
      <c r="M4" s="36" t="s">
        <v>32</v>
      </c>
      <c r="N4" s="36"/>
      <c r="O4" s="36"/>
      <c r="P4" s="36"/>
      <c r="Q4" s="37">
        <f>K14-B10</f>
        <v>40.066666666666663</v>
      </c>
      <c r="R4" s="36"/>
      <c r="S4" s="36"/>
    </row>
    <row r="5" spans="2:19" x14ac:dyDescent="0.25">
      <c r="B5" s="5">
        <v>94</v>
      </c>
      <c r="C5" s="5">
        <v>94.066666666666663</v>
      </c>
      <c r="D5" s="5">
        <v>94.133333333333326</v>
      </c>
      <c r="E5" s="5">
        <v>94.600000000000009</v>
      </c>
      <c r="F5" s="5">
        <v>94.866666666666674</v>
      </c>
      <c r="G5" s="5">
        <v>95.066666666666663</v>
      </c>
      <c r="H5" s="6">
        <v>95.666666666666671</v>
      </c>
      <c r="I5" s="6">
        <v>95.666666666666671</v>
      </c>
      <c r="J5" s="5">
        <v>96.466666666666654</v>
      </c>
      <c r="K5" s="5">
        <v>97.066666666666663</v>
      </c>
      <c r="M5" s="36" t="s">
        <v>33</v>
      </c>
      <c r="N5" s="36"/>
      <c r="O5" s="36"/>
      <c r="P5" s="36"/>
      <c r="Q5" s="36">
        <f>Q4/R3</f>
        <v>6.0646414971766189</v>
      </c>
      <c r="R5" s="37">
        <f>Q5</f>
        <v>6.0646414971766189</v>
      </c>
      <c r="S5" s="36"/>
    </row>
    <row r="6" spans="2:19" x14ac:dyDescent="0.25">
      <c r="B6" s="6">
        <v>57</v>
      </c>
      <c r="C6" s="5">
        <v>60</v>
      </c>
      <c r="D6" s="5">
        <v>62</v>
      </c>
      <c r="E6" s="5">
        <v>63.066666666666663</v>
      </c>
      <c r="F6" s="6">
        <v>66</v>
      </c>
      <c r="G6" s="6">
        <v>70</v>
      </c>
      <c r="H6" s="6">
        <v>74</v>
      </c>
      <c r="I6" s="6">
        <v>78</v>
      </c>
      <c r="J6" s="5">
        <v>79.466666666666669</v>
      </c>
      <c r="K6" s="6">
        <v>79.666666666666671</v>
      </c>
      <c r="M6" s="36"/>
      <c r="N6" s="36"/>
      <c r="O6" s="36"/>
      <c r="P6" s="36"/>
      <c r="Q6" s="36"/>
      <c r="R6" s="36"/>
      <c r="S6" s="36"/>
    </row>
    <row r="7" spans="2:19" x14ac:dyDescent="0.25">
      <c r="M7" s="38" t="s">
        <v>34</v>
      </c>
      <c r="N7" s="38" t="s">
        <v>35</v>
      </c>
      <c r="O7" s="36"/>
      <c r="P7" s="36"/>
      <c r="Q7" s="36"/>
      <c r="R7" s="36"/>
      <c r="S7" s="36"/>
    </row>
    <row r="8" spans="2:19" x14ac:dyDescent="0.25">
      <c r="M8" s="38" t="s">
        <v>36</v>
      </c>
      <c r="N8" s="38">
        <v>3</v>
      </c>
      <c r="O8" s="36"/>
      <c r="P8" s="36"/>
      <c r="Q8" s="36"/>
      <c r="R8" s="36"/>
      <c r="S8" s="36"/>
    </row>
    <row r="9" spans="2:19" x14ac:dyDescent="0.25">
      <c r="B9" t="s">
        <v>27</v>
      </c>
      <c r="M9" s="38" t="s">
        <v>37</v>
      </c>
      <c r="N9" s="38">
        <v>2</v>
      </c>
      <c r="O9" s="36"/>
      <c r="P9" s="36"/>
      <c r="Q9" s="36"/>
      <c r="R9" s="36"/>
      <c r="S9" s="36"/>
    </row>
    <row r="10" spans="2:19" x14ac:dyDescent="0.25">
      <c r="B10" s="6">
        <v>57</v>
      </c>
      <c r="C10" s="5">
        <v>60</v>
      </c>
      <c r="D10" s="5">
        <v>62</v>
      </c>
      <c r="E10" s="5">
        <v>63.066666666666663</v>
      </c>
      <c r="F10" s="6">
        <v>66</v>
      </c>
      <c r="G10" s="6">
        <v>70</v>
      </c>
      <c r="H10" s="6">
        <v>74</v>
      </c>
      <c r="I10" s="6">
        <v>78</v>
      </c>
      <c r="J10" s="5">
        <v>79.466666666666669</v>
      </c>
      <c r="K10" s="6">
        <v>79.666666666666671</v>
      </c>
      <c r="M10" s="38" t="s">
        <v>38</v>
      </c>
      <c r="N10" s="38">
        <v>2</v>
      </c>
      <c r="O10" s="36"/>
      <c r="P10" s="36"/>
      <c r="Q10" s="36"/>
      <c r="R10" s="36"/>
      <c r="S10" s="36"/>
    </row>
    <row r="11" spans="2:19" x14ac:dyDescent="0.25">
      <c r="B11" s="6">
        <v>80</v>
      </c>
      <c r="C11" s="6">
        <v>80.666666666666671</v>
      </c>
      <c r="D11" s="5">
        <v>83.533333333333331</v>
      </c>
      <c r="E11" s="5">
        <v>84.399999999999991</v>
      </c>
      <c r="F11" s="5">
        <v>84.600000000000009</v>
      </c>
      <c r="G11" s="5">
        <v>84.600000000000009</v>
      </c>
      <c r="H11" s="6">
        <v>85.666666666666671</v>
      </c>
      <c r="I11" s="5">
        <v>85.733333333333334</v>
      </c>
      <c r="J11" s="5">
        <v>86</v>
      </c>
      <c r="K11" s="5">
        <v>86.133333333333326</v>
      </c>
      <c r="M11" s="38" t="s">
        <v>39</v>
      </c>
      <c r="N11" s="39">
        <v>4</v>
      </c>
      <c r="O11" s="36"/>
      <c r="P11" s="36"/>
      <c r="Q11" s="36"/>
      <c r="R11" s="36"/>
      <c r="S11" s="36"/>
    </row>
    <row r="12" spans="2:19" x14ac:dyDescent="0.25">
      <c r="B12" s="5">
        <v>86.333333333333329</v>
      </c>
      <c r="C12" s="6">
        <v>86.333333333333329</v>
      </c>
      <c r="D12" s="5">
        <v>86.666666666666671</v>
      </c>
      <c r="E12" s="6">
        <v>87</v>
      </c>
      <c r="F12" s="6">
        <v>88.666666666666671</v>
      </c>
      <c r="G12" s="5">
        <v>89.266666666666666</v>
      </c>
      <c r="H12" s="5">
        <v>89.466666666666654</v>
      </c>
      <c r="I12" s="5">
        <v>89.8</v>
      </c>
      <c r="J12" s="5">
        <v>89.933333333333337</v>
      </c>
      <c r="K12" s="5">
        <v>90.666666666666671</v>
      </c>
      <c r="M12" s="38" t="s">
        <v>40</v>
      </c>
      <c r="N12" s="38">
        <v>11</v>
      </c>
      <c r="O12" s="36"/>
      <c r="P12" s="36"/>
      <c r="Q12" s="36"/>
      <c r="R12" s="36"/>
      <c r="S12" s="36"/>
    </row>
    <row r="13" spans="2:19" x14ac:dyDescent="0.25">
      <c r="B13" s="5">
        <v>90.8</v>
      </c>
      <c r="C13" s="5">
        <v>90.866666666666674</v>
      </c>
      <c r="D13" s="5">
        <v>91.066666666666663</v>
      </c>
      <c r="E13" s="5">
        <v>91.533333333333346</v>
      </c>
      <c r="F13" s="5">
        <v>91.533333333333346</v>
      </c>
      <c r="G13" s="5">
        <v>92</v>
      </c>
      <c r="H13" s="5">
        <v>92.333333333333329</v>
      </c>
      <c r="I13" s="5">
        <v>92.733333333333334</v>
      </c>
      <c r="J13" s="5">
        <v>92.933333333333337</v>
      </c>
      <c r="K13" s="5">
        <v>93.2</v>
      </c>
      <c r="M13" s="38" t="s">
        <v>41</v>
      </c>
      <c r="N13" s="38">
        <v>15</v>
      </c>
      <c r="O13" s="36"/>
      <c r="P13" s="36"/>
      <c r="Q13" s="36"/>
      <c r="R13" s="36"/>
      <c r="S13" s="36"/>
    </row>
    <row r="14" spans="2:19" x14ac:dyDescent="0.25">
      <c r="B14" s="5">
        <v>94</v>
      </c>
      <c r="C14" s="5">
        <v>94.066666666666663</v>
      </c>
      <c r="D14" s="5">
        <v>94.133333333333326</v>
      </c>
      <c r="E14" s="5">
        <v>94.600000000000009</v>
      </c>
      <c r="F14" s="5">
        <v>94.866666666666674</v>
      </c>
      <c r="G14" s="5">
        <v>95.066666666666663</v>
      </c>
      <c r="H14" s="6">
        <v>95.666666666666671</v>
      </c>
      <c r="I14" s="6">
        <v>95.666666666666671</v>
      </c>
      <c r="J14" s="5">
        <v>96.466666666666654</v>
      </c>
      <c r="K14" s="5">
        <v>97.066666666666663</v>
      </c>
      <c r="M14" s="38" t="s">
        <v>42</v>
      </c>
      <c r="N14" s="38">
        <v>13</v>
      </c>
      <c r="O14" s="36"/>
      <c r="P14" s="36"/>
      <c r="Q14" s="36"/>
      <c r="R14" s="36"/>
      <c r="S14" s="36"/>
    </row>
    <row r="15" spans="2:19" x14ac:dyDescent="0.25">
      <c r="M15" s="38" t="s">
        <v>14</v>
      </c>
      <c r="N15" s="38">
        <f>SUM(N8:N14)</f>
        <v>50</v>
      </c>
      <c r="O15" s="36"/>
      <c r="P15" s="36"/>
      <c r="Q15" s="36"/>
      <c r="R15" s="36"/>
      <c r="S15" s="36"/>
    </row>
    <row r="17" spans="14:15" x14ac:dyDescent="0.25">
      <c r="N17" s="36"/>
      <c r="O1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55"/>
  <sheetViews>
    <sheetView workbookViewId="0">
      <selection activeCell="I12" sqref="I12"/>
    </sheetView>
  </sheetViews>
  <sheetFormatPr defaultRowHeight="15" x14ac:dyDescent="0.25"/>
  <cols>
    <col min="4" max="4" width="11.42578125" bestFit="1" customWidth="1"/>
    <col min="6" max="6" width="9.42578125" customWidth="1"/>
    <col min="7" max="7" width="14.28515625" customWidth="1"/>
    <col min="13" max="13" width="21.140625" style="40" customWidth="1"/>
    <col min="16" max="16" width="9.140625" style="40"/>
  </cols>
  <sheetData>
    <row r="2" spans="2:18" s="2" customFormat="1" x14ac:dyDescent="0.25">
      <c r="M2" s="40"/>
      <c r="P2" s="40" t="s">
        <v>45</v>
      </c>
      <c r="R2" s="2" t="s">
        <v>78</v>
      </c>
    </row>
    <row r="3" spans="2:18" s="2" customFormat="1" x14ac:dyDescent="0.25">
      <c r="M3" s="40">
        <f>SUM(L5:L54)/50</f>
        <v>85.705333333333328</v>
      </c>
      <c r="N3"/>
      <c r="P3" s="40">
        <f>SUM(M5:M54)/50</f>
        <v>7.3729600000000017</v>
      </c>
      <c r="R3" s="2">
        <f>AVEDEV(L5:L54)</f>
        <v>7.3729600000000017</v>
      </c>
    </row>
    <row r="4" spans="2:18" s="2" customFormat="1" x14ac:dyDescent="0.25">
      <c r="P4" s="40"/>
    </row>
    <row r="5" spans="2:18" ht="18.75" customHeight="1" x14ac:dyDescent="0.25">
      <c r="B5" s="15" t="s">
        <v>34</v>
      </c>
      <c r="C5" s="15" t="s">
        <v>18</v>
      </c>
      <c r="D5" s="16" t="s">
        <v>43</v>
      </c>
      <c r="E5" s="16" t="s">
        <v>44</v>
      </c>
      <c r="F5" s="16"/>
      <c r="G5" s="16"/>
      <c r="L5" s="6">
        <v>57</v>
      </c>
      <c r="M5" s="44">
        <f>ABS(L5-$M$3)</f>
        <v>28.705333333333328</v>
      </c>
    </row>
    <row r="6" spans="2:18" x14ac:dyDescent="0.25">
      <c r="B6" s="15" t="s">
        <v>36</v>
      </c>
      <c r="C6" s="15">
        <v>3</v>
      </c>
      <c r="D6" s="16">
        <f>(62+57)/2</f>
        <v>59.5</v>
      </c>
      <c r="E6" s="16">
        <f>C6*D6</f>
        <v>178.5</v>
      </c>
      <c r="F6" s="16">
        <f>(ABS(D6-$D$16))</f>
        <v>25.799999999999997</v>
      </c>
      <c r="G6" s="16">
        <f>C6*F6</f>
        <v>77.399999999999991</v>
      </c>
      <c r="L6" s="5">
        <v>60</v>
      </c>
      <c r="M6" s="44">
        <f t="shared" ref="M6:M54" si="0">ABS(L6-$M$3)</f>
        <v>25.705333333333328</v>
      </c>
    </row>
    <row r="7" spans="2:18" x14ac:dyDescent="0.25">
      <c r="B7" s="15" t="s">
        <v>37</v>
      </c>
      <c r="C7" s="15">
        <v>2</v>
      </c>
      <c r="D7" s="16">
        <f>(68 + 63)/2</f>
        <v>65.5</v>
      </c>
      <c r="E7" s="16">
        <f t="shared" ref="E7:E12" si="1">C7*D7</f>
        <v>131</v>
      </c>
      <c r="F7" s="16">
        <f t="shared" ref="F7:F12" si="2">(ABS(D7-$D$16))</f>
        <v>19.799999999999997</v>
      </c>
      <c r="G7" s="16">
        <f t="shared" ref="G7:G12" si="3">C7*F7</f>
        <v>39.599999999999994</v>
      </c>
      <c r="L7" s="5">
        <v>62</v>
      </c>
      <c r="M7" s="44">
        <f t="shared" si="0"/>
        <v>23.705333333333328</v>
      </c>
    </row>
    <row r="8" spans="2:18" x14ac:dyDescent="0.25">
      <c r="B8" s="15" t="s">
        <v>38</v>
      </c>
      <c r="C8" s="15">
        <v>2</v>
      </c>
      <c r="D8" s="16">
        <f>(74 + 69)/2</f>
        <v>71.5</v>
      </c>
      <c r="E8" s="16">
        <f t="shared" si="1"/>
        <v>143</v>
      </c>
      <c r="F8" s="16">
        <f t="shared" si="2"/>
        <v>13.799999999999997</v>
      </c>
      <c r="G8" s="16">
        <f t="shared" si="3"/>
        <v>27.599999999999994</v>
      </c>
      <c r="L8" s="5">
        <v>63.066666666666663</v>
      </c>
      <c r="M8" s="44">
        <f t="shared" si="0"/>
        <v>22.638666666666666</v>
      </c>
    </row>
    <row r="9" spans="2:18" x14ac:dyDescent="0.25">
      <c r="B9" s="15" t="s">
        <v>39</v>
      </c>
      <c r="C9" s="5">
        <v>4</v>
      </c>
      <c r="D9" s="16">
        <f>(80 + 75)/ 2</f>
        <v>77.5</v>
      </c>
      <c r="E9" s="16">
        <f t="shared" si="1"/>
        <v>310</v>
      </c>
      <c r="F9" s="16">
        <f t="shared" si="2"/>
        <v>7.7999999999999972</v>
      </c>
      <c r="G9" s="16">
        <f t="shared" si="3"/>
        <v>31.199999999999989</v>
      </c>
      <c r="L9" s="6">
        <v>66</v>
      </c>
      <c r="M9" s="44">
        <f t="shared" si="0"/>
        <v>19.705333333333328</v>
      </c>
    </row>
    <row r="10" spans="2:18" x14ac:dyDescent="0.25">
      <c r="B10" s="15" t="s">
        <v>40</v>
      </c>
      <c r="C10" s="15">
        <v>11</v>
      </c>
      <c r="D10" s="16">
        <f>(81+86)/2</f>
        <v>83.5</v>
      </c>
      <c r="E10" s="16">
        <f t="shared" si="1"/>
        <v>918.5</v>
      </c>
      <c r="F10" s="16">
        <f t="shared" si="2"/>
        <v>1.7999999999999972</v>
      </c>
      <c r="G10" s="16">
        <f t="shared" si="3"/>
        <v>19.799999999999969</v>
      </c>
      <c r="L10" s="6">
        <v>70</v>
      </c>
      <c r="M10" s="44">
        <f t="shared" si="0"/>
        <v>15.705333333333328</v>
      </c>
    </row>
    <row r="11" spans="2:18" x14ac:dyDescent="0.25">
      <c r="B11" s="15" t="s">
        <v>41</v>
      </c>
      <c r="C11" s="15">
        <v>15</v>
      </c>
      <c r="D11" s="16">
        <f>(87+92)/2</f>
        <v>89.5</v>
      </c>
      <c r="E11" s="16">
        <f t="shared" si="1"/>
        <v>1342.5</v>
      </c>
      <c r="F11" s="16">
        <f t="shared" si="2"/>
        <v>4.2000000000000028</v>
      </c>
      <c r="G11" s="16">
        <f t="shared" si="3"/>
        <v>63.000000000000043</v>
      </c>
      <c r="L11" s="6">
        <v>74</v>
      </c>
      <c r="M11" s="44">
        <f t="shared" si="0"/>
        <v>11.705333333333328</v>
      </c>
    </row>
    <row r="12" spans="2:18" x14ac:dyDescent="0.25">
      <c r="B12" s="15" t="s">
        <v>42</v>
      </c>
      <c r="C12" s="15">
        <v>13</v>
      </c>
      <c r="D12" s="16">
        <f>(93+98)/2</f>
        <v>95.5</v>
      </c>
      <c r="E12" s="16">
        <f t="shared" si="1"/>
        <v>1241.5</v>
      </c>
      <c r="F12" s="16">
        <f t="shared" si="2"/>
        <v>10.200000000000003</v>
      </c>
      <c r="G12" s="16">
        <f t="shared" si="3"/>
        <v>132.60000000000002</v>
      </c>
      <c r="L12" s="6">
        <v>78</v>
      </c>
      <c r="M12" s="44">
        <f t="shared" si="0"/>
        <v>7.7053333333333285</v>
      </c>
    </row>
    <row r="13" spans="2:18" x14ac:dyDescent="0.25">
      <c r="B13" s="15" t="s">
        <v>14</v>
      </c>
      <c r="C13" s="15">
        <f>SUM(C6:C12)</f>
        <v>50</v>
      </c>
      <c r="D13" s="16"/>
      <c r="E13" s="16">
        <f>SUM(E6:E12)</f>
        <v>4265</v>
      </c>
      <c r="F13" s="16"/>
      <c r="G13" s="16">
        <f>SUM(G6:G12)</f>
        <v>391.2</v>
      </c>
      <c r="L13" s="5">
        <v>79.466666666666669</v>
      </c>
      <c r="M13" s="44">
        <f t="shared" si="0"/>
        <v>6.2386666666666599</v>
      </c>
    </row>
    <row r="14" spans="2:18" x14ac:dyDescent="0.25">
      <c r="L14" s="6">
        <v>79.666666666666671</v>
      </c>
      <c r="M14" s="44">
        <f t="shared" si="0"/>
        <v>6.0386666666666571</v>
      </c>
    </row>
    <row r="15" spans="2:18" x14ac:dyDescent="0.25">
      <c r="L15" s="6">
        <v>80</v>
      </c>
      <c r="M15" s="44">
        <f t="shared" si="0"/>
        <v>5.7053333333333285</v>
      </c>
    </row>
    <row r="16" spans="2:18" x14ac:dyDescent="0.25">
      <c r="D16">
        <f>E13/C13</f>
        <v>85.3</v>
      </c>
      <c r="L16" s="6">
        <v>80.666666666666671</v>
      </c>
      <c r="M16" s="44">
        <f t="shared" si="0"/>
        <v>5.0386666666666571</v>
      </c>
    </row>
    <row r="17" spans="1:13" x14ac:dyDescent="0.25">
      <c r="A17" s="49" t="s">
        <v>46</v>
      </c>
      <c r="B17" s="49"/>
      <c r="C17" s="17" t="s">
        <v>45</v>
      </c>
      <c r="D17">
        <f>G13/C13</f>
        <v>7.8239999999999998</v>
      </c>
      <c r="L17" s="5">
        <v>83.533333333333331</v>
      </c>
      <c r="M17" s="44">
        <f t="shared" si="0"/>
        <v>2.171999999999997</v>
      </c>
    </row>
    <row r="18" spans="1:13" x14ac:dyDescent="0.25">
      <c r="E18" t="s">
        <v>79</v>
      </c>
      <c r="L18" s="5">
        <v>84.399999999999991</v>
      </c>
      <c r="M18" s="44">
        <f t="shared" si="0"/>
        <v>1.305333333333337</v>
      </c>
    </row>
    <row r="19" spans="1:13" x14ac:dyDescent="0.25">
      <c r="B19" t="s">
        <v>80</v>
      </c>
      <c r="L19" s="5">
        <v>84.600000000000009</v>
      </c>
      <c r="M19" s="44">
        <f t="shared" si="0"/>
        <v>1.10533333333332</v>
      </c>
    </row>
    <row r="20" spans="1:13" x14ac:dyDescent="0.25">
      <c r="L20" s="5">
        <v>84.600000000000009</v>
      </c>
      <c r="M20" s="44">
        <f t="shared" si="0"/>
        <v>1.10533333333332</v>
      </c>
    </row>
    <row r="21" spans="1:13" x14ac:dyDescent="0.25">
      <c r="L21" s="6">
        <v>85.666666666666671</v>
      </c>
      <c r="M21" s="44">
        <f t="shared" si="0"/>
        <v>3.8666666666657079E-2</v>
      </c>
    </row>
    <row r="22" spans="1:13" x14ac:dyDescent="0.25">
      <c r="L22" s="5">
        <v>85.733333333333334</v>
      </c>
      <c r="M22" s="44">
        <f t="shared" si="0"/>
        <v>2.8000000000005798E-2</v>
      </c>
    </row>
    <row r="23" spans="1:13" x14ac:dyDescent="0.25">
      <c r="L23" s="5">
        <v>86</v>
      </c>
      <c r="M23" s="44">
        <f t="shared" si="0"/>
        <v>0.29466666666667152</v>
      </c>
    </row>
    <row r="24" spans="1:13" x14ac:dyDescent="0.25">
      <c r="L24" s="5">
        <v>86.133333333333326</v>
      </c>
      <c r="M24" s="44">
        <f t="shared" si="0"/>
        <v>0.42799999999999727</v>
      </c>
    </row>
    <row r="25" spans="1:13" x14ac:dyDescent="0.25">
      <c r="L25" s="5">
        <v>86.333333333333329</v>
      </c>
      <c r="M25" s="44">
        <f t="shared" si="0"/>
        <v>0.62800000000000011</v>
      </c>
    </row>
    <row r="26" spans="1:13" x14ac:dyDescent="0.25">
      <c r="L26" s="6">
        <v>86.333333333333329</v>
      </c>
      <c r="M26" s="44">
        <f t="shared" si="0"/>
        <v>0.62800000000000011</v>
      </c>
    </row>
    <row r="27" spans="1:13" x14ac:dyDescent="0.25">
      <c r="L27" s="5">
        <v>86.666666666666671</v>
      </c>
      <c r="M27" s="44">
        <f t="shared" si="0"/>
        <v>0.96133333333334292</v>
      </c>
    </row>
    <row r="28" spans="1:13" x14ac:dyDescent="0.25">
      <c r="L28" s="6">
        <v>87</v>
      </c>
      <c r="M28" s="44">
        <f t="shared" si="0"/>
        <v>1.2946666666666715</v>
      </c>
    </row>
    <row r="29" spans="1:13" x14ac:dyDescent="0.25">
      <c r="L29" s="6">
        <v>88.666666666666671</v>
      </c>
      <c r="M29" s="44">
        <f t="shared" si="0"/>
        <v>2.9613333333333429</v>
      </c>
    </row>
    <row r="30" spans="1:13" x14ac:dyDescent="0.25">
      <c r="L30" s="5">
        <v>89.266666666666666</v>
      </c>
      <c r="M30" s="44">
        <f t="shared" si="0"/>
        <v>3.5613333333333372</v>
      </c>
    </row>
    <row r="31" spans="1:13" x14ac:dyDescent="0.25">
      <c r="L31" s="5">
        <v>89.466666666666654</v>
      </c>
      <c r="M31" s="44">
        <f t="shared" si="0"/>
        <v>3.7613333333333259</v>
      </c>
    </row>
    <row r="32" spans="1:13" x14ac:dyDescent="0.25">
      <c r="L32" s="5">
        <v>89.8</v>
      </c>
      <c r="M32" s="44">
        <f t="shared" si="0"/>
        <v>4.0946666666666687</v>
      </c>
    </row>
    <row r="33" spans="12:13" x14ac:dyDescent="0.25">
      <c r="L33" s="5">
        <v>89.933333333333337</v>
      </c>
      <c r="M33" s="44">
        <f t="shared" si="0"/>
        <v>4.2280000000000086</v>
      </c>
    </row>
    <row r="34" spans="12:13" x14ac:dyDescent="0.25">
      <c r="L34" s="5">
        <v>90.666666666666671</v>
      </c>
      <c r="M34" s="44">
        <f t="shared" si="0"/>
        <v>4.9613333333333429</v>
      </c>
    </row>
    <row r="35" spans="12:13" x14ac:dyDescent="0.25">
      <c r="L35" s="5">
        <v>90.8</v>
      </c>
      <c r="M35" s="44">
        <f t="shared" si="0"/>
        <v>5.0946666666666687</v>
      </c>
    </row>
    <row r="36" spans="12:13" x14ac:dyDescent="0.25">
      <c r="L36" s="5">
        <v>90.866666666666674</v>
      </c>
      <c r="M36" s="44">
        <f t="shared" si="0"/>
        <v>5.1613333333333458</v>
      </c>
    </row>
    <row r="37" spans="12:13" x14ac:dyDescent="0.25">
      <c r="L37" s="5">
        <v>91.066666666666663</v>
      </c>
      <c r="M37" s="44">
        <f t="shared" si="0"/>
        <v>5.3613333333333344</v>
      </c>
    </row>
    <row r="38" spans="12:13" x14ac:dyDescent="0.25">
      <c r="L38" s="5">
        <v>91.533333333333346</v>
      </c>
      <c r="M38" s="44">
        <f t="shared" si="0"/>
        <v>5.8280000000000172</v>
      </c>
    </row>
    <row r="39" spans="12:13" x14ac:dyDescent="0.25">
      <c r="L39" s="5">
        <v>91.533333333333346</v>
      </c>
      <c r="M39" s="44">
        <f t="shared" si="0"/>
        <v>5.8280000000000172</v>
      </c>
    </row>
    <row r="40" spans="12:13" x14ac:dyDescent="0.25">
      <c r="L40" s="5">
        <v>92</v>
      </c>
      <c r="M40" s="44">
        <f t="shared" si="0"/>
        <v>6.2946666666666715</v>
      </c>
    </row>
    <row r="41" spans="12:13" x14ac:dyDescent="0.25">
      <c r="L41" s="5">
        <v>92.333333333333329</v>
      </c>
      <c r="M41" s="44">
        <f t="shared" si="0"/>
        <v>6.6280000000000001</v>
      </c>
    </row>
    <row r="42" spans="12:13" x14ac:dyDescent="0.25">
      <c r="L42" s="5">
        <v>92.733333333333334</v>
      </c>
      <c r="M42" s="44">
        <f t="shared" si="0"/>
        <v>7.0280000000000058</v>
      </c>
    </row>
    <row r="43" spans="12:13" x14ac:dyDescent="0.25">
      <c r="L43" s="5">
        <v>92.933333333333337</v>
      </c>
      <c r="M43" s="44">
        <f t="shared" si="0"/>
        <v>7.2280000000000086</v>
      </c>
    </row>
    <row r="44" spans="12:13" x14ac:dyDescent="0.25">
      <c r="L44" s="5">
        <v>93.2</v>
      </c>
      <c r="M44" s="44">
        <f t="shared" si="0"/>
        <v>7.4946666666666744</v>
      </c>
    </row>
    <row r="45" spans="12:13" x14ac:dyDescent="0.25">
      <c r="L45" s="5">
        <v>94</v>
      </c>
      <c r="M45" s="44">
        <f t="shared" si="0"/>
        <v>8.2946666666666715</v>
      </c>
    </row>
    <row r="46" spans="12:13" x14ac:dyDescent="0.25">
      <c r="L46" s="5">
        <v>94.066666666666663</v>
      </c>
      <c r="M46" s="44">
        <f t="shared" si="0"/>
        <v>8.3613333333333344</v>
      </c>
    </row>
    <row r="47" spans="12:13" x14ac:dyDescent="0.25">
      <c r="L47" s="5">
        <v>94.133333333333326</v>
      </c>
      <c r="M47" s="44">
        <f t="shared" si="0"/>
        <v>8.4279999999999973</v>
      </c>
    </row>
    <row r="48" spans="12:13" x14ac:dyDescent="0.25">
      <c r="L48" s="5">
        <v>94.600000000000009</v>
      </c>
      <c r="M48" s="44">
        <f t="shared" si="0"/>
        <v>8.89466666666668</v>
      </c>
    </row>
    <row r="49" spans="12:13" x14ac:dyDescent="0.25">
      <c r="L49" s="5">
        <v>94.866666666666674</v>
      </c>
      <c r="M49" s="44">
        <f t="shared" si="0"/>
        <v>9.1613333333333458</v>
      </c>
    </row>
    <row r="50" spans="12:13" x14ac:dyDescent="0.25">
      <c r="L50" s="5">
        <v>95.066666666666663</v>
      </c>
      <c r="M50" s="44">
        <f t="shared" si="0"/>
        <v>9.3613333333333344</v>
      </c>
    </row>
    <row r="51" spans="12:13" x14ac:dyDescent="0.25">
      <c r="L51" s="6">
        <v>95.666666666666671</v>
      </c>
      <c r="M51" s="44">
        <f t="shared" si="0"/>
        <v>9.9613333333333429</v>
      </c>
    </row>
    <row r="52" spans="12:13" x14ac:dyDescent="0.25">
      <c r="L52" s="6">
        <v>95.666666666666671</v>
      </c>
      <c r="M52" s="44">
        <f t="shared" si="0"/>
        <v>9.9613333333333429</v>
      </c>
    </row>
    <row r="53" spans="12:13" x14ac:dyDescent="0.25">
      <c r="L53" s="5">
        <v>96.466666666666654</v>
      </c>
      <c r="M53" s="44">
        <f t="shared" si="0"/>
        <v>10.761333333333326</v>
      </c>
    </row>
    <row r="54" spans="12:13" x14ac:dyDescent="0.25">
      <c r="L54" s="5">
        <v>97.066666666666663</v>
      </c>
      <c r="M54" s="44">
        <f t="shared" si="0"/>
        <v>11.361333333333334</v>
      </c>
    </row>
    <row r="55" spans="12:13" x14ac:dyDescent="0.25">
      <c r="L55" s="45">
        <f>SUM(L5:L54)</f>
        <v>4285.2666666666664</v>
      </c>
      <c r="M55" s="46">
        <f>SUM(M5:M54)</f>
        <v>368.64800000000008</v>
      </c>
    </row>
  </sheetData>
  <mergeCells count="1">
    <mergeCell ref="A17:B1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R53"/>
  <sheetViews>
    <sheetView topLeftCell="A33" workbookViewId="0">
      <selection activeCell="N44" sqref="N44:N53"/>
    </sheetView>
  </sheetViews>
  <sheetFormatPr defaultRowHeight="15" x14ac:dyDescent="0.25"/>
  <cols>
    <col min="1" max="8" width="9.140625" style="2"/>
    <col min="9" max="9" width="12.7109375" style="2" bestFit="1" customWidth="1"/>
    <col min="10" max="16" width="9.140625" style="2"/>
    <col min="17" max="17" width="14.85546875" style="2" customWidth="1"/>
    <col min="18" max="16384" width="9.140625" style="2"/>
  </cols>
  <sheetData>
    <row r="3" spans="1:18" x14ac:dyDescent="0.25">
      <c r="O3" s="2" t="s">
        <v>82</v>
      </c>
      <c r="Q3" s="2" t="s">
        <v>83</v>
      </c>
      <c r="R3" s="2" t="s">
        <v>81</v>
      </c>
    </row>
    <row r="4" spans="1:18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  <c r="N4" s="6">
        <v>57</v>
      </c>
      <c r="O4" s="13">
        <f>SUM(N4:N53)</f>
        <v>4285.2666666666664</v>
      </c>
      <c r="P4" s="13">
        <f t="shared" ref="P4:P35" si="0">N4^2</f>
        <v>3249</v>
      </c>
      <c r="Q4" s="13">
        <f>SUM(P4:P53)</f>
        <v>372195.87111111113</v>
      </c>
      <c r="R4" s="13">
        <f>O4^2</f>
        <v>18363510.404444441</v>
      </c>
    </row>
    <row r="5" spans="1:18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  <c r="N5" s="5">
        <v>60</v>
      </c>
      <c r="P5" s="13">
        <f t="shared" si="0"/>
        <v>3600</v>
      </c>
    </row>
    <row r="6" spans="1:18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1">C6*D6</f>
        <v>131</v>
      </c>
      <c r="F6" s="16">
        <f t="shared" ref="F6:F11" si="2">(ABS(D6-$D$16))</f>
        <v>65.5</v>
      </c>
      <c r="L6" s="2">
        <f>50*Q4</f>
        <v>18609793.555555556</v>
      </c>
      <c r="N6" s="5">
        <v>62</v>
      </c>
      <c r="P6" s="13">
        <f t="shared" si="0"/>
        <v>3844</v>
      </c>
    </row>
    <row r="7" spans="1:18" ht="23.25" x14ac:dyDescent="0.35">
      <c r="B7" s="15" t="s">
        <v>38</v>
      </c>
      <c r="C7" s="15">
        <v>2</v>
      </c>
      <c r="D7" s="16">
        <f>(74 + 69)/2</f>
        <v>71.5</v>
      </c>
      <c r="E7" s="16">
        <f t="shared" si="1"/>
        <v>143</v>
      </c>
      <c r="F7" s="16">
        <f t="shared" si="2"/>
        <v>71.5</v>
      </c>
      <c r="H7" s="19" t="s">
        <v>49</v>
      </c>
      <c r="I7" s="18">
        <f>(C12*(F12^2))/(C12-1)</f>
        <v>300312.5</v>
      </c>
      <c r="L7" s="13">
        <f>L6-R4</f>
        <v>246283.15111111477</v>
      </c>
      <c r="N7" s="5">
        <v>63.066666666666663</v>
      </c>
      <c r="P7" s="13">
        <f t="shared" si="0"/>
        <v>3977.4044444444439</v>
      </c>
    </row>
    <row r="8" spans="1:18" x14ac:dyDescent="0.25">
      <c r="B8" s="15" t="s">
        <v>39</v>
      </c>
      <c r="C8" s="5">
        <v>4</v>
      </c>
      <c r="D8" s="16">
        <f>(80 + 75)/ 2</f>
        <v>77.5</v>
      </c>
      <c r="E8" s="16">
        <f t="shared" si="1"/>
        <v>310</v>
      </c>
      <c r="F8" s="16">
        <f t="shared" si="2"/>
        <v>77.5</v>
      </c>
      <c r="N8" s="6">
        <v>66</v>
      </c>
      <c r="P8" s="13">
        <f t="shared" si="0"/>
        <v>4356</v>
      </c>
    </row>
    <row r="9" spans="1:18" ht="18.75" x14ac:dyDescent="0.3">
      <c r="B9" s="15" t="s">
        <v>40</v>
      </c>
      <c r="C9" s="15">
        <v>11</v>
      </c>
      <c r="D9" s="16">
        <f>(81+86)/2</f>
        <v>83.5</v>
      </c>
      <c r="E9" s="16">
        <f t="shared" si="1"/>
        <v>918.5</v>
      </c>
      <c r="F9" s="16">
        <f t="shared" si="2"/>
        <v>83.5</v>
      </c>
      <c r="H9" s="18" t="s">
        <v>84</v>
      </c>
      <c r="I9" s="2">
        <f>((50*Variansi!Q4)-Variansi!R4)/(50*49)</f>
        <v>100.52373514739378</v>
      </c>
      <c r="N9" s="6">
        <v>70</v>
      </c>
      <c r="P9" s="13">
        <f t="shared" si="0"/>
        <v>4900</v>
      </c>
    </row>
    <row r="10" spans="1:18" x14ac:dyDescent="0.25">
      <c r="B10" s="15" t="s">
        <v>41</v>
      </c>
      <c r="C10" s="15">
        <v>15</v>
      </c>
      <c r="D10" s="16">
        <f>(87+92)/2</f>
        <v>89.5</v>
      </c>
      <c r="E10" s="16">
        <f t="shared" si="1"/>
        <v>1342.5</v>
      </c>
      <c r="F10" s="16">
        <f t="shared" si="2"/>
        <v>89.5</v>
      </c>
      <c r="N10" s="6">
        <v>74</v>
      </c>
      <c r="P10" s="13">
        <f t="shared" si="0"/>
        <v>5476</v>
      </c>
    </row>
    <row r="11" spans="1:18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1"/>
        <v>1241.5</v>
      </c>
      <c r="F11" s="16">
        <f t="shared" si="2"/>
        <v>95.5</v>
      </c>
      <c r="H11" s="18" t="s">
        <v>85</v>
      </c>
      <c r="I11" s="2">
        <f>SQRT(I9)</f>
        <v>10.026152559551136</v>
      </c>
      <c r="N11" s="6">
        <v>78</v>
      </c>
      <c r="P11" s="13">
        <f t="shared" si="0"/>
        <v>6084</v>
      </c>
    </row>
    <row r="12" spans="1:18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  <c r="N12" s="5">
        <v>79.466666666666669</v>
      </c>
      <c r="P12" s="13">
        <f t="shared" si="0"/>
        <v>6314.9511111111115</v>
      </c>
    </row>
    <row r="13" spans="1:18" ht="18.75" x14ac:dyDescent="0.3">
      <c r="H13" s="18"/>
      <c r="N13" s="6">
        <v>79.666666666666671</v>
      </c>
      <c r="P13" s="13">
        <f t="shared" si="0"/>
        <v>6346.7777777777783</v>
      </c>
    </row>
    <row r="14" spans="1:18" x14ac:dyDescent="0.25">
      <c r="N14" s="6">
        <v>80</v>
      </c>
      <c r="P14" s="13">
        <f t="shared" si="0"/>
        <v>6400</v>
      </c>
    </row>
    <row r="15" spans="1:18" x14ac:dyDescent="0.25">
      <c r="A15" s="2" t="s">
        <v>98</v>
      </c>
      <c r="N15" s="6">
        <v>80.666666666666671</v>
      </c>
      <c r="P15" s="13">
        <f t="shared" si="0"/>
        <v>6507.1111111111122</v>
      </c>
    </row>
    <row r="16" spans="1:18" x14ac:dyDescent="0.25">
      <c r="N16" s="5">
        <v>83.533333333333331</v>
      </c>
      <c r="P16" s="13">
        <f t="shared" si="0"/>
        <v>6977.8177777777773</v>
      </c>
    </row>
    <row r="17" spans="14:16" x14ac:dyDescent="0.25">
      <c r="N17" s="5">
        <v>84.399999999999991</v>
      </c>
      <c r="P17" s="13">
        <f t="shared" si="0"/>
        <v>7123.3599999999988</v>
      </c>
    </row>
    <row r="18" spans="14:16" x14ac:dyDescent="0.25">
      <c r="N18" s="5">
        <v>84.600000000000009</v>
      </c>
      <c r="P18" s="13">
        <f t="shared" si="0"/>
        <v>7157.1600000000017</v>
      </c>
    </row>
    <row r="19" spans="14:16" x14ac:dyDescent="0.25">
      <c r="N19" s="5">
        <v>84.600000000000009</v>
      </c>
      <c r="P19" s="13">
        <f t="shared" si="0"/>
        <v>7157.1600000000017</v>
      </c>
    </row>
    <row r="20" spans="14:16" x14ac:dyDescent="0.25">
      <c r="N20" s="6">
        <v>85.666666666666671</v>
      </c>
      <c r="P20" s="13">
        <f t="shared" si="0"/>
        <v>7338.7777777777783</v>
      </c>
    </row>
    <row r="21" spans="14:16" x14ac:dyDescent="0.25">
      <c r="N21" s="5">
        <v>85.733333333333334</v>
      </c>
      <c r="P21" s="13">
        <f t="shared" si="0"/>
        <v>7350.2044444444446</v>
      </c>
    </row>
    <row r="22" spans="14:16" x14ac:dyDescent="0.25">
      <c r="N22" s="5">
        <v>86</v>
      </c>
      <c r="P22" s="13">
        <f t="shared" si="0"/>
        <v>7396</v>
      </c>
    </row>
    <row r="23" spans="14:16" x14ac:dyDescent="0.25">
      <c r="N23" s="5">
        <v>86.133333333333326</v>
      </c>
      <c r="P23" s="13">
        <f t="shared" si="0"/>
        <v>7418.9511111111096</v>
      </c>
    </row>
    <row r="24" spans="14:16" x14ac:dyDescent="0.25">
      <c r="N24" s="5">
        <v>86.333333333333329</v>
      </c>
      <c r="P24" s="13">
        <f t="shared" si="0"/>
        <v>7453.4444444444434</v>
      </c>
    </row>
    <row r="25" spans="14:16" x14ac:dyDescent="0.25">
      <c r="N25" s="6">
        <v>86.333333333333329</v>
      </c>
      <c r="P25" s="13">
        <f t="shared" si="0"/>
        <v>7453.4444444444434</v>
      </c>
    </row>
    <row r="26" spans="14:16" x14ac:dyDescent="0.25">
      <c r="N26" s="5">
        <v>86.666666666666671</v>
      </c>
      <c r="P26" s="13">
        <f t="shared" si="0"/>
        <v>7511.1111111111122</v>
      </c>
    </row>
    <row r="27" spans="14:16" x14ac:dyDescent="0.25">
      <c r="N27" s="6">
        <v>87</v>
      </c>
      <c r="P27" s="13">
        <f t="shared" si="0"/>
        <v>7569</v>
      </c>
    </row>
    <row r="28" spans="14:16" x14ac:dyDescent="0.25">
      <c r="N28" s="6">
        <v>88.666666666666671</v>
      </c>
      <c r="P28" s="13">
        <f t="shared" si="0"/>
        <v>7861.7777777777783</v>
      </c>
    </row>
    <row r="29" spans="14:16" x14ac:dyDescent="0.25">
      <c r="N29" s="5">
        <v>89.266666666666666</v>
      </c>
      <c r="P29" s="13">
        <f t="shared" si="0"/>
        <v>7968.5377777777776</v>
      </c>
    </row>
    <row r="30" spans="14:16" x14ac:dyDescent="0.25">
      <c r="N30" s="5">
        <v>89.466666666666654</v>
      </c>
      <c r="P30" s="13">
        <f t="shared" si="0"/>
        <v>8004.2844444444427</v>
      </c>
    </row>
    <row r="31" spans="14:16" x14ac:dyDescent="0.25">
      <c r="N31" s="5">
        <v>89.8</v>
      </c>
      <c r="P31" s="13">
        <f t="shared" si="0"/>
        <v>8064.0399999999991</v>
      </c>
    </row>
    <row r="32" spans="14:16" x14ac:dyDescent="0.25">
      <c r="N32" s="5">
        <v>89.933333333333337</v>
      </c>
      <c r="P32" s="13">
        <f t="shared" si="0"/>
        <v>8088.0044444444447</v>
      </c>
    </row>
    <row r="33" spans="14:16" x14ac:dyDescent="0.25">
      <c r="N33" s="5">
        <v>90.666666666666671</v>
      </c>
      <c r="P33" s="13">
        <f t="shared" si="0"/>
        <v>8220.4444444444453</v>
      </c>
    </row>
    <row r="34" spans="14:16" x14ac:dyDescent="0.25">
      <c r="N34" s="5">
        <v>90.8</v>
      </c>
      <c r="P34" s="13">
        <f t="shared" si="0"/>
        <v>8244.64</v>
      </c>
    </row>
    <row r="35" spans="14:16" x14ac:dyDescent="0.25">
      <c r="N35" s="5">
        <v>90.866666666666674</v>
      </c>
      <c r="P35" s="13">
        <f t="shared" si="0"/>
        <v>8256.7511111111126</v>
      </c>
    </row>
    <row r="36" spans="14:16" x14ac:dyDescent="0.25">
      <c r="N36" s="5">
        <v>91.066666666666663</v>
      </c>
      <c r="P36" s="13">
        <f t="shared" ref="P36:P53" si="3">N36^2</f>
        <v>8293.137777777778</v>
      </c>
    </row>
    <row r="37" spans="14:16" x14ac:dyDescent="0.25">
      <c r="N37" s="5">
        <v>91.533333333333346</v>
      </c>
      <c r="P37" s="13">
        <f t="shared" si="3"/>
        <v>8378.3511111111129</v>
      </c>
    </row>
    <row r="38" spans="14:16" x14ac:dyDescent="0.25">
      <c r="N38" s="5">
        <v>91.533333333333346</v>
      </c>
      <c r="P38" s="13">
        <f t="shared" si="3"/>
        <v>8378.3511111111129</v>
      </c>
    </row>
    <row r="39" spans="14:16" x14ac:dyDescent="0.25">
      <c r="N39" s="5">
        <v>92</v>
      </c>
      <c r="P39" s="13">
        <f t="shared" si="3"/>
        <v>8464</v>
      </c>
    </row>
    <row r="40" spans="14:16" x14ac:dyDescent="0.25">
      <c r="N40" s="5">
        <v>92.333333333333329</v>
      </c>
      <c r="P40" s="13">
        <f t="shared" si="3"/>
        <v>8525.4444444444434</v>
      </c>
    </row>
    <row r="41" spans="14:16" x14ac:dyDescent="0.25">
      <c r="N41" s="5">
        <v>92.733333333333334</v>
      </c>
      <c r="P41" s="13">
        <f t="shared" si="3"/>
        <v>8599.4711111111119</v>
      </c>
    </row>
    <row r="42" spans="14:16" x14ac:dyDescent="0.25">
      <c r="N42" s="5">
        <v>92.933333333333337</v>
      </c>
      <c r="P42" s="13">
        <f t="shared" si="3"/>
        <v>8636.6044444444451</v>
      </c>
    </row>
    <row r="43" spans="14:16" x14ac:dyDescent="0.25">
      <c r="N43" s="5">
        <v>93.2</v>
      </c>
      <c r="P43" s="13">
        <f t="shared" si="3"/>
        <v>8686.24</v>
      </c>
    </row>
    <row r="44" spans="14:16" x14ac:dyDescent="0.25">
      <c r="N44" s="5">
        <v>94</v>
      </c>
      <c r="P44" s="13">
        <f t="shared" si="3"/>
        <v>8836</v>
      </c>
    </row>
    <row r="45" spans="14:16" x14ac:dyDescent="0.25">
      <c r="N45" s="5">
        <v>94.066666666666663</v>
      </c>
      <c r="P45" s="13">
        <f t="shared" si="3"/>
        <v>8848.5377777777776</v>
      </c>
    </row>
    <row r="46" spans="14:16" x14ac:dyDescent="0.25">
      <c r="N46" s="5">
        <v>94.133333333333326</v>
      </c>
      <c r="P46" s="13">
        <f t="shared" si="3"/>
        <v>8861.0844444444429</v>
      </c>
    </row>
    <row r="47" spans="14:16" x14ac:dyDescent="0.25">
      <c r="N47" s="5">
        <v>94.600000000000009</v>
      </c>
      <c r="P47" s="13">
        <f t="shared" si="3"/>
        <v>8949.1600000000017</v>
      </c>
    </row>
    <row r="48" spans="14:16" x14ac:dyDescent="0.25">
      <c r="N48" s="5">
        <v>94.866666666666674</v>
      </c>
      <c r="P48" s="13">
        <f t="shared" si="3"/>
        <v>8999.684444444445</v>
      </c>
    </row>
    <row r="49" spans="14:16" x14ac:dyDescent="0.25">
      <c r="N49" s="5">
        <v>95.066666666666663</v>
      </c>
      <c r="P49" s="13">
        <f t="shared" si="3"/>
        <v>9037.6711111111108</v>
      </c>
    </row>
    <row r="50" spans="14:16" x14ac:dyDescent="0.25">
      <c r="N50" s="6">
        <v>95.666666666666671</v>
      </c>
      <c r="P50" s="13">
        <f t="shared" si="3"/>
        <v>9152.1111111111113</v>
      </c>
    </row>
    <row r="51" spans="14:16" x14ac:dyDescent="0.25">
      <c r="N51" s="6">
        <v>95.666666666666671</v>
      </c>
      <c r="P51" s="13">
        <f t="shared" si="3"/>
        <v>9152.1111111111113</v>
      </c>
    </row>
    <row r="52" spans="14:16" x14ac:dyDescent="0.25">
      <c r="N52" s="5">
        <v>96.466666666666654</v>
      </c>
      <c r="P52" s="13">
        <f t="shared" si="3"/>
        <v>9305.8177777777746</v>
      </c>
    </row>
    <row r="53" spans="14:16" x14ac:dyDescent="0.25">
      <c r="N53" s="5">
        <v>97.066666666666663</v>
      </c>
      <c r="P53" s="13">
        <f t="shared" si="3"/>
        <v>9421.9377777777772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17"/>
  <sheetViews>
    <sheetView workbookViewId="0">
      <selection activeCell="D15" sqref="D15"/>
    </sheetView>
  </sheetViews>
  <sheetFormatPr defaultRowHeight="15" x14ac:dyDescent="0.25"/>
  <cols>
    <col min="1" max="8" width="9.140625" style="2"/>
    <col min="9" max="9" width="12.7109375" style="2" bestFit="1" customWidth="1"/>
    <col min="10" max="15" width="9.140625" style="2"/>
    <col min="16" max="16" width="11.140625" style="2" bestFit="1" customWidth="1"/>
    <col min="17" max="16384" width="9.140625" style="2"/>
  </cols>
  <sheetData>
    <row r="4" spans="2:9" x14ac:dyDescent="0.25">
      <c r="B4" s="15" t="s">
        <v>34</v>
      </c>
      <c r="C4" s="15" t="s">
        <v>18</v>
      </c>
      <c r="D4" s="16" t="s">
        <v>43</v>
      </c>
      <c r="E4" s="16" t="s">
        <v>44</v>
      </c>
      <c r="F4" s="16"/>
    </row>
    <row r="5" spans="2:9" x14ac:dyDescent="0.25">
      <c r="B5" s="15" t="s">
        <v>36</v>
      </c>
      <c r="C5" s="15">
        <v>3</v>
      </c>
      <c r="D5" s="16">
        <f>(62+57)/2</f>
        <v>59.5</v>
      </c>
      <c r="E5" s="16">
        <f>C5*D5</f>
        <v>178.5</v>
      </c>
      <c r="F5" s="16">
        <f>(ABS(D5-$D$16))</f>
        <v>59.5</v>
      </c>
    </row>
    <row r="6" spans="2:9" x14ac:dyDescent="0.25">
      <c r="B6" s="15" t="s">
        <v>37</v>
      </c>
      <c r="C6" s="15">
        <v>2</v>
      </c>
      <c r="D6" s="16">
        <f>(68 + 63)/2</f>
        <v>65.5</v>
      </c>
      <c r="E6" s="16">
        <f t="shared" ref="E6:E11" si="0">C6*D6</f>
        <v>131</v>
      </c>
      <c r="F6" s="16">
        <f t="shared" ref="F6:F11" si="1">(ABS(D6-$D$16))</f>
        <v>65.5</v>
      </c>
    </row>
    <row r="7" spans="2:9" ht="17.25" x14ac:dyDescent="0.25">
      <c r="B7" s="15" t="s">
        <v>38</v>
      </c>
      <c r="C7" s="15">
        <v>2</v>
      </c>
      <c r="D7" s="16">
        <f>(74 + 69)/2</f>
        <v>71.5</v>
      </c>
      <c r="E7" s="16">
        <f t="shared" si="0"/>
        <v>143</v>
      </c>
      <c r="F7" s="16">
        <f t="shared" si="1"/>
        <v>71.5</v>
      </c>
      <c r="H7" s="2" t="s">
        <v>47</v>
      </c>
      <c r="I7" s="2">
        <f>(C12*(F12^2))/(C12-1)</f>
        <v>300312.5</v>
      </c>
    </row>
    <row r="8" spans="2:9" x14ac:dyDescent="0.25">
      <c r="B8" s="15" t="s">
        <v>39</v>
      </c>
      <c r="C8" s="5">
        <v>4</v>
      </c>
      <c r="D8" s="16">
        <f>(80 + 75)/ 2</f>
        <v>77.5</v>
      </c>
      <c r="E8" s="16">
        <f t="shared" si="0"/>
        <v>310</v>
      </c>
      <c r="F8" s="16">
        <f t="shared" si="1"/>
        <v>77.5</v>
      </c>
    </row>
    <row r="9" spans="2:9" ht="18.75" x14ac:dyDescent="0.3">
      <c r="B9" s="15" t="s">
        <v>40</v>
      </c>
      <c r="C9" s="15">
        <v>11</v>
      </c>
      <c r="D9" s="16">
        <f>(81+86)/2</f>
        <v>83.5</v>
      </c>
      <c r="E9" s="16">
        <f t="shared" si="0"/>
        <v>918.5</v>
      </c>
      <c r="F9" s="16">
        <f t="shared" si="1"/>
        <v>83.5</v>
      </c>
      <c r="H9" s="18" t="s">
        <v>48</v>
      </c>
    </row>
    <row r="10" spans="2:9" x14ac:dyDescent="0.25">
      <c r="B10" s="15" t="s">
        <v>41</v>
      </c>
      <c r="C10" s="15">
        <v>15</v>
      </c>
      <c r="D10" s="16">
        <f>(87+92)/2</f>
        <v>89.5</v>
      </c>
      <c r="E10" s="16">
        <f t="shared" si="0"/>
        <v>1342.5</v>
      </c>
      <c r="F10" s="16">
        <f t="shared" si="1"/>
        <v>89.5</v>
      </c>
    </row>
    <row r="11" spans="2:9" ht="18.75" x14ac:dyDescent="0.3">
      <c r="B11" s="15" t="s">
        <v>42</v>
      </c>
      <c r="C11" s="15">
        <v>13</v>
      </c>
      <c r="D11" s="16">
        <f>(93+98)/2</f>
        <v>95.5</v>
      </c>
      <c r="E11" s="16">
        <f t="shared" si="0"/>
        <v>1241.5</v>
      </c>
      <c r="F11" s="16">
        <f t="shared" si="1"/>
        <v>95.5</v>
      </c>
      <c r="H11" s="18" t="s">
        <v>48</v>
      </c>
    </row>
    <row r="12" spans="2:9" x14ac:dyDescent="0.25">
      <c r="B12" s="15" t="s">
        <v>14</v>
      </c>
      <c r="C12" s="15">
        <f>SUM(C5:C11)</f>
        <v>50</v>
      </c>
      <c r="D12" s="16"/>
      <c r="E12" s="16">
        <f>SUM(E5:E11)</f>
        <v>4265</v>
      </c>
      <c r="F12" s="16">
        <f>SUM(F5:F11)</f>
        <v>542.5</v>
      </c>
    </row>
    <row r="13" spans="2:9" ht="18.75" x14ac:dyDescent="0.3">
      <c r="H13" s="18" t="s">
        <v>48</v>
      </c>
    </row>
    <row r="15" spans="2:9" ht="18.75" x14ac:dyDescent="0.3">
      <c r="D15" s="2" t="s">
        <v>96</v>
      </c>
      <c r="H15" s="18"/>
    </row>
    <row r="17" spans="4:4" x14ac:dyDescent="0.25">
      <c r="D17" s="2" t="s">
        <v>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64"/>
  <sheetViews>
    <sheetView tabSelected="1" workbookViewId="0">
      <selection activeCell="M4" sqref="M4"/>
    </sheetView>
  </sheetViews>
  <sheetFormatPr defaultRowHeight="15" x14ac:dyDescent="0.25"/>
  <cols>
    <col min="2" max="2" width="9.85546875" customWidth="1"/>
    <col min="3" max="3" width="9.7109375" bestFit="1" customWidth="1"/>
    <col min="4" max="4" width="12" bestFit="1" customWidth="1"/>
    <col min="8" max="8" width="31.140625" customWidth="1"/>
    <col min="10" max="10" width="16.85546875" bestFit="1" customWidth="1"/>
    <col min="14" max="14" width="10.140625" bestFit="1" customWidth="1"/>
  </cols>
  <sheetData>
    <row r="1" spans="2:15" x14ac:dyDescent="0.25">
      <c r="F1" s="23"/>
      <c r="G1" s="23"/>
      <c r="H1" s="23"/>
      <c r="L1" t="s">
        <v>90</v>
      </c>
      <c r="M1" s="13">
        <f>((50/2) + (50/2 + 1))/2</f>
        <v>25.5</v>
      </c>
      <c r="N1" t="s">
        <v>99</v>
      </c>
      <c r="O1" s="42">
        <f>89</f>
        <v>89</v>
      </c>
    </row>
    <row r="2" spans="2:15" x14ac:dyDescent="0.25">
      <c r="F2" s="23"/>
      <c r="G2" s="23"/>
      <c r="H2" s="23"/>
    </row>
    <row r="3" spans="2:15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G3" s="23"/>
      <c r="H3" s="25" t="s">
        <v>54</v>
      </c>
      <c r="I3" s="26">
        <f>1/4 *50</f>
        <v>12.5</v>
      </c>
      <c r="J3" s="27" t="s">
        <v>51</v>
      </c>
      <c r="L3" t="s">
        <v>86</v>
      </c>
      <c r="M3">
        <f>(50+2)/4</f>
        <v>13</v>
      </c>
      <c r="N3" t="s">
        <v>89</v>
      </c>
      <c r="O3" s="42">
        <v>84</v>
      </c>
    </row>
    <row r="4" spans="2:15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26" t="s">
        <v>55</v>
      </c>
      <c r="I4" s="26">
        <f>3/4 *50</f>
        <v>37.5</v>
      </c>
      <c r="J4" s="26" t="s">
        <v>52</v>
      </c>
      <c r="L4" t="s">
        <v>87</v>
      </c>
      <c r="M4">
        <f>(3*50+2)/4</f>
        <v>38</v>
      </c>
      <c r="N4" t="s">
        <v>88</v>
      </c>
      <c r="O4" s="42">
        <v>93</v>
      </c>
    </row>
    <row r="5" spans="2:15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26"/>
      <c r="I5" s="26"/>
      <c r="J5" s="26"/>
    </row>
    <row r="6" spans="2:15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26"/>
      <c r="I6" s="28"/>
      <c r="J6" s="29"/>
      <c r="K6" t="s">
        <v>92</v>
      </c>
    </row>
    <row r="7" spans="2:15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26"/>
      <c r="I7" s="30"/>
      <c r="J7" s="26"/>
      <c r="K7">
        <f>_xlfn.QUARTILE.EXC($C$15:$C$64,1)</f>
        <v>82.816666666666663</v>
      </c>
      <c r="L7" t="s">
        <v>86</v>
      </c>
      <c r="M7" t="s">
        <v>93</v>
      </c>
      <c r="O7">
        <f>(K9-K7)/2</f>
        <v>4.9833333333333343</v>
      </c>
    </row>
    <row r="8" spans="2:15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26"/>
      <c r="I8" s="28"/>
      <c r="J8" s="26"/>
      <c r="K8" s="2">
        <f>_xlfn.QUARTILE.EXC($C$15:$C$64,2)</f>
        <v>88.966666666666669</v>
      </c>
      <c r="L8" t="s">
        <v>91</v>
      </c>
      <c r="M8" t="s">
        <v>94</v>
      </c>
    </row>
    <row r="9" spans="2:15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26" t="s">
        <v>100</v>
      </c>
      <c r="I9" s="28">
        <f xml:space="preserve"> (O4 - O3)/2</f>
        <v>4.5</v>
      </c>
      <c r="J9" s="26"/>
      <c r="K9" s="2">
        <f>_xlfn.QUARTILE.EXC($C$15:$C$64,3)</f>
        <v>92.783333333333331</v>
      </c>
      <c r="L9" t="s">
        <v>87</v>
      </c>
      <c r="M9" t="s">
        <v>95</v>
      </c>
    </row>
    <row r="10" spans="2:15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</row>
    <row r="11" spans="2:15" x14ac:dyDescent="0.25">
      <c r="B11" s="21" t="s">
        <v>14</v>
      </c>
      <c r="C11" s="21">
        <f>SUM(C4:C10)</f>
        <v>50</v>
      </c>
      <c r="D11" s="20"/>
      <c r="E11" s="20"/>
    </row>
    <row r="12" spans="2:15" x14ac:dyDescent="0.25">
      <c r="H12" t="s">
        <v>62</v>
      </c>
    </row>
    <row r="13" spans="2:15" x14ac:dyDescent="0.25">
      <c r="H13" t="s">
        <v>101</v>
      </c>
    </row>
    <row r="15" spans="2:15" x14ac:dyDescent="0.25">
      <c r="C15" s="6">
        <v>57</v>
      </c>
    </row>
    <row r="16" spans="2:15" x14ac:dyDescent="0.25">
      <c r="C16" s="5">
        <v>60</v>
      </c>
    </row>
    <row r="17" spans="3:4" x14ac:dyDescent="0.25">
      <c r="C17" s="5">
        <v>62</v>
      </c>
    </row>
    <row r="18" spans="3:4" x14ac:dyDescent="0.25">
      <c r="C18" s="5">
        <v>63.066666666666663</v>
      </c>
    </row>
    <row r="19" spans="3:4" x14ac:dyDescent="0.25">
      <c r="C19" s="6">
        <v>66</v>
      </c>
    </row>
    <row r="20" spans="3:4" x14ac:dyDescent="0.25">
      <c r="C20" s="6">
        <v>70</v>
      </c>
    </row>
    <row r="21" spans="3:4" x14ac:dyDescent="0.25">
      <c r="C21" s="6">
        <v>74</v>
      </c>
    </row>
    <row r="22" spans="3:4" x14ac:dyDescent="0.25">
      <c r="C22" s="6">
        <v>78</v>
      </c>
    </row>
    <row r="23" spans="3:4" x14ac:dyDescent="0.25">
      <c r="C23" s="5">
        <v>79.466666666666669</v>
      </c>
    </row>
    <row r="24" spans="3:4" x14ac:dyDescent="0.25">
      <c r="C24" s="6">
        <v>79.666666666666671</v>
      </c>
    </row>
    <row r="25" spans="3:4" x14ac:dyDescent="0.25">
      <c r="C25" s="6">
        <v>80</v>
      </c>
    </row>
    <row r="26" spans="3:4" x14ac:dyDescent="0.25">
      <c r="C26" s="6">
        <v>80.666666666666671</v>
      </c>
    </row>
    <row r="27" spans="3:4" x14ac:dyDescent="0.25">
      <c r="C27" s="41">
        <v>83.533333333333331</v>
      </c>
      <c r="D27" t="s">
        <v>86</v>
      </c>
    </row>
    <row r="28" spans="3:4" x14ac:dyDescent="0.25">
      <c r="C28" s="5">
        <v>84.399999999999991</v>
      </c>
    </row>
    <row r="29" spans="3:4" x14ac:dyDescent="0.25">
      <c r="C29" s="5">
        <v>84.600000000000009</v>
      </c>
    </row>
    <row r="30" spans="3:4" x14ac:dyDescent="0.25">
      <c r="C30" s="5">
        <v>84.600000000000009</v>
      </c>
    </row>
    <row r="31" spans="3:4" x14ac:dyDescent="0.25">
      <c r="C31" s="6">
        <v>85.666666666666671</v>
      </c>
    </row>
    <row r="32" spans="3:4" x14ac:dyDescent="0.25">
      <c r="C32" s="5">
        <v>85.733333333333334</v>
      </c>
    </row>
    <row r="33" spans="3:4" x14ac:dyDescent="0.25">
      <c r="C33" s="5">
        <v>86</v>
      </c>
    </row>
    <row r="34" spans="3:4" x14ac:dyDescent="0.25">
      <c r="C34" s="5">
        <v>86.133333333333326</v>
      </c>
    </row>
    <row r="35" spans="3:4" x14ac:dyDescent="0.25">
      <c r="C35" s="5">
        <v>86.333333333333329</v>
      </c>
    </row>
    <row r="36" spans="3:4" x14ac:dyDescent="0.25">
      <c r="C36" s="6">
        <v>86.333333333333329</v>
      </c>
    </row>
    <row r="37" spans="3:4" x14ac:dyDescent="0.25">
      <c r="C37" s="5">
        <v>86.666666666666671</v>
      </c>
    </row>
    <row r="38" spans="3:4" x14ac:dyDescent="0.25">
      <c r="C38" s="6">
        <v>87</v>
      </c>
    </row>
    <row r="39" spans="3:4" x14ac:dyDescent="0.25">
      <c r="C39" s="43">
        <v>88.666666666666671</v>
      </c>
      <c r="D39" t="s">
        <v>91</v>
      </c>
    </row>
    <row r="40" spans="3:4" x14ac:dyDescent="0.25">
      <c r="C40" s="5">
        <v>89.266666666666666</v>
      </c>
    </row>
    <row r="41" spans="3:4" x14ac:dyDescent="0.25">
      <c r="C41" s="5">
        <v>89.466666666666654</v>
      </c>
    </row>
    <row r="42" spans="3:4" x14ac:dyDescent="0.25">
      <c r="C42" s="5">
        <v>89.8</v>
      </c>
    </row>
    <row r="43" spans="3:4" x14ac:dyDescent="0.25">
      <c r="C43" s="5">
        <v>89.933333333333337</v>
      </c>
    </row>
    <row r="44" spans="3:4" x14ac:dyDescent="0.25">
      <c r="C44" s="5">
        <v>90.666666666666671</v>
      </c>
    </row>
    <row r="45" spans="3:4" x14ac:dyDescent="0.25">
      <c r="C45" s="5">
        <v>90.8</v>
      </c>
    </row>
    <row r="46" spans="3:4" x14ac:dyDescent="0.25">
      <c r="C46" s="5">
        <v>90.866666666666674</v>
      </c>
    </row>
    <row r="47" spans="3:4" x14ac:dyDescent="0.25">
      <c r="C47" s="5">
        <v>91.066666666666663</v>
      </c>
    </row>
    <row r="48" spans="3:4" x14ac:dyDescent="0.25">
      <c r="C48" s="5">
        <v>91.533333333333346</v>
      </c>
    </row>
    <row r="49" spans="3:4" x14ac:dyDescent="0.25">
      <c r="C49" s="5">
        <v>91.533333333333346</v>
      </c>
    </row>
    <row r="50" spans="3:4" x14ac:dyDescent="0.25">
      <c r="C50" s="5">
        <v>92</v>
      </c>
    </row>
    <row r="51" spans="3:4" x14ac:dyDescent="0.25">
      <c r="C51" s="5">
        <v>92.333333333333329</v>
      </c>
    </row>
    <row r="52" spans="3:4" x14ac:dyDescent="0.25">
      <c r="C52" s="41">
        <v>92.733333333333334</v>
      </c>
      <c r="D52" t="s">
        <v>87</v>
      </c>
    </row>
    <row r="53" spans="3:4" x14ac:dyDescent="0.25">
      <c r="C53" s="5">
        <v>92.933333333333337</v>
      </c>
    </row>
    <row r="54" spans="3:4" x14ac:dyDescent="0.25">
      <c r="C54" s="5">
        <v>93.2</v>
      </c>
    </row>
    <row r="55" spans="3:4" x14ac:dyDescent="0.25">
      <c r="C55" s="5">
        <v>94</v>
      </c>
    </row>
    <row r="56" spans="3:4" x14ac:dyDescent="0.25">
      <c r="C56" s="5">
        <v>94.066666666666663</v>
      </c>
    </row>
    <row r="57" spans="3:4" x14ac:dyDescent="0.25">
      <c r="C57" s="5">
        <v>94.133333333333326</v>
      </c>
    </row>
    <row r="58" spans="3:4" x14ac:dyDescent="0.25">
      <c r="C58" s="5">
        <v>94.600000000000009</v>
      </c>
    </row>
    <row r="59" spans="3:4" x14ac:dyDescent="0.25">
      <c r="C59" s="5">
        <v>94.866666666666674</v>
      </c>
    </row>
    <row r="60" spans="3:4" x14ac:dyDescent="0.25">
      <c r="C60" s="5">
        <v>95.066666666666663</v>
      </c>
    </row>
    <row r="61" spans="3:4" x14ac:dyDescent="0.25">
      <c r="C61" s="6">
        <v>95.666666666666671</v>
      </c>
    </row>
    <row r="62" spans="3:4" x14ac:dyDescent="0.25">
      <c r="C62" s="6">
        <v>95.666666666666671</v>
      </c>
    </row>
    <row r="63" spans="3:4" x14ac:dyDescent="0.25">
      <c r="C63" s="5">
        <v>96.466666666666654</v>
      </c>
    </row>
    <row r="64" spans="3:4" x14ac:dyDescent="0.25">
      <c r="C64" s="5">
        <v>97.066666666666663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8418-80D4-49DA-B9F5-4C2B17E1683E}">
  <dimension ref="B3:K11"/>
  <sheetViews>
    <sheetView workbookViewId="0">
      <selection activeCell="H13" sqref="H13"/>
    </sheetView>
  </sheetViews>
  <sheetFormatPr defaultRowHeight="15" x14ac:dyDescent="0.25"/>
  <cols>
    <col min="8" max="8" width="28.5703125" bestFit="1" customWidth="1"/>
    <col min="10" max="10" width="16.42578125" bestFit="1" customWidth="1"/>
  </cols>
  <sheetData>
    <row r="3" spans="2:11" x14ac:dyDescent="0.25">
      <c r="B3" s="15" t="s">
        <v>34</v>
      </c>
      <c r="C3" s="15" t="s">
        <v>35</v>
      </c>
      <c r="D3" s="15" t="s">
        <v>15</v>
      </c>
      <c r="E3" s="15" t="s">
        <v>16</v>
      </c>
      <c r="F3" s="22" t="s">
        <v>50</v>
      </c>
      <c r="H3" s="24" t="s">
        <v>56</v>
      </c>
      <c r="I3" s="31">
        <f>10/100*C11</f>
        <v>5</v>
      </c>
      <c r="J3" s="31" t="s">
        <v>59</v>
      </c>
      <c r="K3" s="31"/>
    </row>
    <row r="4" spans="2:11" x14ac:dyDescent="0.25">
      <c r="B4" s="15" t="s">
        <v>36</v>
      </c>
      <c r="C4" s="15">
        <v>3</v>
      </c>
      <c r="D4" s="15">
        <f>57-0.5</f>
        <v>56.5</v>
      </c>
      <c r="E4" s="15">
        <f>62+0.5</f>
        <v>62.5</v>
      </c>
      <c r="F4" s="16">
        <v>6</v>
      </c>
      <c r="H4" s="31" t="s">
        <v>57</v>
      </c>
      <c r="I4" s="31">
        <f>90/100*C11</f>
        <v>45</v>
      </c>
      <c r="J4" s="31" t="s">
        <v>60</v>
      </c>
      <c r="K4" s="31"/>
    </row>
    <row r="5" spans="2:11" x14ac:dyDescent="0.25">
      <c r="B5" s="15" t="s">
        <v>37</v>
      </c>
      <c r="C5" s="15">
        <v>2</v>
      </c>
      <c r="D5" s="15">
        <f>63-0.5</f>
        <v>62.5</v>
      </c>
      <c r="E5" s="15">
        <f>68+0.5</f>
        <v>68.5</v>
      </c>
      <c r="F5" s="16">
        <v>6</v>
      </c>
      <c r="H5" s="31"/>
      <c r="I5" s="31"/>
      <c r="J5" s="31"/>
      <c r="K5" s="31"/>
    </row>
    <row r="6" spans="2:11" x14ac:dyDescent="0.25">
      <c r="B6" s="15" t="s">
        <v>38</v>
      </c>
      <c r="C6" s="15">
        <v>2</v>
      </c>
      <c r="D6" s="15">
        <f>69-0.5</f>
        <v>68.5</v>
      </c>
      <c r="E6" s="15">
        <f>74+0.5</f>
        <v>74.5</v>
      </c>
      <c r="F6" s="16">
        <v>6</v>
      </c>
      <c r="H6" s="31" t="s">
        <v>58</v>
      </c>
      <c r="I6" s="32">
        <f>D5+(((10/100*C11)-C4)*F4)/C5</f>
        <v>68.5</v>
      </c>
      <c r="J6" s="31"/>
      <c r="K6" s="31"/>
    </row>
    <row r="7" spans="2:11" x14ac:dyDescent="0.25">
      <c r="B7" s="15" t="s">
        <v>39</v>
      </c>
      <c r="C7" s="5">
        <v>4</v>
      </c>
      <c r="D7" s="15">
        <f>75-0.5</f>
        <v>74.5</v>
      </c>
      <c r="E7" s="15">
        <f>80+0.5</f>
        <v>80.5</v>
      </c>
      <c r="F7" s="16">
        <v>6</v>
      </c>
      <c r="H7" s="31" t="s">
        <v>61</v>
      </c>
      <c r="I7" s="32">
        <f>D10+(((90/100*C11)-SUM(C4:C9))*F10)/C10</f>
        <v>96.192307692307693</v>
      </c>
      <c r="J7" s="31"/>
      <c r="K7" s="31"/>
    </row>
    <row r="8" spans="2:11" x14ac:dyDescent="0.25">
      <c r="B8" s="15" t="s">
        <v>40</v>
      </c>
      <c r="C8" s="15">
        <v>11</v>
      </c>
      <c r="D8" s="15">
        <f>81-0.5</f>
        <v>80.5</v>
      </c>
      <c r="E8" s="15">
        <f>86+0.5</f>
        <v>86.5</v>
      </c>
      <c r="F8" s="16">
        <v>6</v>
      </c>
      <c r="H8" s="31"/>
      <c r="I8" s="32"/>
      <c r="J8" s="31"/>
      <c r="K8" s="31"/>
    </row>
    <row r="9" spans="2:11" x14ac:dyDescent="0.25">
      <c r="B9" s="15" t="s">
        <v>41</v>
      </c>
      <c r="C9" s="15">
        <v>15</v>
      </c>
      <c r="D9" s="15">
        <f>87-0.5</f>
        <v>86.5</v>
      </c>
      <c r="E9" s="15">
        <f>92+0.5</f>
        <v>92.5</v>
      </c>
      <c r="F9" s="16">
        <v>6</v>
      </c>
      <c r="H9" s="31" t="s">
        <v>53</v>
      </c>
      <c r="I9" s="32">
        <f>1/2*(I7-I6)</f>
        <v>13.846153846153847</v>
      </c>
      <c r="J9" s="31"/>
      <c r="K9" s="31"/>
    </row>
    <row r="10" spans="2:11" x14ac:dyDescent="0.25">
      <c r="B10" s="15" t="s">
        <v>42</v>
      </c>
      <c r="C10" s="15">
        <v>13</v>
      </c>
      <c r="D10" s="15">
        <f>93-0.5</f>
        <v>92.5</v>
      </c>
      <c r="E10" s="15">
        <f>98+0.5</f>
        <v>98.5</v>
      </c>
      <c r="F10" s="16">
        <v>6</v>
      </c>
      <c r="H10" s="31"/>
      <c r="I10" s="31"/>
      <c r="J10" s="31"/>
      <c r="K10" s="31"/>
    </row>
    <row r="11" spans="2:11" x14ac:dyDescent="0.25">
      <c r="B11" s="21" t="s">
        <v>14</v>
      </c>
      <c r="C11" s="21">
        <f>SUM(C4:C10)</f>
        <v>50</v>
      </c>
      <c r="D11" s="20"/>
      <c r="E11" s="20"/>
      <c r="F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 Frekuensi</vt:lpstr>
      <vt:lpstr>Simpangan Rata-rata</vt:lpstr>
      <vt:lpstr>Variansi</vt:lpstr>
      <vt:lpstr>Simpangan Baku Standard Deviasi</vt:lpstr>
      <vt:lpstr>Jangkauan Kuartil</vt:lpstr>
      <vt:lpstr>Jangkauan Persentil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Nur Hamdi</cp:lastModifiedBy>
  <dcterms:created xsi:type="dcterms:W3CDTF">2019-10-31T14:17:59Z</dcterms:created>
  <dcterms:modified xsi:type="dcterms:W3CDTF">2019-12-08T09:49:52Z</dcterms:modified>
</cp:coreProperties>
</file>