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7.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SUS\Downloads\"/>
    </mc:Choice>
  </mc:AlternateContent>
  <xr:revisionPtr revIDLastSave="0" documentId="8_{7DC6EC5B-7624-498F-A520-7160FD889465}" xr6:coauthVersionLast="47" xr6:coauthVersionMax="47" xr10:uidLastSave="{00000000-0000-0000-0000-000000000000}"/>
  <bookViews>
    <workbookView xWindow="-110" yWindow="-110" windowWidth="19420" windowHeight="11500" tabRatio="500" firstSheet="9" activeTab="9" xr2:uid="{00000000-000D-0000-FFFF-FFFF00000000}"/>
  </bookViews>
  <sheets>
    <sheet name="Control de Cambios" sheetId="1" r:id="rId1"/>
    <sheet name="Instrucciones" sheetId="2" r:id="rId2"/>
    <sheet name="Dashboard" sheetId="4" r:id="rId3"/>
    <sheet name="Graficas" sheetId="5" r:id="rId4"/>
    <sheet name="ChartData" sheetId="14" state="hidden" r:id="rId5"/>
    <sheet name="Listas" sheetId="3" state="hidden" r:id="rId6"/>
    <sheet name="Metricas bancolombia" sheetId="23" r:id="rId7"/>
    <sheet name="Metricas Sura" sheetId="24" r:id="rId8"/>
    <sheet name="Transcript Virginia &amp; Lina" sheetId="18" state="hidden" r:id="rId9"/>
    <sheet name="Analisis de FTE, Tickets, MTTR" sheetId="22" r:id="rId10"/>
    <sheet name="Automatizaciones" sheetId="19" r:id="rId11"/>
    <sheet name="AES" sheetId="15" r:id="rId12"/>
    <sheet name="SURA Cotizadores" sheetId="6" r:id="rId13"/>
    <sheet name="SURA Digital Venta" sheetId="7" r:id="rId14"/>
    <sheet name="SURA Automatizacion" sheetId="8" r:id="rId15"/>
    <sheet name="SURA Canales Masivos" sheetId="9" r:id="rId16"/>
    <sheet name="XM" sheetId="16" r:id="rId17"/>
    <sheet name="BCO COES Integracion" sheetId="10" r:id="rId18"/>
    <sheet name="BCO COES Datos" sheetId="11" r:id="rId19"/>
    <sheet name="BCO Soporte" sheetId="12" r:id="rId20"/>
    <sheet name="BCO COES Emma" sheetId="13" r:id="rId21"/>
    <sheet name="BCO Emma Iseries" sheetId="20" r:id="rId22"/>
    <sheet name="MEDICARTE" sheetId="17" r:id="rId23"/>
    <sheet name="Andres Posso" sheetId="21" r:id="rId2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1" i="14" l="1"/>
  <c r="C11" i="14" s="1"/>
  <c r="C17" i="4"/>
  <c r="B10" i="14"/>
  <c r="C10" i="14" s="1"/>
  <c r="C16" i="4"/>
  <c r="B9" i="14"/>
  <c r="C9" i="14" s="1"/>
  <c r="C15" i="4"/>
  <c r="B8" i="14"/>
  <c r="C8" i="14" s="1"/>
  <c r="C14" i="4"/>
  <c r="B7" i="14"/>
  <c r="C7" i="14" s="1"/>
  <c r="C13" i="4"/>
  <c r="T17" i="14"/>
  <c r="T18" i="14"/>
  <c r="T19" i="14"/>
  <c r="T20" i="14"/>
  <c r="T23" i="14"/>
  <c r="T25" i="14"/>
  <c r="T26" i="14"/>
  <c r="U26" i="14"/>
  <c r="T27" i="14"/>
  <c r="AJ6" i="14"/>
  <c r="AI6" i="14"/>
  <c r="B6" i="14"/>
  <c r="AJ5" i="14"/>
  <c r="AI5" i="14"/>
  <c r="B5" i="14"/>
  <c r="AJ4" i="14"/>
  <c r="AI4" i="14"/>
  <c r="B4" i="14"/>
  <c r="AJ3" i="14"/>
  <c r="AI3" i="14"/>
  <c r="B3" i="14"/>
  <c r="H12" i="4"/>
  <c r="G12" i="4"/>
  <c r="F12" i="4"/>
  <c r="E12" i="4"/>
  <c r="C12" i="4"/>
  <c r="H11" i="4"/>
  <c r="G11" i="4"/>
  <c r="F11" i="4"/>
  <c r="E11" i="4"/>
  <c r="C11" i="4"/>
  <c r="H10" i="4"/>
  <c r="G10" i="4"/>
  <c r="F10" i="4"/>
  <c r="E10" i="4"/>
  <c r="C10" i="4"/>
  <c r="H9" i="4"/>
  <c r="G9" i="4"/>
  <c r="F9" i="4"/>
  <c r="E9" i="4"/>
  <c r="C9" i="4"/>
  <c r="AZ13" i="14"/>
  <c r="C13" i="14"/>
  <c r="B13" i="14"/>
  <c r="H20" i="4"/>
  <c r="C20" i="4"/>
  <c r="H19" i="4"/>
  <c r="C19" i="4"/>
  <c r="D20" i="4"/>
  <c r="E20" i="4"/>
  <c r="F20" i="4"/>
  <c r="G20" i="4"/>
  <c r="J20" i="4"/>
  <c r="K20" i="4"/>
  <c r="E19" i="4"/>
  <c r="F19" i="4"/>
  <c r="G19" i="4"/>
  <c r="C18" i="4"/>
  <c r="D18" i="4"/>
  <c r="K18" i="4" s="1"/>
  <c r="E18" i="4"/>
  <c r="F18" i="4"/>
  <c r="G18" i="4"/>
  <c r="H18" i="4"/>
  <c r="J18" i="4"/>
  <c r="N32" i="14"/>
  <c r="N33" i="14"/>
  <c r="N34" i="14"/>
  <c r="N41" i="14"/>
  <c r="N42" i="14"/>
  <c r="BH14" i="14"/>
  <c r="BI14" i="14"/>
  <c r="BE14" i="14"/>
  <c r="BF14" i="14"/>
  <c r="BB14" i="14"/>
  <c r="BC14" i="14"/>
  <c r="AY14" i="14"/>
  <c r="AZ14" i="14"/>
  <c r="AV14" i="14"/>
  <c r="AW14" i="14"/>
  <c r="AS14" i="14"/>
  <c r="N43" i="14" s="1"/>
  <c r="AT14" i="14"/>
  <c r="O43" i="14" s="1"/>
  <c r="AP14" i="14"/>
  <c r="AQ14" i="14"/>
  <c r="AM14" i="14"/>
  <c r="AN14" i="14"/>
  <c r="AH14" i="14"/>
  <c r="AI14" i="14"/>
  <c r="AJ14" i="14"/>
  <c r="AE14" i="14"/>
  <c r="T28" i="14" s="1"/>
  <c r="AA14" i="14"/>
  <c r="X14" i="14"/>
  <c r="Y14" i="14"/>
  <c r="K14" i="14"/>
  <c r="C14" i="14"/>
  <c r="L14" i="14" s="1"/>
  <c r="B14" i="14"/>
  <c r="BH13" i="14"/>
  <c r="BI13" i="14"/>
  <c r="BE13" i="14"/>
  <c r="BF13" i="14"/>
  <c r="BB13" i="14"/>
  <c r="BC13" i="14"/>
  <c r="AY13" i="14"/>
  <c r="AV13" i="14"/>
  <c r="AW13" i="14"/>
  <c r="AS13" i="14"/>
  <c r="AT13" i="14"/>
  <c r="AP13" i="14"/>
  <c r="AQ13" i="14"/>
  <c r="AM13" i="14"/>
  <c r="AN13" i="14"/>
  <c r="AH13" i="14"/>
  <c r="AI13" i="14"/>
  <c r="AJ13" i="14"/>
  <c r="AE13" i="14"/>
  <c r="AA13" i="14"/>
  <c r="X13" i="14"/>
  <c r="Y13" i="14"/>
  <c r="K13" i="14"/>
  <c r="BH12" i="14"/>
  <c r="BI12" i="14"/>
  <c r="BE12" i="14"/>
  <c r="BF12" i="14"/>
  <c r="BB12" i="14"/>
  <c r="BC12" i="14"/>
  <c r="AY12" i="14"/>
  <c r="AZ12" i="14"/>
  <c r="AV12" i="14"/>
  <c r="AW12" i="14"/>
  <c r="AS12" i="14"/>
  <c r="AT12" i="14"/>
  <c r="I18" i="4" s="1"/>
  <c r="AP12" i="14"/>
  <c r="AQ12" i="14"/>
  <c r="AM12" i="14"/>
  <c r="AN12" i="14"/>
  <c r="AH12" i="14"/>
  <c r="AI12" i="14"/>
  <c r="AJ12" i="14"/>
  <c r="AE12" i="14"/>
  <c r="AF12" i="14"/>
  <c r="AA12" i="14"/>
  <c r="X12" i="14"/>
  <c r="Y12" i="14"/>
  <c r="K12" i="14"/>
  <c r="C12" i="14"/>
  <c r="AB12" i="14" s="1"/>
  <c r="B12" i="14"/>
  <c r="BH11" i="14"/>
  <c r="BI11" i="14"/>
  <c r="BE11" i="14"/>
  <c r="BF11" i="14"/>
  <c r="BB11" i="14"/>
  <c r="BC11" i="14"/>
  <c r="AY11" i="14"/>
  <c r="AZ11" i="14"/>
  <c r="AV11" i="14"/>
  <c r="AW11" i="14"/>
  <c r="AS11" i="14"/>
  <c r="N40" i="14" s="1"/>
  <c r="AT11" i="14"/>
  <c r="O40" i="14" s="1"/>
  <c r="AP11" i="14"/>
  <c r="AQ11" i="14"/>
  <c r="AM11" i="14"/>
  <c r="AN11" i="14"/>
  <c r="AH11" i="14"/>
  <c r="AI11" i="14"/>
  <c r="AJ11" i="14"/>
  <c r="AE11" i="14"/>
  <c r="AA11" i="14"/>
  <c r="X11" i="14"/>
  <c r="Y11" i="14"/>
  <c r="K11" i="14"/>
  <c r="BH10" i="14"/>
  <c r="BI10" i="14"/>
  <c r="BE10" i="14"/>
  <c r="BF10" i="14"/>
  <c r="BB10" i="14"/>
  <c r="BC10" i="14"/>
  <c r="AY10" i="14"/>
  <c r="AZ10" i="14"/>
  <c r="AV10" i="14"/>
  <c r="AW10" i="14"/>
  <c r="AS10" i="14"/>
  <c r="N39" i="14" s="1"/>
  <c r="AT10" i="14"/>
  <c r="O39" i="14" s="1"/>
  <c r="AP10" i="14"/>
  <c r="AQ10" i="14"/>
  <c r="AM10" i="14"/>
  <c r="AN10" i="14"/>
  <c r="AH10" i="14"/>
  <c r="AI10" i="14"/>
  <c r="AJ10" i="14"/>
  <c r="AE10" i="14"/>
  <c r="T24" i="14" s="1"/>
  <c r="AA10" i="14"/>
  <c r="X10" i="14"/>
  <c r="Y10" i="14"/>
  <c r="K10" i="14"/>
  <c r="BH9" i="14"/>
  <c r="BI9" i="14"/>
  <c r="BE9" i="14"/>
  <c r="BF9" i="14"/>
  <c r="BB9" i="14"/>
  <c r="BC9" i="14"/>
  <c r="AY9" i="14"/>
  <c r="AZ9" i="14"/>
  <c r="AV9" i="14"/>
  <c r="AW9" i="14"/>
  <c r="AS9" i="14"/>
  <c r="N38" i="14" s="1"/>
  <c r="AT9" i="14"/>
  <c r="O38" i="14" s="1"/>
  <c r="AP9" i="14"/>
  <c r="AQ9" i="14"/>
  <c r="AM9" i="14"/>
  <c r="AN9" i="14"/>
  <c r="AH9" i="14"/>
  <c r="AI9" i="14"/>
  <c r="AJ9" i="14"/>
  <c r="AE9" i="14"/>
  <c r="AA9" i="14"/>
  <c r="X9" i="14"/>
  <c r="Y9" i="14"/>
  <c r="K9" i="14"/>
  <c r="BH8" i="14"/>
  <c r="BI8" i="14"/>
  <c r="BE8" i="14"/>
  <c r="BF8" i="14"/>
  <c r="BB8" i="14"/>
  <c r="BC8" i="14"/>
  <c r="AY8" i="14"/>
  <c r="AZ8" i="14"/>
  <c r="AV8" i="14"/>
  <c r="AW8" i="14"/>
  <c r="AS8" i="14"/>
  <c r="N37" i="14" s="1"/>
  <c r="AT8" i="14"/>
  <c r="O37" i="14" s="1"/>
  <c r="AP8" i="14"/>
  <c r="AQ8" i="14"/>
  <c r="AM8" i="14"/>
  <c r="AN8" i="14"/>
  <c r="AH8" i="14"/>
  <c r="AI8" i="14"/>
  <c r="AJ8" i="14"/>
  <c r="AE8" i="14"/>
  <c r="T22" i="14" s="1"/>
  <c r="AA8" i="14"/>
  <c r="X8" i="14"/>
  <c r="Y8" i="14"/>
  <c r="K8" i="14"/>
  <c r="BH7" i="14"/>
  <c r="BI7" i="14"/>
  <c r="BE7" i="14"/>
  <c r="BF7" i="14"/>
  <c r="BB7" i="14"/>
  <c r="BC7" i="14"/>
  <c r="AY7" i="14"/>
  <c r="AZ7" i="14"/>
  <c r="AV7" i="14"/>
  <c r="AW7" i="14"/>
  <c r="AS7" i="14"/>
  <c r="N36" i="14" s="1"/>
  <c r="AT7" i="14"/>
  <c r="O36" i="14" s="1"/>
  <c r="AP7" i="14"/>
  <c r="AQ7" i="14"/>
  <c r="AM7" i="14"/>
  <c r="AN7" i="14"/>
  <c r="AH7" i="14"/>
  <c r="AI7" i="14"/>
  <c r="AJ7" i="14"/>
  <c r="AE7" i="14"/>
  <c r="T21" i="14" s="1"/>
  <c r="AA7" i="14"/>
  <c r="X7" i="14"/>
  <c r="Y7" i="14"/>
  <c r="K7" i="14"/>
  <c r="BH6" i="14"/>
  <c r="BI6" i="14"/>
  <c r="BE6" i="14"/>
  <c r="BF6" i="14"/>
  <c r="BB6" i="14"/>
  <c r="BC6" i="14"/>
  <c r="AY6" i="14"/>
  <c r="AZ6" i="14"/>
  <c r="AV6" i="14"/>
  <c r="AW6" i="14"/>
  <c r="AS6" i="14"/>
  <c r="N35" i="14" s="1"/>
  <c r="AT6" i="14"/>
  <c r="O35" i="14" s="1"/>
  <c r="AP6" i="14"/>
  <c r="AQ6" i="14"/>
  <c r="AM6" i="14"/>
  <c r="AN6" i="14"/>
  <c r="AH6" i="14"/>
  <c r="AA6" i="14"/>
  <c r="X6" i="14"/>
  <c r="Y6" i="14"/>
  <c r="K6" i="14"/>
  <c r="C6" i="14"/>
  <c r="BH5" i="14"/>
  <c r="BI5" i="14"/>
  <c r="BE5" i="14"/>
  <c r="BF5" i="14"/>
  <c r="BB5" i="14"/>
  <c r="BC5" i="14"/>
  <c r="AY5" i="14"/>
  <c r="AZ5" i="14"/>
  <c r="AV5" i="14"/>
  <c r="AW5" i="14"/>
  <c r="AS5" i="14"/>
  <c r="AT5" i="14"/>
  <c r="O34" i="14" s="1"/>
  <c r="AP5" i="14"/>
  <c r="AQ5" i="14"/>
  <c r="AM5" i="14"/>
  <c r="AN5" i="14"/>
  <c r="AH5" i="14"/>
  <c r="AA5" i="14"/>
  <c r="X5" i="14"/>
  <c r="Y5" i="14"/>
  <c r="K5" i="14"/>
  <c r="C5" i="14"/>
  <c r="BH4" i="14"/>
  <c r="BI4" i="14"/>
  <c r="BE4" i="14"/>
  <c r="BF4" i="14"/>
  <c r="BB4" i="14"/>
  <c r="BC4" i="14"/>
  <c r="AY4" i="14"/>
  <c r="AZ4" i="14"/>
  <c r="AV4" i="14"/>
  <c r="AW4" i="14"/>
  <c r="AS4" i="14"/>
  <c r="AT4" i="14"/>
  <c r="O33" i="14" s="1"/>
  <c r="AP4" i="14"/>
  <c r="AQ4" i="14"/>
  <c r="AM4" i="14"/>
  <c r="AN4" i="14"/>
  <c r="AH4" i="14"/>
  <c r="AA4" i="14"/>
  <c r="X4" i="14"/>
  <c r="Y4" i="14"/>
  <c r="K4" i="14"/>
  <c r="C4" i="14"/>
  <c r="BH3" i="14"/>
  <c r="BI3" i="14"/>
  <c r="BE3" i="14"/>
  <c r="BF3" i="14"/>
  <c r="BB3" i="14"/>
  <c r="BC3" i="14"/>
  <c r="AY3" i="14"/>
  <c r="AZ3" i="14"/>
  <c r="AV3" i="14"/>
  <c r="AW3" i="14"/>
  <c r="AS3" i="14"/>
  <c r="AT3" i="14"/>
  <c r="O32" i="14" s="1"/>
  <c r="AP3" i="14"/>
  <c r="AQ3" i="14"/>
  <c r="AM3" i="14"/>
  <c r="AN3" i="14"/>
  <c r="AH3" i="14"/>
  <c r="AA3" i="14"/>
  <c r="X3" i="14"/>
  <c r="Y3" i="14"/>
  <c r="K3" i="14"/>
  <c r="C3" i="14"/>
  <c r="C47" i="4"/>
  <c r="D47" i="4"/>
  <c r="E47" i="4"/>
  <c r="F47" i="4"/>
  <c r="G47" i="4"/>
  <c r="H47" i="4"/>
  <c r="I47" i="4"/>
  <c r="J47" i="4"/>
  <c r="K47" i="4"/>
  <c r="L47" i="4"/>
  <c r="M47" i="4"/>
  <c r="N47" i="4"/>
  <c r="O47" i="4"/>
  <c r="BP3" i="14" s="1"/>
  <c r="C48" i="4"/>
  <c r="D48" i="4"/>
  <c r="E48" i="4"/>
  <c r="F48" i="4"/>
  <c r="G48" i="4"/>
  <c r="H48" i="4"/>
  <c r="I48" i="4"/>
  <c r="J48" i="4"/>
  <c r="O48" i="4" s="1"/>
  <c r="BP4" i="14" s="1"/>
  <c r="K48" i="4"/>
  <c r="L48" i="4"/>
  <c r="M48" i="4"/>
  <c r="N48" i="4"/>
  <c r="C49" i="4"/>
  <c r="D49" i="4"/>
  <c r="E49" i="4"/>
  <c r="F49" i="4"/>
  <c r="G49" i="4"/>
  <c r="H49" i="4"/>
  <c r="I49" i="4"/>
  <c r="J49" i="4"/>
  <c r="K49" i="4"/>
  <c r="L49" i="4"/>
  <c r="M49" i="4"/>
  <c r="N49" i="4"/>
  <c r="O49" i="4"/>
  <c r="BP5" i="14" s="1"/>
  <c r="C50" i="4"/>
  <c r="D50" i="4"/>
  <c r="E50" i="4"/>
  <c r="F50" i="4"/>
  <c r="G50" i="4"/>
  <c r="H50" i="4"/>
  <c r="I50" i="4"/>
  <c r="J50" i="4"/>
  <c r="O50" i="4" s="1"/>
  <c r="BP6" i="14" s="1"/>
  <c r="K50" i="4"/>
  <c r="L50" i="4"/>
  <c r="M50" i="4"/>
  <c r="N50" i="4"/>
  <c r="C51" i="4"/>
  <c r="O51" i="4" s="1"/>
  <c r="BP7" i="14" s="1"/>
  <c r="D51" i="4"/>
  <c r="E51" i="4"/>
  <c r="F51" i="4"/>
  <c r="G51" i="4"/>
  <c r="H51" i="4"/>
  <c r="I51" i="4"/>
  <c r="J51" i="4"/>
  <c r="K51" i="4"/>
  <c r="L51" i="4"/>
  <c r="M51" i="4"/>
  <c r="N51" i="4"/>
  <c r="C52" i="4"/>
  <c r="O52" i="4" s="1"/>
  <c r="BP8" i="14" s="1"/>
  <c r="D52" i="4"/>
  <c r="E52" i="4"/>
  <c r="F52" i="4"/>
  <c r="G52" i="4"/>
  <c r="H52" i="4"/>
  <c r="I52" i="4"/>
  <c r="J52" i="4"/>
  <c r="K52" i="4"/>
  <c r="L52" i="4"/>
  <c r="M52" i="4"/>
  <c r="N52" i="4"/>
  <c r="C53" i="4"/>
  <c r="O53" i="4" s="1"/>
  <c r="BP9" i="14" s="1"/>
  <c r="D53" i="4"/>
  <c r="E53" i="4"/>
  <c r="F53" i="4"/>
  <c r="G53" i="4"/>
  <c r="H53" i="4"/>
  <c r="I53" i="4"/>
  <c r="J53" i="4"/>
  <c r="K53" i="4"/>
  <c r="L53" i="4"/>
  <c r="M53" i="4"/>
  <c r="N53" i="4"/>
  <c r="C54" i="4"/>
  <c r="O54" i="4" s="1"/>
  <c r="BP10" i="14" s="1"/>
  <c r="D54" i="4"/>
  <c r="E54" i="4"/>
  <c r="F54" i="4"/>
  <c r="G54" i="4"/>
  <c r="H54" i="4"/>
  <c r="I54" i="4"/>
  <c r="J54" i="4"/>
  <c r="K54" i="4"/>
  <c r="L54" i="4"/>
  <c r="M54" i="4"/>
  <c r="N54" i="4"/>
  <c r="C55" i="4"/>
  <c r="D55" i="4"/>
  <c r="O55" i="4" s="1"/>
  <c r="BP11" i="14" s="1"/>
  <c r="E55" i="4"/>
  <c r="F55" i="4"/>
  <c r="G55" i="4"/>
  <c r="H55" i="4"/>
  <c r="I55" i="4"/>
  <c r="J55" i="4"/>
  <c r="K55" i="4"/>
  <c r="L55" i="4"/>
  <c r="M55" i="4"/>
  <c r="N55" i="4"/>
  <c r="C56" i="4"/>
  <c r="D56" i="4"/>
  <c r="O56" i="4" s="1"/>
  <c r="BP12" i="14" s="1"/>
  <c r="E56" i="4"/>
  <c r="F56" i="4"/>
  <c r="G56" i="4"/>
  <c r="H56" i="4"/>
  <c r="I56" i="4"/>
  <c r="J56" i="4"/>
  <c r="K56" i="4"/>
  <c r="L56" i="4"/>
  <c r="M56" i="4"/>
  <c r="N56" i="4"/>
  <c r="C57" i="4"/>
  <c r="D57" i="4"/>
  <c r="E57" i="4"/>
  <c r="F57" i="4"/>
  <c r="G57" i="4"/>
  <c r="H57" i="4"/>
  <c r="I57" i="4"/>
  <c r="J57" i="4"/>
  <c r="K57" i="4"/>
  <c r="L57" i="4"/>
  <c r="M57" i="4"/>
  <c r="N57" i="4"/>
  <c r="O57" i="4"/>
  <c r="BP13" i="14" s="1"/>
  <c r="C58" i="4"/>
  <c r="D58" i="4"/>
  <c r="E58" i="4"/>
  <c r="F58" i="4"/>
  <c r="G58" i="4"/>
  <c r="H58" i="4"/>
  <c r="I58" i="4"/>
  <c r="J58" i="4"/>
  <c r="O58" i="4" s="1"/>
  <c r="BP14" i="14" s="1"/>
  <c r="K58" i="4"/>
  <c r="L58" i="4"/>
  <c r="M58" i="4"/>
  <c r="N58" i="4"/>
  <c r="C59" i="4"/>
  <c r="O59" i="4" s="1"/>
  <c r="BP15" i="14" s="1"/>
  <c r="D59" i="4"/>
  <c r="E59" i="4"/>
  <c r="F59" i="4"/>
  <c r="G59" i="4"/>
  <c r="H59" i="4"/>
  <c r="I59" i="4"/>
  <c r="J59" i="4"/>
  <c r="K59" i="4"/>
  <c r="L59" i="4"/>
  <c r="M59" i="4"/>
  <c r="N59" i="4"/>
  <c r="C60" i="4"/>
  <c r="O60" i="4" s="1"/>
  <c r="BP16" i="14" s="1"/>
  <c r="D60" i="4"/>
  <c r="E60" i="4"/>
  <c r="F60" i="4"/>
  <c r="G60" i="4"/>
  <c r="H60" i="4"/>
  <c r="I60" i="4"/>
  <c r="J60" i="4"/>
  <c r="K60" i="4"/>
  <c r="L60" i="4"/>
  <c r="M60" i="4"/>
  <c r="N60" i="4"/>
  <c r="C61" i="4"/>
  <c r="O61" i="4" s="1"/>
  <c r="BP17" i="14" s="1"/>
  <c r="D61" i="4"/>
  <c r="E61" i="4"/>
  <c r="F61" i="4"/>
  <c r="G61" i="4"/>
  <c r="H61" i="4"/>
  <c r="I61" i="4"/>
  <c r="J61" i="4"/>
  <c r="K61" i="4"/>
  <c r="L61" i="4"/>
  <c r="M61" i="4"/>
  <c r="N61" i="4"/>
  <c r="C62" i="4"/>
  <c r="O62" i="4" s="1"/>
  <c r="BP18" i="14" s="1"/>
  <c r="D62" i="4"/>
  <c r="E62" i="4"/>
  <c r="F62" i="4"/>
  <c r="G62" i="4"/>
  <c r="H62" i="4"/>
  <c r="I62" i="4"/>
  <c r="J62" i="4"/>
  <c r="K62" i="4"/>
  <c r="L62" i="4"/>
  <c r="M62" i="4"/>
  <c r="N62" i="4"/>
  <c r="C63" i="4"/>
  <c r="D63" i="4"/>
  <c r="O63" i="4" s="1"/>
  <c r="BP19" i="14" s="1"/>
  <c r="E63" i="4"/>
  <c r="F63" i="4"/>
  <c r="G63" i="4"/>
  <c r="H63" i="4"/>
  <c r="I63" i="4"/>
  <c r="J63" i="4"/>
  <c r="K63" i="4"/>
  <c r="L63" i="4"/>
  <c r="M63" i="4"/>
  <c r="N63" i="4"/>
  <c r="C64" i="4"/>
  <c r="D64" i="4"/>
  <c r="O64" i="4" s="1"/>
  <c r="BP20" i="14" s="1"/>
  <c r="E64" i="4"/>
  <c r="F64" i="4"/>
  <c r="G64" i="4"/>
  <c r="H64" i="4"/>
  <c r="I64" i="4"/>
  <c r="J64" i="4"/>
  <c r="K64" i="4"/>
  <c r="L64" i="4"/>
  <c r="M64" i="4"/>
  <c r="N64" i="4"/>
  <c r="C65" i="4"/>
  <c r="O65" i="4"/>
  <c r="BP21" i="14" s="1"/>
  <c r="C66" i="4"/>
  <c r="O66" i="4" s="1"/>
  <c r="BP22" i="14" s="1"/>
  <c r="D66" i="4"/>
  <c r="E66" i="4"/>
  <c r="F66" i="4"/>
  <c r="G66" i="4"/>
  <c r="H66" i="4"/>
  <c r="I66" i="4"/>
  <c r="J66" i="4"/>
  <c r="K66" i="4"/>
  <c r="L66" i="4"/>
  <c r="M66" i="4"/>
  <c r="N66" i="4"/>
  <c r="C67" i="4"/>
  <c r="O67" i="4" s="1"/>
  <c r="BP23" i="14" s="1"/>
  <c r="D67" i="4"/>
  <c r="E67" i="4"/>
  <c r="F67" i="4"/>
  <c r="G67" i="4"/>
  <c r="H67" i="4"/>
  <c r="I67" i="4"/>
  <c r="J67" i="4"/>
  <c r="K67" i="4"/>
  <c r="L67" i="4"/>
  <c r="M67" i="4"/>
  <c r="N67" i="4"/>
  <c r="C68" i="4"/>
  <c r="O68" i="4" s="1"/>
  <c r="BP24" i="14" s="1"/>
  <c r="D68" i="4"/>
  <c r="E68" i="4"/>
  <c r="F68" i="4"/>
  <c r="G68" i="4"/>
  <c r="H68" i="4"/>
  <c r="J68" i="4"/>
  <c r="K68" i="4"/>
  <c r="L68" i="4"/>
  <c r="M68" i="4"/>
  <c r="N68" i="4"/>
  <c r="C69" i="4"/>
  <c r="D69" i="4"/>
  <c r="E69" i="4"/>
  <c r="F69" i="4"/>
  <c r="G69" i="4"/>
  <c r="H69" i="4"/>
  <c r="I69" i="4"/>
  <c r="J69" i="4"/>
  <c r="K69" i="4"/>
  <c r="L69" i="4"/>
  <c r="M69" i="4"/>
  <c r="N69" i="4"/>
  <c r="O69" i="4"/>
  <c r="BP25" i="14" s="1"/>
  <c r="I9" i="4"/>
  <c r="I10" i="4"/>
  <c r="I11" i="4"/>
  <c r="I12" i="4"/>
  <c r="E13" i="4"/>
  <c r="F13" i="4"/>
  <c r="G13" i="4"/>
  <c r="H13" i="4"/>
  <c r="I13" i="4"/>
  <c r="E14" i="4"/>
  <c r="F14" i="4"/>
  <c r="G14" i="4"/>
  <c r="H14" i="4"/>
  <c r="I14" i="4"/>
  <c r="E15" i="4"/>
  <c r="F15" i="4"/>
  <c r="G15" i="4"/>
  <c r="H15" i="4"/>
  <c r="I15" i="4"/>
  <c r="E16" i="4"/>
  <c r="F16" i="4"/>
  <c r="G16" i="4"/>
  <c r="H16" i="4"/>
  <c r="I16" i="4"/>
  <c r="E17" i="4"/>
  <c r="F17" i="4"/>
  <c r="G17" i="4"/>
  <c r="H17" i="4"/>
  <c r="I17" i="4"/>
  <c r="D58" i="20"/>
  <c r="E58" i="20" s="1"/>
  <c r="D17" i="4" s="1"/>
  <c r="G46" i="14"/>
  <c r="G47" i="14"/>
  <c r="G48" i="14"/>
  <c r="G49" i="14"/>
  <c r="B53" i="14"/>
  <c r="C53" i="14"/>
  <c r="D53" i="14"/>
  <c r="B54" i="14"/>
  <c r="C54" i="14"/>
  <c r="D54" i="14"/>
  <c r="B55" i="14"/>
  <c r="C55" i="14"/>
  <c r="D55" i="14"/>
  <c r="B56" i="14"/>
  <c r="C56" i="14"/>
  <c r="D56" i="14"/>
  <c r="B57" i="14"/>
  <c r="C57" i="14"/>
  <c r="D57" i="14"/>
  <c r="B58" i="14"/>
  <c r="C58" i="14"/>
  <c r="D58" i="14"/>
  <c r="B23" i="14"/>
  <c r="C23" i="14"/>
  <c r="D23" i="14"/>
  <c r="R23" i="14" s="1"/>
  <c r="E23" i="14"/>
  <c r="K23" i="14"/>
  <c r="L23" i="14"/>
  <c r="N23" i="14"/>
  <c r="O23" i="14"/>
  <c r="Q23" i="14"/>
  <c r="B24" i="14"/>
  <c r="L24" i="14" s="1"/>
  <c r="C24" i="14"/>
  <c r="O24" i="14" s="1"/>
  <c r="D24" i="14"/>
  <c r="E24" i="14"/>
  <c r="K24" i="14"/>
  <c r="N24" i="14"/>
  <c r="Q24" i="14"/>
  <c r="R24" i="14"/>
  <c r="B25" i="14"/>
  <c r="D46" i="14" s="1"/>
  <c r="C25" i="14"/>
  <c r="D47" i="14" s="1"/>
  <c r="D25" i="14"/>
  <c r="D48" i="14" s="1"/>
  <c r="E25" i="14"/>
  <c r="D49" i="14" s="1"/>
  <c r="F25" i="14"/>
  <c r="K25" i="14"/>
  <c r="L25" i="14"/>
  <c r="N25" i="14"/>
  <c r="Q25" i="14"/>
  <c r="R25" i="14"/>
  <c r="B26" i="14"/>
  <c r="E46" i="14" s="1"/>
  <c r="C26" i="14"/>
  <c r="E47" i="14" s="1"/>
  <c r="D26" i="14"/>
  <c r="E48" i="14" s="1"/>
  <c r="E26" i="14"/>
  <c r="E49" i="14" s="1"/>
  <c r="K26" i="14"/>
  <c r="N26" i="14"/>
  <c r="Q26" i="14"/>
  <c r="R26" i="14"/>
  <c r="B27" i="14"/>
  <c r="F46" i="14" s="1"/>
  <c r="C27" i="14"/>
  <c r="F47" i="14" s="1"/>
  <c r="D27" i="14"/>
  <c r="F48" i="14" s="1"/>
  <c r="E27" i="14"/>
  <c r="F49" i="14" s="1"/>
  <c r="K27" i="14"/>
  <c r="N27" i="14"/>
  <c r="Q27" i="14"/>
  <c r="R27" i="14"/>
  <c r="B31" i="14"/>
  <c r="C31" i="14"/>
  <c r="D31" i="14"/>
  <c r="E31" i="14"/>
  <c r="F31" i="14"/>
  <c r="G31" i="14"/>
  <c r="H31" i="14"/>
  <c r="I31" i="14"/>
  <c r="B32" i="14"/>
  <c r="C32" i="14"/>
  <c r="D32" i="14"/>
  <c r="E32" i="14"/>
  <c r="F32" i="14"/>
  <c r="G32" i="14"/>
  <c r="H32" i="14"/>
  <c r="I32" i="14"/>
  <c r="K32" i="14"/>
  <c r="B33" i="14"/>
  <c r="C33" i="14"/>
  <c r="D33" i="14"/>
  <c r="E33" i="14"/>
  <c r="F33" i="14"/>
  <c r="G33" i="14"/>
  <c r="H33" i="14"/>
  <c r="H42" i="14" s="1"/>
  <c r="I33" i="14"/>
  <c r="K33" i="14"/>
  <c r="B34" i="14"/>
  <c r="C34" i="14"/>
  <c r="D34" i="14"/>
  <c r="E34" i="14"/>
  <c r="F34" i="14"/>
  <c r="G34" i="14"/>
  <c r="I34" i="14" s="1"/>
  <c r="H34" i="14"/>
  <c r="K34" i="14"/>
  <c r="B35" i="14"/>
  <c r="C35" i="14"/>
  <c r="D35" i="14"/>
  <c r="E35" i="14"/>
  <c r="F35" i="14"/>
  <c r="G35" i="14"/>
  <c r="H35" i="14"/>
  <c r="I35" i="14"/>
  <c r="K35" i="14"/>
  <c r="B36" i="14"/>
  <c r="C36" i="14"/>
  <c r="D36" i="14"/>
  <c r="E36" i="14"/>
  <c r="I36" i="14" s="1"/>
  <c r="F36" i="14"/>
  <c r="G36" i="14"/>
  <c r="H36" i="14"/>
  <c r="K36" i="14"/>
  <c r="B37" i="14"/>
  <c r="C37" i="14"/>
  <c r="D37" i="14"/>
  <c r="I37" i="14" s="1"/>
  <c r="E37" i="14"/>
  <c r="F37" i="14"/>
  <c r="G37" i="14"/>
  <c r="H37" i="14"/>
  <c r="K37" i="14"/>
  <c r="B38" i="14"/>
  <c r="C38" i="14"/>
  <c r="I38" i="14" s="1"/>
  <c r="D38" i="14"/>
  <c r="E38" i="14"/>
  <c r="F38" i="14"/>
  <c r="G38" i="14"/>
  <c r="H38" i="14"/>
  <c r="K38" i="14"/>
  <c r="L38" i="14"/>
  <c r="B39" i="14"/>
  <c r="I39" i="14" s="1"/>
  <c r="C39" i="14"/>
  <c r="D39" i="14"/>
  <c r="E39" i="14"/>
  <c r="F39" i="14"/>
  <c r="G39" i="14"/>
  <c r="H39" i="14"/>
  <c r="K39" i="14"/>
  <c r="L39" i="14"/>
  <c r="B40" i="14"/>
  <c r="I40" i="14" s="1"/>
  <c r="C40" i="14"/>
  <c r="D40" i="14"/>
  <c r="E40" i="14"/>
  <c r="F40" i="14"/>
  <c r="G40" i="14"/>
  <c r="H40" i="14"/>
  <c r="K40" i="14"/>
  <c r="L40" i="14"/>
  <c r="B41" i="14"/>
  <c r="I41" i="14" s="1"/>
  <c r="C41" i="14"/>
  <c r="C42" i="14" s="1"/>
  <c r="D41" i="14"/>
  <c r="E41" i="14"/>
  <c r="F41" i="14"/>
  <c r="G41" i="14"/>
  <c r="H41" i="14"/>
  <c r="K41" i="14"/>
  <c r="L41" i="14"/>
  <c r="B42" i="14"/>
  <c r="D42" i="14"/>
  <c r="E42" i="14"/>
  <c r="F42" i="14"/>
  <c r="K42" i="14"/>
  <c r="L42" i="14"/>
  <c r="BM3" i="14"/>
  <c r="BM4" i="14"/>
  <c r="BM5" i="14"/>
  <c r="BM6" i="14"/>
  <c r="BM7" i="14"/>
  <c r="BM8" i="14"/>
  <c r="BM9" i="14"/>
  <c r="BM10" i="14"/>
  <c r="BM11" i="14"/>
  <c r="BM12" i="14"/>
  <c r="BL12" i="14"/>
  <c r="BL13" i="14"/>
  <c r="BM13" i="14"/>
  <c r="BL14" i="14"/>
  <c r="BM14" i="14"/>
  <c r="B17" i="14"/>
  <c r="L17" i="14" s="1"/>
  <c r="C17" i="14"/>
  <c r="D17" i="14"/>
  <c r="R17" i="14" s="1"/>
  <c r="E17" i="14"/>
  <c r="K17" i="14"/>
  <c r="N17" i="14"/>
  <c r="O17" i="14"/>
  <c r="Q17" i="14"/>
  <c r="B18" i="14"/>
  <c r="L18" i="14" s="1"/>
  <c r="C18" i="14"/>
  <c r="O18" i="14" s="1"/>
  <c r="D18" i="14"/>
  <c r="E18" i="14"/>
  <c r="L33" i="14" s="1"/>
  <c r="K18" i="14"/>
  <c r="N18" i="14"/>
  <c r="Q18" i="14"/>
  <c r="R18" i="14"/>
  <c r="B19" i="14"/>
  <c r="C19" i="14"/>
  <c r="D19" i="14"/>
  <c r="R19" i="14" s="1"/>
  <c r="E19" i="14"/>
  <c r="L34" i="14" s="1"/>
  <c r="K19" i="14"/>
  <c r="L19" i="14"/>
  <c r="N19" i="14"/>
  <c r="O19" i="14"/>
  <c r="Q19" i="14"/>
  <c r="B20" i="14"/>
  <c r="L20" i="14" s="1"/>
  <c r="C20" i="14"/>
  <c r="O20" i="14" s="1"/>
  <c r="D20" i="14"/>
  <c r="R20" i="14" s="1"/>
  <c r="E20" i="14"/>
  <c r="L35" i="14" s="1"/>
  <c r="K20" i="14"/>
  <c r="N20" i="14"/>
  <c r="Q20" i="14"/>
  <c r="B21" i="14"/>
  <c r="L21" i="14" s="1"/>
  <c r="C21" i="14"/>
  <c r="D21" i="14"/>
  <c r="R21" i="14" s="1"/>
  <c r="E21" i="14"/>
  <c r="K21" i="14"/>
  <c r="N21" i="14"/>
  <c r="O21" i="14"/>
  <c r="Q21" i="14"/>
  <c r="B22" i="14"/>
  <c r="L22" i="14" s="1"/>
  <c r="C22" i="14"/>
  <c r="O22" i="14" s="1"/>
  <c r="D22" i="14"/>
  <c r="E22" i="14"/>
  <c r="L37" i="14" s="1"/>
  <c r="K22" i="14"/>
  <c r="N22" i="14"/>
  <c r="Q22" i="14"/>
  <c r="R22" i="14"/>
  <c r="E26" i="4"/>
  <c r="E27" i="4"/>
  <c r="B33" i="4"/>
  <c r="C33" i="4"/>
  <c r="D33" i="4" a="1"/>
  <c r="D33" i="4" s="1"/>
  <c r="B34" i="4"/>
  <c r="C34" i="4"/>
  <c r="D34" i="4" a="1"/>
  <c r="D34" i="4" s="1"/>
  <c r="B35" i="4"/>
  <c r="C35" i="4"/>
  <c r="D35" i="4" a="1"/>
  <c r="D35" i="4" s="1"/>
  <c r="B36" i="4"/>
  <c r="C36" i="4"/>
  <c r="D36" i="4" a="1"/>
  <c r="D36" i="4" s="1"/>
  <c r="B37" i="4"/>
  <c r="C37" i="4"/>
  <c r="D37" i="4" a="1"/>
  <c r="D37" i="4" s="1"/>
  <c r="B38" i="4"/>
  <c r="C38" i="4"/>
  <c r="D38" i="4" a="1"/>
  <c r="D38" i="4" s="1"/>
  <c r="B39" i="4"/>
  <c r="C39" i="4"/>
  <c r="D39" i="4" a="1"/>
  <c r="D39" i="4" s="1"/>
  <c r="B40" i="4"/>
  <c r="C40" i="4"/>
  <c r="D40" i="4" a="1"/>
  <c r="D40" i="4" s="1"/>
  <c r="B41" i="4"/>
  <c r="C41" i="4"/>
  <c r="D41" i="4" a="1"/>
  <c r="D41" i="4" s="1"/>
  <c r="B42" i="4"/>
  <c r="C42" i="4"/>
  <c r="D42" i="4" a="1"/>
  <c r="D42" i="4" s="1"/>
  <c r="B43" i="4"/>
  <c r="C43" i="4"/>
  <c r="D43" i="4" a="1"/>
  <c r="D43" i="4" s="1"/>
  <c r="D58" i="17"/>
  <c r="E58" i="17" s="1"/>
  <c r="AF14" i="14" s="1"/>
  <c r="U28" i="14" s="1"/>
  <c r="D57" i="16"/>
  <c r="E57" i="16" s="1"/>
  <c r="AF13" i="14" s="1"/>
  <c r="U27" i="14" s="1"/>
  <c r="D58" i="13"/>
  <c r="E58" i="13" s="1"/>
  <c r="D16" i="4" s="1"/>
  <c r="D58" i="12"/>
  <c r="E58" i="12" s="1"/>
  <c r="D15" i="4" s="1"/>
  <c r="D58" i="11"/>
  <c r="E58" i="11" s="1"/>
  <c r="D58" i="10"/>
  <c r="E58" i="10" s="1"/>
  <c r="D57" i="9"/>
  <c r="E57" i="9" s="1"/>
  <c r="AF6" i="14" s="1"/>
  <c r="U20" i="14" s="1"/>
  <c r="D57" i="8"/>
  <c r="E57" i="8" s="1"/>
  <c r="D11" i="4" s="1"/>
  <c r="D57" i="7"/>
  <c r="E57" i="7" s="1"/>
  <c r="D10" i="4" s="1"/>
  <c r="D56" i="6"/>
  <c r="E56" i="6" s="1"/>
  <c r="AF3" i="14" s="1"/>
  <c r="U17" i="14" s="1"/>
  <c r="J11" i="4" l="1"/>
  <c r="K11" i="4"/>
  <c r="J10" i="4"/>
  <c r="K10" i="4"/>
  <c r="I42" i="14"/>
  <c r="E41" i="4"/>
  <c r="J17" i="4"/>
  <c r="K17" i="4"/>
  <c r="J15" i="4"/>
  <c r="K15" i="4"/>
  <c r="J16" i="4"/>
  <c r="K16" i="4"/>
  <c r="O27" i="14"/>
  <c r="I20" i="4"/>
  <c r="AF9" i="14"/>
  <c r="U23" i="14" s="1"/>
  <c r="D9" i="4"/>
  <c r="AF5" i="14"/>
  <c r="U19" i="14" s="1"/>
  <c r="G42" i="14"/>
  <c r="L27" i="14"/>
  <c r="O26" i="14"/>
  <c r="AF10" i="14"/>
  <c r="U24" i="14" s="1"/>
  <c r="L12" i="14"/>
  <c r="AB14" i="14"/>
  <c r="AF11" i="14"/>
  <c r="U25" i="14" s="1"/>
  <c r="D19" i="4"/>
  <c r="D12" i="4"/>
  <c r="L26" i="14"/>
  <c r="O25" i="14"/>
  <c r="O41" i="14"/>
  <c r="AF4" i="14"/>
  <c r="U18" i="14" s="1"/>
  <c r="I19" i="4"/>
  <c r="O42" i="14"/>
  <c r="AB7" i="14"/>
  <c r="L7" i="14"/>
  <c r="AF8" i="14"/>
  <c r="U22" i="14" s="1"/>
  <c r="D14" i="4"/>
  <c r="AB11" i="14"/>
  <c r="L11" i="14"/>
  <c r="AB10" i="14"/>
  <c r="L10" i="14"/>
  <c r="AB9" i="14"/>
  <c r="L9" i="14"/>
  <c r="AB8" i="14"/>
  <c r="L8" i="14"/>
  <c r="AF7" i="14"/>
  <c r="U21" i="14" s="1"/>
  <c r="D13" i="4"/>
  <c r="AB6" i="14"/>
  <c r="BL4" i="14" s="1"/>
  <c r="L6" i="14"/>
  <c r="AB5" i="14"/>
  <c r="L5" i="14"/>
  <c r="AB4" i="14"/>
  <c r="L4" i="14"/>
  <c r="AB3" i="14"/>
  <c r="L3" i="14"/>
  <c r="AB13" i="14"/>
  <c r="L13" i="14"/>
  <c r="F27" i="14"/>
  <c r="F24" i="14"/>
  <c r="F23" i="14"/>
  <c r="F22" i="14"/>
  <c r="C48" i="14"/>
  <c r="C47" i="14"/>
  <c r="C46" i="14"/>
  <c r="F21" i="14"/>
  <c r="C49" i="14"/>
  <c r="L36" i="14"/>
  <c r="F26" i="14"/>
  <c r="F20" i="14"/>
  <c r="F19" i="14"/>
  <c r="B48" i="14"/>
  <c r="B47" i="14"/>
  <c r="F18" i="14"/>
  <c r="B46" i="14"/>
  <c r="B49" i="14"/>
  <c r="L32" i="14"/>
  <c r="F17" i="14"/>
  <c r="BL11" i="14"/>
  <c r="BL10" i="14"/>
  <c r="BL9" i="14"/>
  <c r="BL8" i="14"/>
  <c r="BL7" i="14"/>
  <c r="BL6" i="14"/>
  <c r="BL3" i="14"/>
  <c r="F41" i="4" l="1"/>
  <c r="G41" i="4"/>
  <c r="H41" i="4"/>
  <c r="J9" i="4"/>
  <c r="K9" i="4"/>
  <c r="BL5" i="14"/>
  <c r="J12" i="4"/>
  <c r="K12" i="4"/>
  <c r="J19" i="4"/>
  <c r="K19" i="4"/>
  <c r="J14" i="4"/>
  <c r="K14" i="4"/>
  <c r="J13" i="4"/>
  <c r="K13" i="4"/>
  <c r="E43" i="4"/>
  <c r="E40" i="4"/>
  <c r="E39" i="4"/>
  <c r="E38" i="4"/>
  <c r="E37" i="4"/>
  <c r="E42" i="4"/>
  <c r="E36" i="4"/>
  <c r="E35" i="4"/>
  <c r="E34" i="4"/>
  <c r="E28" i="4"/>
  <c r="E23" i="4"/>
  <c r="E24" i="4"/>
  <c r="E25" i="4"/>
  <c r="E33" i="4"/>
  <c r="F43" i="4" l="1"/>
  <c r="G43" i="4"/>
  <c r="H43" i="4"/>
  <c r="F40" i="4"/>
  <c r="G40" i="4"/>
  <c r="H40" i="4"/>
  <c r="F39" i="4"/>
  <c r="G39" i="4"/>
  <c r="H39" i="4"/>
  <c r="F38" i="4"/>
  <c r="G38" i="4"/>
  <c r="H38" i="4"/>
  <c r="F37" i="4"/>
  <c r="G37" i="4"/>
  <c r="H37" i="4"/>
  <c r="F42" i="4"/>
  <c r="G42" i="4"/>
  <c r="H42" i="4"/>
  <c r="F36" i="4"/>
  <c r="G36" i="4"/>
  <c r="H36" i="4"/>
  <c r="F35" i="4"/>
  <c r="G35" i="4"/>
  <c r="H35" i="4"/>
  <c r="F34" i="4"/>
  <c r="G34" i="4"/>
  <c r="H34" i="4"/>
  <c r="F33" i="4"/>
  <c r="G33" i="4"/>
  <c r="H33" i="4"/>
  <c r="B114" i="22"/>
  <c r="B111" i="22"/>
  <c r="F80" i="22"/>
  <c r="C80" i="22"/>
  <c r="F79" i="22"/>
  <c r="C79" i="22"/>
  <c r="F78" i="22"/>
  <c r="C78" i="22"/>
  <c r="F77" i="22"/>
  <c r="C77" i="22"/>
  <c r="F76" i="22"/>
  <c r="C76" i="22"/>
  <c r="F75" i="22"/>
  <c r="C75" i="22"/>
  <c r="F74" i="22"/>
  <c r="C74" i="22"/>
  <c r="F73" i="22"/>
  <c r="C73" i="22"/>
  <c r="F72" i="22"/>
  <c r="C72" i="22"/>
  <c r="F71" i="22"/>
  <c r="C71" i="22"/>
  <c r="F70" i="22"/>
  <c r="C70" i="22"/>
  <c r="F69" i="22"/>
  <c r="C69" i="22"/>
  <c r="F68" i="22"/>
  <c r="C68" i="22"/>
  <c r="F67" i="22"/>
  <c r="C67" i="22"/>
  <c r="F66" i="22"/>
  <c r="C66" i="22"/>
  <c r="B59" i="22"/>
  <c r="B58" i="22"/>
  <c r="B56" i="22"/>
  <c r="B52" i="22"/>
  <c r="B50" i="22"/>
  <c r="B41" i="22"/>
  <c r="G39" i="22"/>
  <c r="G38" i="22"/>
  <c r="G35" i="22"/>
  <c r="D26" i="22"/>
  <c r="J26" i="22" s="1"/>
  <c r="J23" i="22"/>
  <c r="G23" i="22"/>
  <c r="J22" i="22"/>
  <c r="G22" i="22"/>
  <c r="J21" i="22"/>
  <c r="G21" i="22"/>
  <c r="J20" i="22"/>
  <c r="G20" i="22"/>
  <c r="J19" i="22"/>
  <c r="G19" i="22"/>
  <c r="J18" i="22"/>
  <c r="G18" i="22"/>
  <c r="J17" i="22"/>
  <c r="G17" i="22"/>
  <c r="J16" i="22"/>
  <c r="K16" i="22" s="1"/>
  <c r="L16" i="22" s="1"/>
  <c r="G16" i="22"/>
  <c r="F16" i="22"/>
  <c r="K15" i="22"/>
  <c r="L15" i="22" s="1"/>
  <c r="J15" i="22"/>
  <c r="I15" i="22"/>
  <c r="H15" i="22"/>
  <c r="B35" i="22" s="1"/>
  <c r="E15" i="22"/>
  <c r="F15" i="22" s="1"/>
  <c r="D15" i="22"/>
  <c r="G15" i="22" s="1"/>
  <c r="J14" i="22"/>
  <c r="K14" i="22" s="1"/>
  <c r="L14" i="22" s="1"/>
  <c r="I14" i="22"/>
  <c r="H14" i="22"/>
  <c r="B39" i="22" s="1"/>
  <c r="E14" i="22"/>
  <c r="G37" i="22" s="1"/>
  <c r="D14" i="22"/>
  <c r="G14" i="22" s="1"/>
  <c r="I13" i="22"/>
  <c r="H13" i="22"/>
  <c r="B36" i="22" s="1"/>
  <c r="E13" i="22"/>
  <c r="G36" i="22" s="1"/>
  <c r="D13" i="22"/>
  <c r="G13" i="22" s="1"/>
  <c r="J12" i="22"/>
  <c r="K12" i="22" s="1"/>
  <c r="L12" i="22" s="1"/>
  <c r="I12" i="22"/>
  <c r="I25" i="22" s="1"/>
  <c r="H12" i="22"/>
  <c r="H25" i="22" s="1"/>
  <c r="F12" i="22"/>
  <c r="E12" i="22"/>
  <c r="D12" i="22"/>
  <c r="D27" i="22" s="1"/>
  <c r="B48" i="22" l="1"/>
  <c r="M14" i="22"/>
  <c r="B112" i="22"/>
  <c r="B113" i="22"/>
  <c r="B46" i="22"/>
  <c r="B110" i="22"/>
  <c r="M16" i="22"/>
  <c r="J27" i="22"/>
  <c r="G27" i="22"/>
  <c r="M15" i="22"/>
  <c r="B51" i="22"/>
  <c r="M12" i="22"/>
  <c r="B47" i="22"/>
  <c r="G12" i="22"/>
  <c r="F13" i="22"/>
  <c r="D25" i="22"/>
  <c r="B34" i="22"/>
  <c r="B57" i="22"/>
  <c r="E25" i="22"/>
  <c r="G26" i="22"/>
  <c r="J13" i="22"/>
  <c r="K13" i="22" s="1"/>
  <c r="L13" i="22" s="1"/>
  <c r="F14" i="22"/>
  <c r="F25" i="22" l="1"/>
  <c r="G25" i="22"/>
  <c r="J25" i="22"/>
  <c r="K25" i="22" s="1"/>
  <c r="L25" i="22" s="1"/>
  <c r="M25" i="22" s="1"/>
  <c r="B49" i="22"/>
  <c r="M13"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D27" authorId="0" shapeId="0" xr:uid="{3F8997D8-4F8B-433A-B886-E86912FCA3DC}">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D28" authorId="0" shapeId="0" xr:uid="{B22E89D4-4E78-452C-A2CE-10E0976DFFA8}">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D29" authorId="0" shapeId="0" xr:uid="{3845979B-C17C-4CC3-A536-9C8684B0CFAE}">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61B89318-C909-4C78-A342-EC215BD29398}">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4A06ACA4-051A-4236-9CC8-536180F84D94}">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025951CE-B688-407E-A976-B9EC5EC162E9}">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B11" authorId="0" shapeId="0" xr:uid="{45E1EF10-59FB-4BE9-8E74-6D9E8F0E040C}">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3" authorId="0" shapeId="0" xr:uid="{1C534AE6-1C42-4946-BB25-78BA5A106F1E}">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6" authorId="0" shapeId="0" xr:uid="{1F6B91A5-735F-45EA-9E07-3C44AE074FB4}">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7" authorId="0" shapeId="0" xr:uid="{AD3E3EE6-3C08-481E-8527-2756E7DF9882}">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3" authorId="0" shapeId="0" xr:uid="{A3F69F1F-95B9-4C5D-A67A-B317C6C2D9FB}">
      <text>
        <r>
          <rPr>
            <sz val="11"/>
            <color theme="1"/>
            <rFont val="Calibri"/>
            <family val="2"/>
            <charset val="1"/>
          </rPr>
          <t>Natalia Zartha Suarez:
Change Advisory Board (CAB): Definición, Responsabilidades, Beneficios y Mejores Prácticas</t>
        </r>
      </text>
    </comment>
    <comment ref="C44" authorId="0" shapeId="0" xr:uid="{88EAE371-8053-42EC-8DB5-D0D8540DE987}">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5" authorId="0" shapeId="0" xr:uid="{CC8625B1-6F0B-4C81-A69E-00AF3CECD954}">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9" authorId="0" shapeId="0" xr:uid="{FAC00671-D97A-4294-94D7-59575F7239C9}">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0" authorId="0" shapeId="0" xr:uid="{489D2117-0CC4-4F09-90D8-8B341A9675BB}">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4" authorId="0" shapeId="0" xr:uid="{AC38C544-FD9C-4DBD-888A-403C26AFD5A5}">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5" authorId="0" shapeId="0" xr:uid="{85B57807-2537-4B37-81AE-B3CAD48FD5AE}">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88" authorId="0" shapeId="0" xr:uid="{C4CE9FE9-B26E-46C4-90F0-045A4FD2F9AD}">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90" authorId="0" shapeId="0" xr:uid="{B9780662-A207-46DC-AB43-9A2507428EC8}">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7" authorId="0" shapeId="0" xr:uid="{9D1E89EA-04E5-417B-A6EA-28450C8C43A1}">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38" authorId="0" shapeId="0" xr:uid="{9D784A2C-6FF8-4904-A518-C6AF8DC2B8BF}">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6" authorId="0" shapeId="0" xr:uid="{524056BD-8104-4764-A7C6-1DE3B321672A}">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7" authorId="0" shapeId="0" xr:uid="{0CB1C11C-DF21-4A92-ACF2-E701B77008DA}">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B8" authorId="0" shapeId="0" xr:uid="{48A8A3DA-6757-46CA-B883-1D4E655C6ECF}">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K8" authorId="0" shapeId="0" xr:uid="{FF3A1F31-686F-4A31-907F-8619E881B64C}">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C32" authorId="0" shapeId="0" xr:uid="{11886A60-B395-4BFA-8F5C-1F1F99B5200F}">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5" authorId="0" shapeId="0" xr:uid="{540B9E1B-E09A-45E4-B2FA-5DA27556D6C6}">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6" authorId="0" shapeId="0" xr:uid="{E7E9B796-4824-4867-BBA8-FD454136E832}">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2" authorId="0" shapeId="0" xr:uid="{92924C5B-BD8B-4B11-AF16-3CF862E52BB5}">
      <text>
        <r>
          <rPr>
            <sz val="11"/>
            <color theme="1"/>
            <rFont val="Calibri"/>
            <family val="2"/>
            <charset val="1"/>
          </rPr>
          <t>Natalia Zartha Suarez:
Change Advisory Board (CAB): Definición, Responsabilidades, Beneficios y Mejores Prácticas</t>
        </r>
      </text>
    </comment>
    <comment ref="C43" authorId="0" shapeId="0" xr:uid="{8600331B-2C08-4646-9845-31D84CC15917}">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4" authorId="0" shapeId="0" xr:uid="{8B707B76-A9E4-458C-9F60-7DEDCEE69B1F}">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8" authorId="0" shapeId="0" xr:uid="{159E3F30-CE83-49A0-A697-994A60B557A9}">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49" authorId="0" shapeId="0" xr:uid="{F434B694-6CBD-4CCA-BB8A-94638C459031}">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3" authorId="0" shapeId="0" xr:uid="{E63BA3E3-9192-4348-9C88-672A65E75A1C}">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6" authorId="0" shapeId="0" xr:uid="{1A7D62CC-4607-481C-98C4-1FD66B4CDE15}">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89" authorId="0" shapeId="0" xr:uid="{F39C5872-E8EA-447C-9633-85E62E560B0A}">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91" authorId="0" shapeId="0" xr:uid="{087FB532-4DE3-4032-A700-4D68682D8028}">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9" authorId="0" shapeId="0" xr:uid="{C70B1C70-A212-46A8-A8CC-FA61372DF111}">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40" authorId="0" shapeId="0" xr:uid="{3D9F01DD-863B-4CF0-9EF3-C243D467D440}">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7BBF53D8-96E4-4745-A91B-84B0EBAE00D8}">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7A3A8A36-77A0-4757-98F3-0DDFC9025CEB}">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B9" authorId="0" shapeId="0" xr:uid="{CFD08C2A-964B-4B25-873F-D439D16A64C1}">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K9" authorId="0" shapeId="0" xr:uid="{0204718F-71F6-45F7-9A19-C3CCF28E4B20}">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C33" authorId="0" shapeId="0" xr:uid="{B8216CD6-C475-4364-96DE-96B879136EF8}">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6" authorId="0" shapeId="0" xr:uid="{43DC1EFC-8257-4546-B2F9-E782A5313603}">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7" authorId="0" shapeId="0" xr:uid="{0F9F2CD0-37FE-46E7-8F12-4BDDA19B4985}">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3" authorId="0" shapeId="0" xr:uid="{C336B07C-3BE7-47F1-AA1A-700CCA34149E}">
      <text>
        <r>
          <rPr>
            <sz val="11"/>
            <color theme="1"/>
            <rFont val="Calibri"/>
            <family val="2"/>
            <charset val="1"/>
          </rPr>
          <t>Natalia Zartha Suarez:
Change Advisory Board (CAB): Definición, Responsabilidades, Beneficios y Mejores Prácticas</t>
        </r>
      </text>
    </comment>
    <comment ref="C44" authorId="0" shapeId="0" xr:uid="{41CFE42B-8291-47E4-A5A5-54899041F239}">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5" authorId="0" shapeId="0" xr:uid="{6E4A590B-C55E-45A2-BBBF-CC562FF68704}">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9" authorId="0" shapeId="0" xr:uid="{C616622E-F41C-40B0-A9B4-40ABE2C19AED}">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0" authorId="0" shapeId="0" xr:uid="{427F9E4A-C9C9-450A-8AB9-36C63696EB0C}">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4" authorId="0" shapeId="0" xr:uid="{DB7775AE-82C4-44DC-BAB7-0DABEA34349D}">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7" authorId="0" shapeId="0" xr:uid="{6D88BE52-A310-4750-B70A-615678DD9108}">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84" authorId="0" shapeId="0" xr:uid="{4EC3B629-AEFC-489F-A0AC-C8FA7529B1A0}">
      <text>
        <r>
          <rPr>
            <sz val="11"/>
            <color theme="1"/>
            <rFont val="Calibri"/>
            <family val="2"/>
            <charset val="1"/>
          </rPr>
          <t xml:space="preserve">Natalia Zartha Suarez:
La planificación de recursos empresariales (ERP) es un sistema de software que ayuda a las organizaciones a optimizar sus procesos de negocio centrales —incluyendo finanzas, RR. HH., fabricación, cadena de suministro, ventas y procurement— con una visión unificada de la actividad y una única fuente de verdad.
En una mesa de servicio de TI, SAP ERP actúa como un sistema centralizado que integra y gestiona todas las áreas de la empresa desde un único punto. Esto permite una integración total de procesos, automatización de tareas repetitivas, y visibilidad completa para tomar decisiones estratégicas. La centralización de datos en un sistema ERP como SAP facilita la gestión de recursos humanos, finanzas, logística, compras y ventas, mejorando la colaboración y la eficiencia operativa. 
</t>
        </r>
      </text>
    </comment>
    <comment ref="B90" authorId="0" shapeId="0" xr:uid="{4F72C845-8A8D-46FE-9D6E-67886A64B76A}">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92" authorId="0" shapeId="0" xr:uid="{1387EE44-FB92-420D-A374-330904AEE02D}">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9" authorId="0" shapeId="0" xr:uid="{84EF402C-A5EA-4F52-8CDA-C7A5F49096F6}">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40" authorId="0" shapeId="0" xr:uid="{AB900239-688B-440E-9BB9-995E33DE6FBD}">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63" authorId="0" shapeId="0" xr:uid="{B2F002E3-664A-4BB9-83CF-B17CE24EBF1A}">
      <text>
        <r>
          <rPr>
            <sz val="11"/>
            <color theme="1"/>
            <rFont val="Calibri"/>
            <family val="2"/>
            <charset val="1"/>
          </rPr>
          <t>Natalia Zartha Suarez:
El churn en una mesa de servicio de TI se refiere a la tasa de cancelación de clientes o usuarios que dejan de utilizar los servicios durante un periodo determinado.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1A844B7E-EADB-499D-AEFC-FC3C3EF190BF}">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96D36BBF-C644-4A4E-934F-9BE88EFEA263}">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B9" authorId="0" shapeId="0" xr:uid="{2DBF0043-220C-44AE-A545-A350A6741723}">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K9" authorId="0" shapeId="0" xr:uid="{13823D0A-1768-49E6-BD49-D95A9CBF0280}">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C33" authorId="0" shapeId="0" xr:uid="{D7E1AE36-F1EE-4880-A8C5-B29059D65717}">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6" authorId="0" shapeId="0" xr:uid="{6F42E6B4-2B7B-4987-BA8E-1778E8838BA7}">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7" authorId="0" shapeId="0" xr:uid="{482304AB-DCB3-419C-BC43-46EC8A3109CE}">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3" authorId="0" shapeId="0" xr:uid="{A2CFE09E-140D-42AD-B718-516CC63D532B}">
      <text>
        <r>
          <rPr>
            <sz val="11"/>
            <color theme="1"/>
            <rFont val="Calibri"/>
            <family val="2"/>
            <charset val="1"/>
          </rPr>
          <t>Natalia Zartha Suarez:
Change Advisory Board (CAB): Definición, Responsabilidades, Beneficios y Mejores Prácticas</t>
        </r>
      </text>
    </comment>
    <comment ref="C44" authorId="0" shapeId="0" xr:uid="{E287F8EF-2417-4DB0-BBAF-91755478EC0E}">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5" authorId="0" shapeId="0" xr:uid="{80B52678-817B-4BBC-A3EA-F517A8880BA8}">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9" authorId="0" shapeId="0" xr:uid="{EFF900BF-BCFC-46BE-9C1D-D6FC0D36B128}">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0" authorId="0" shapeId="0" xr:uid="{8AEC52A3-E054-499A-A4C9-AC84835D25CE}">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4" authorId="0" shapeId="0" xr:uid="{C0BBE282-558F-41AB-9BCA-E2B73C809072}">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7" authorId="0" shapeId="0" xr:uid="{BECD3DBC-7E75-4ECA-B164-70570348796B}">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90" authorId="0" shapeId="0" xr:uid="{B7F1CCFD-3592-4EE6-8958-3CAE6A85D39F}">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92" authorId="0" shapeId="0" xr:uid="{040F0A20-24A3-4ACF-A89E-6660E4F1B399}">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9" authorId="0" shapeId="0" xr:uid="{22B0E9F5-4263-4C9F-90C3-91B48A5AC7AE}">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40" authorId="0" shapeId="0" xr:uid="{F5FF2F06-3F2A-496E-82DE-6BDAB7965746}">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77493A71-5179-4424-A1A1-2A061D527A45}">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867EE124-F700-48F7-A236-DCF0358D2F5A}">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F593BDD5-A01A-4A16-852A-02E592BB5A89}">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B10" authorId="0" shapeId="0" xr:uid="{8A24109C-6016-4422-A930-63105214AD31}">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3" authorId="0" shapeId="0" xr:uid="{1E12B12E-67A6-4E97-B85E-EF8693635199}">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6" authorId="0" shapeId="0" xr:uid="{C8EB0A5E-F858-4943-AACC-483ED6457045}">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7" authorId="0" shapeId="0" xr:uid="{EF84DDE4-087A-4ED2-AAB0-4DF65BAE24C7}">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3" authorId="0" shapeId="0" xr:uid="{A191B951-9D6F-40C2-A7BD-D7DB1357B818}">
      <text>
        <r>
          <rPr>
            <sz val="11"/>
            <color theme="1"/>
            <rFont val="Calibri"/>
            <family val="2"/>
            <charset val="1"/>
          </rPr>
          <t>Natalia Zartha Suarez:
Change Advisory Board (CAB): Definición, Responsabilidades, Beneficios y Mejores Prácticas</t>
        </r>
      </text>
    </comment>
    <comment ref="C44" authorId="0" shapeId="0" xr:uid="{EF266605-B640-40E5-B2A2-1321827335CD}">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5" authorId="0" shapeId="0" xr:uid="{44526098-B428-4048-85DE-B924F6053CA1}">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9" authorId="0" shapeId="0" xr:uid="{57A36DEB-ACC7-4157-A020-B3F2536F61F3}">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0" authorId="0" shapeId="0" xr:uid="{26271CA6-BFF9-4F0B-84CB-8FA4F4C012B0}">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4" authorId="0" shapeId="0" xr:uid="{527802B7-071A-471B-8515-DE8EE57B1A58}">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7" authorId="0" shapeId="0" xr:uid="{03067FC1-7FFC-4049-9209-EBFA9BA5467F}">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90" authorId="0" shapeId="0" xr:uid="{5B944755-83AB-4ACF-BAAF-AB5ACFB1C4B4}">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92" authorId="0" shapeId="0" xr:uid="{4C7CA3B6-6C74-4F81-BB08-536EEA44733D}">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9" authorId="0" shapeId="0" xr:uid="{F149E125-177D-4E79-9239-C2DAFDFD358D}">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40" authorId="0" shapeId="0" xr:uid="{9B1A6183-CBEC-434E-A97F-660CEF83C772}">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82D3E2FC-5A7C-4C61-962E-CE7BB7D89487}">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59223D6A-ECE2-43D6-9F78-26F0EF374AAA}">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E5B9C77B-0C1B-4FF8-8296-1A3B2595A581}">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B10" authorId="0" shapeId="0" xr:uid="{25A8E0CF-6046-47C0-B148-A6A3E62CC2EA}">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3" authorId="0" shapeId="0" xr:uid="{A578B1E0-2813-4C16-A443-F13B8451ECE6}">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6" authorId="0" shapeId="0" xr:uid="{030B60C9-E55C-457E-BC19-90BD4E4E0CCB}">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7" authorId="0" shapeId="0" xr:uid="{37E4CB60-9F38-41EC-AEBF-80500262555E}">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3" authorId="0" shapeId="0" xr:uid="{7B9E0597-8464-4AF7-BC48-0A479586B3E6}">
      <text>
        <r>
          <rPr>
            <sz val="11"/>
            <color theme="1"/>
            <rFont val="Calibri"/>
            <family val="2"/>
            <charset val="1"/>
          </rPr>
          <t>Natalia Zartha Suarez:
Change Advisory Board (CAB): Definición, Responsabilidades, Beneficios y Mejores Prácticas</t>
        </r>
      </text>
    </comment>
    <comment ref="C44" authorId="0" shapeId="0" xr:uid="{397CDD6D-0C50-42BC-A90C-6CD24AC9728A}">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5" authorId="0" shapeId="0" xr:uid="{AAF6C2AB-B0CD-4C16-8A73-76A13C85CCAF}">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49" authorId="0" shapeId="0" xr:uid="{4B6CFFF0-E7AF-49CC-87E4-AA29306A9B31}">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0" authorId="0" shapeId="0" xr:uid="{32BC247E-3E5E-411A-AA22-AD1861AB2B0F}">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4" authorId="0" shapeId="0" xr:uid="{04AF467F-05C7-4A3C-865F-92A20334293D}">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7" authorId="0" shapeId="0" xr:uid="{61C1E472-89BA-4107-988A-EDF2F219996B}">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90" authorId="0" shapeId="0" xr:uid="{18F36829-10C2-44ED-B5F2-DE98BDCCC2FA}">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92" authorId="0" shapeId="0" xr:uid="{F8B2D85C-26B1-4B33-8923-66AA64BDA9E2}">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39" authorId="0" shapeId="0" xr:uid="{D7D55A94-12B4-4AA5-9693-F1E8E28282F7}">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40" authorId="0" shapeId="0" xr:uid="{5D8FEF05-3826-49F9-A07A-BBECBBA8F191}">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8149B89C-DA17-4796-B940-98956BCFD0DA}">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1544E98D-6295-466E-92A9-77F9DDEF7B1E}">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DB56C6DB-1A2B-4E59-9CBC-7F14D274F141}">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B10" authorId="0" shapeId="0" xr:uid="{94D701A3-C006-458E-B364-9B340D0106A6}">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4" authorId="0" shapeId="0" xr:uid="{1CEDE5D7-F49C-43B5-8F48-2FF39C4828C4}">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7" authorId="0" shapeId="0" xr:uid="{BDD95DF6-CE95-4FAB-A91A-002A10FFFDC6}">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8" authorId="0" shapeId="0" xr:uid="{6EE83C56-4DF7-43F5-83F0-136A61AE34B5}">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4" authorId="0" shapeId="0" xr:uid="{76537E8A-17D4-42A7-A970-F0D235F7E9D6}">
      <text>
        <r>
          <rPr>
            <sz val="11"/>
            <color theme="1"/>
            <rFont val="Calibri"/>
            <family val="2"/>
            <charset val="1"/>
          </rPr>
          <t>Natalia Zartha Suarez:
Change Advisory Board (CAB): Definición, Responsabilidades, Beneficios y Mejores Prácticas</t>
        </r>
      </text>
    </comment>
    <comment ref="C45" authorId="0" shapeId="0" xr:uid="{1118ADA0-8BA5-467E-878C-CBD06877D8C8}">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6" authorId="0" shapeId="0" xr:uid="{2C367565-7662-4975-B453-BF1444C15C2A}">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50" authorId="0" shapeId="0" xr:uid="{2218B9D4-5B85-4441-8CCF-3E8F0461CA36}">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1" authorId="0" shapeId="0" xr:uid="{D10895FA-2BB7-4B70-9EBD-AD5CEBC61D5C}">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5" authorId="0" shapeId="0" xr:uid="{8ACD94CC-97C7-407D-86A6-6EB9F8C8374D}">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8" authorId="0" shapeId="0" xr:uid="{61466E89-D7A5-4D1A-B709-1FD6DD429BE6}">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91" authorId="0" shapeId="0" xr:uid="{9184BBCE-B933-4588-A3E7-5CE0994DA8E0}">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93" authorId="0" shapeId="0" xr:uid="{2FCA7013-A1AE-42EF-B550-8BD5EA41779E}">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40" authorId="0" shapeId="0" xr:uid="{FE4AF967-4228-46FB-AF8E-5E53B165F7C1}">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41" authorId="0" shapeId="0" xr:uid="{EBFC6D9C-C5EB-4C92-AE78-C1200D7C8D41}">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60CAA99E-B2A3-4ACD-8BE1-09794F032A48}">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8D600CA3-A3B6-4ACF-88A9-21597A145677}">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171BE224-70CE-4AA4-A645-4671A42D115B}">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B10" authorId="0" shapeId="0" xr:uid="{0C0509A1-2A8F-40C2-B4D1-A7C4ECCBE6A6}">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4" authorId="0" shapeId="0" xr:uid="{04068EF4-95F5-4AD9-B006-231CD7B7F30A}">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7" authorId="0" shapeId="0" xr:uid="{E2B86EA6-A7A2-4C11-B764-D8B45F17F2E0}">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8" authorId="0" shapeId="0" xr:uid="{3582F5C6-F390-4098-8101-7E71433FE952}">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4" authorId="0" shapeId="0" xr:uid="{7D3C5AC4-7DBE-4858-ABE7-48BEE250D613}">
      <text>
        <r>
          <rPr>
            <sz val="11"/>
            <color theme="1"/>
            <rFont val="Calibri"/>
            <family val="2"/>
            <charset val="1"/>
          </rPr>
          <t>Natalia Zartha Suarez:
Change Advisory Board (CAB): Definición, Responsabilidades, Beneficios y Mejores Prácticas</t>
        </r>
      </text>
    </comment>
    <comment ref="C45" authorId="0" shapeId="0" xr:uid="{31ECD275-3E1F-497B-BDF0-9D83E8A36C02}">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6" authorId="0" shapeId="0" xr:uid="{6F8DA711-206A-4D1C-A0AB-44CAF2A7D4FF}">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50" authorId="0" shapeId="0" xr:uid="{21A89070-80CB-4B1E-9F7C-F1883536956C}">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1" authorId="0" shapeId="0" xr:uid="{C3779C36-AA61-4BAC-9C29-5CEB9A717E6F}">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5" authorId="0" shapeId="0" xr:uid="{4C414F9B-641A-4CFF-B5B0-18FB25F8AE42}">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8" authorId="0" shapeId="0" xr:uid="{AC42BE6E-27A8-469C-ABE3-43DEE0422CA7}">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91" authorId="0" shapeId="0" xr:uid="{1C681EAC-526A-44DE-8A04-E6878A9F22B5}">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93" authorId="0" shapeId="0" xr:uid="{2687D5F5-D086-481F-9308-92532219DA05}">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40" authorId="0" shapeId="0" xr:uid="{D16DF285-213B-447C-8A19-73E7963A1417}">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41" authorId="0" shapeId="0" xr:uid="{2212CC5B-8676-40F0-9AFC-805953211EA1}">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1B701F05-C365-443C-9713-1C3FE0965DF8}">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8472569C-4072-4B32-955E-11D273D4EDF2}">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8FED918E-1516-486F-91CF-7F8D65D0904D}">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B10" authorId="0" shapeId="0" xr:uid="{42051593-AD8A-4C13-BD89-911DB0BA6E83}">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4" authorId="0" shapeId="0" xr:uid="{6A2D2C58-D929-45B0-8D24-4BD18E75F76C}">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7" authorId="0" shapeId="0" xr:uid="{CBF36AC7-A006-41E1-875D-2201996B1003}">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8" authorId="0" shapeId="0" xr:uid="{5482AE0B-FFC7-42E9-A927-910D857122C9}">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4" authorId="0" shapeId="0" xr:uid="{C388AEB7-58A2-4B46-849D-ABFE004FAE7C}">
      <text>
        <r>
          <rPr>
            <sz val="11"/>
            <color theme="1"/>
            <rFont val="Calibri"/>
            <family val="2"/>
            <charset val="1"/>
          </rPr>
          <t>Natalia Zartha Suarez:
Change Advisory Board (CAB): Definición, Responsabilidades, Beneficios y Mejores Prácticas</t>
        </r>
      </text>
    </comment>
    <comment ref="C45" authorId="0" shapeId="0" xr:uid="{A3B835FE-C384-4570-9380-D1CF50E72840}">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6" authorId="0" shapeId="0" xr:uid="{11549147-3884-4258-A4D4-F7A05C648946}">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50" authorId="0" shapeId="0" xr:uid="{FAD2DCF4-616F-49E5-89CE-DEFACD0DF990}">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1" authorId="0" shapeId="0" xr:uid="{07B7F438-D37D-461E-9A93-2EEDE976C37C}">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5" authorId="0" shapeId="0" xr:uid="{06DE1E3E-6D3D-4420-AAAB-AA4AD74D03E2}">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8" authorId="0" shapeId="0" xr:uid="{9B62D432-89F9-499C-8427-63828D0F0C49}">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91" authorId="0" shapeId="0" xr:uid="{E932917A-C3F2-4AD2-8378-E828BA70176C}">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93" authorId="0" shapeId="0" xr:uid="{AB6C6D16-978B-41D9-AC0B-71946191536F}">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41" authorId="0" shapeId="0" xr:uid="{3706D420-F2DF-4F66-9A54-A50EA62F68E2}">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42" authorId="0" shapeId="0" xr:uid="{9351A63C-C9E8-4E9D-B770-EF4FF79F7E06}">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E69598AF-66C0-460E-B4E0-CBE9BAFF2770}">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CAEA28E3-5668-4836-B887-EF32F6E39A8F}">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A8F0E2F5-79BB-41C7-AE1E-A59F378804BE}">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B10" authorId="0" shapeId="0" xr:uid="{D0A71D13-49A0-411E-BE47-5C5F84E1D309}">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4" authorId="0" shapeId="0" xr:uid="{88EAFAE0-7A25-4750-9E89-D03AB90018FD}">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7" authorId="0" shapeId="0" xr:uid="{F1B836A6-AD29-4D39-BEEB-38C92C42FB54}">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8" authorId="0" shapeId="0" xr:uid="{64CFB54A-D830-4117-96A8-6F8C44852F47}">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4" authorId="0" shapeId="0" xr:uid="{414DCA2A-554B-42B9-A858-639C1220B5A1}">
      <text>
        <r>
          <rPr>
            <sz val="11"/>
            <color theme="1"/>
            <rFont val="Calibri"/>
            <family val="2"/>
            <charset val="1"/>
          </rPr>
          <t>Natalia Zartha Suarez:
Change Advisory Board (CAB): Definición, Responsabilidades, Beneficios y Mejores Prácticas</t>
        </r>
      </text>
    </comment>
    <comment ref="C45" authorId="0" shapeId="0" xr:uid="{B6B87021-4D5D-4432-809B-46B2BAFC4020}">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6" authorId="0" shapeId="0" xr:uid="{BFB96876-DA68-4D11-8FB5-BC5E5A942E6C}">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50" authorId="0" shapeId="0" xr:uid="{65555054-814E-4DEF-AF4C-E51395B56D62}">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1" authorId="0" shapeId="0" xr:uid="{A9048C18-56FC-44B0-9D56-A9088D297B18}">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5" authorId="0" shapeId="0" xr:uid="{0B63CDC9-BFB9-4CA3-818F-A8BEA2F0DF3D}">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8" authorId="0" shapeId="0" xr:uid="{34C4899A-8C6B-47A8-B67D-88AB8510882C}">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91" authorId="0" shapeId="0" xr:uid="{318793EC-0017-4B86-B4E1-0ECDB9D42FB1}">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93" authorId="0" shapeId="0" xr:uid="{EB033C63-EDB7-47EE-BBFB-FE05D25674BD}">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40" authorId="0" shapeId="0" xr:uid="{47E0D5D1-6CC9-45C5-9D2B-FB3FC38D67B3}">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41" authorId="0" shapeId="0" xr:uid="{7E923634-A83E-435A-9863-402233C0DE52}">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C2E67557-3F50-4D35-AD83-05A0FFDD4DCA}">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553E6B2B-493F-4A24-99E5-6F668DBF0B61}">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C26F6F69-A384-40BA-9F00-DF76DAF6D563}">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B10" authorId="0" shapeId="0" xr:uid="{7638A0B7-76BC-49FB-9401-5A06E78FC757}">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4" authorId="0" shapeId="0" xr:uid="{E8DACAC9-1844-4158-B9FD-6E9AE51E4582}">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7" authorId="0" shapeId="0" xr:uid="{E2A4A426-5472-45D4-A297-A669392EC131}">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8" authorId="0" shapeId="0" xr:uid="{FB8B6578-864B-40CE-8709-751B050BB0B4}">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4" authorId="0" shapeId="0" xr:uid="{603DD97E-91F6-4E45-B911-54DAF0547AC0}">
      <text>
        <r>
          <rPr>
            <sz val="11"/>
            <color theme="1"/>
            <rFont val="Calibri"/>
            <family val="2"/>
            <charset val="1"/>
          </rPr>
          <t>Natalia Zartha Suarez:
Change Advisory Board (CAB): Definición, Responsabilidades, Beneficios y Mejores Prácticas</t>
        </r>
      </text>
    </comment>
    <comment ref="C45" authorId="0" shapeId="0" xr:uid="{9C02CF0D-577C-4EFB-A585-8B681E110030}">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6" authorId="0" shapeId="0" xr:uid="{6ADF2784-4022-4CA2-B923-525B8BABB6D0}">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50" authorId="0" shapeId="0" xr:uid="{F927B4BD-6885-4721-A042-4108478C5811}">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1" authorId="0" shapeId="0" xr:uid="{38C39CA9-F7B1-4427-A4EB-B62729D3741A}">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5" authorId="0" shapeId="0" xr:uid="{C9D639B3-AC5A-4FFE-AD57-4954C43BFD0F}">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8" authorId="0" shapeId="0" xr:uid="{2F00A64C-316E-4B26-BD30-77A852F5C485}">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91" authorId="0" shapeId="0" xr:uid="{20362566-EF49-44A1-AAA4-6F8E4341C179}">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93" authorId="0" shapeId="0" xr:uid="{3B9C2D7D-FE98-4F65-9648-A2A97EC226EA}">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40" authorId="0" shapeId="0" xr:uid="{3D79A976-C85C-4EFB-8434-57FB8D487CBB}">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41" authorId="0" shapeId="0" xr:uid="{9650BC2B-6821-482A-877E-561856D6159D}">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Natalia Zartha Suarez</author>
  </authors>
  <commentList>
    <comment ref="K7" authorId="0" shapeId="0" xr:uid="{28904C1C-70F0-4F06-B5D0-DAA22FE2CDDB}">
      <text>
        <r>
          <rPr>
            <sz val="11"/>
            <color theme="1"/>
            <rFont val="Calibri"/>
            <family val="2"/>
            <charset val="1"/>
          </rPr>
          <t xml:space="preserve">Natalia Zartha Suarez:
Gestión de la estrategia para los servicios TI: Estudia la posición de las TI en el sector y crea una estrategia adaptada a las necesidades de la empresa y los clientes.
Gestión de la cartera de servicios: Decide las estrategias de servicio al cliente y alinea con los objetivos de la organización.
Gestión financiera de los servicios TI: Asegura que el nivel de financiación sea el adecuado para diseñar, desarrollar y prestar servicios que cumplan con las estrategias de la organización.
Gestión de la demanda: Ayuda a la organización a entender y predecir la demanda de servicios por parte de los clientes.
Gestión de relaciones comerciales: Anticipa las necesidades presentes y futuras de los clientes.
Estos procesos son parte del ciclo de vida del servicio ITIL, que consta de cinco etapas: Estrategia, Cartera, Financiera, Demanda y Relaciones Comerciales. </t>
        </r>
      </text>
    </comment>
    <comment ref="K8" authorId="0" shapeId="0" xr:uid="{8E39C832-D5B5-404B-A218-A6A2B077AF2B}">
      <text>
        <r>
          <rPr>
            <sz val="11"/>
            <color theme="1"/>
            <rFont val="Calibri"/>
            <family val="2"/>
            <charset val="1"/>
          </rPr>
          <t>Natalia Zartha Suarez:
Volumen de tickets: Mide cuántos tickets maneja un técnico en un período determinado, indicando su ocupación y productividad. 
Tiempo de resolución de tickets: Evalúa cuánto tiempo tarda un técnico en resolver un ticket, lo que refleja su eficiencia y calidad del servicio. 
Resolución en el primer contacto: Mide el porcentaje de tickets que un técnico resuelve en el primer intento, mostrando su habilidad para resolver problemas rápidamente. 
Tiempo de respuesta: Indica cuánto tiempo tarda un técnico en responder a un ticket, crucial para la satisfacción del cliente. 
Satisfacción del cliente: Evalúa la experiencia del cliente con el servicio de soporte, lo que puede influir en la retención y fidelización. 
Estas métricas ayudan a optimizar la gestión de la mesa de servicio y mejorar la experiencia del cliente.
​</t>
        </r>
      </text>
    </comment>
    <comment ref="K9" authorId="0" shapeId="0" xr:uid="{9DD97059-9371-4B7B-A88E-858A24CC90FA}">
      <text>
        <r>
          <rPr>
            <sz val="11"/>
            <color theme="1"/>
            <rFont val="Calibri"/>
            <family val="2"/>
            <charset val="1"/>
          </rPr>
          <t xml:space="preserve">Natalia Zartha Suarez:
Automatización de flujos de trabajo en la gestión de incidencias
Chatbots y asistentes virtuales
Automatización de tareas repetitivas
Base de Datos de conocimiento
</t>
        </r>
      </text>
    </comment>
    <comment ref="B10" authorId="0" shapeId="0" xr:uid="{9EC597E4-ECB4-4F52-911C-558D04F31B89}">
      <text>
        <r>
          <rPr>
            <sz val="11"/>
            <color theme="1"/>
            <rFont val="Calibri"/>
            <family val="2"/>
            <charset val="1"/>
          </rPr>
          <t xml:space="preserve">Natalia Zartha Suarez:
FTE significa "Full Time Equivalent" o "Equivalente a Tiempo Completo", y mide la cantidad de trabajo equivalente a jornadas completas realizadas por los empleados de una empresa.
Por ejemplo, si la jornada completa en una empresa es de 40 horas semanales, un empleado que trabaje 20 horas representa 0,5 FTE </t>
        </r>
      </text>
    </comment>
    <comment ref="C34" authorId="0" shapeId="0" xr:uid="{4051CCC7-B25B-4E3E-ABA2-1F2EB9E6657E}">
      <text>
        <r>
          <rPr>
            <sz val="11"/>
            <color theme="1"/>
            <rFont val="Calibri"/>
            <family val="2"/>
            <charset val="1"/>
          </rPr>
          <t xml:space="preserve">Natalia Zartha Suarez:
El headcount, o conteo de personal, es un indicador fundamental en Recursos Humanos que refleja el número total de empleados de una empresa en un momento determinado. 
</t>
        </r>
      </text>
    </comment>
    <comment ref="C37" authorId="0" shapeId="0" xr:uid="{5398A3C9-5CAE-415F-BAFA-A76D57BD9322}">
      <text>
        <r>
          <rPr>
            <sz val="11"/>
            <color theme="1"/>
            <rFont val="Calibri"/>
            <family val="2"/>
            <charset val="1"/>
          </rPr>
          <t>Natalia Zartha Suarez:
Métricas de productividad: evalúan la carga de trabajo de tu equipo de soporte de IT o de los agentes individuales, como por ejemplo el Volumen y la Acumulación de Tickets, así como la Utilización de Agentes. 
Métricas de calidad: ayudan a comprender el impacto que tiene en tus clientes, sus impresiones sobre tu marca y sus niveles de satisfacción. Por ejemplo, el Puntaje de Satisfacción del Cliente, el Score Neto del Promotor, el Cumplimiento del Acuerdo de Nivel de Servicio (SLA) y el Puntaje del Esfuerzo del Cliente.
Métricas de rendimiento: hacen un seguimiento del tiempo que transcurre hasta resolver los problemas de los clientes, incluyendo el lapso que pasa hasta la Primera Respuesta, el de Resolución, la Resolución en el Primer Contacto, el Tiempo Medio de Gestión, la Tasa de Escalada y la Gravedad del Incidente.
Métricas financieras: colaboran en el monitoreo del impacto económico de tus operaciones de soporte de IT. Por ejemplo, el Costo por Ticket y el Retorno de la Inversión.</t>
        </r>
      </text>
    </comment>
    <comment ref="C38" authorId="0" shapeId="0" xr:uid="{EC3797E5-71D2-4602-8E46-9573E9563576}">
      <text>
        <r>
          <rPr>
            <sz val="11"/>
            <color theme="1"/>
            <rFont val="Calibri"/>
            <family val="2"/>
            <charset val="1"/>
          </rPr>
          <t>Natalia Zartha Suarez:
Las siglas NPS significan Net Promoter Score, y es un indicador de la experiencia del cliente. Mide las probabilidades de que tus clientes recomienden tu empresa y se obtiene por medio de una encuesta con preguntas como «¿recomendaría este producto o servicio?».</t>
        </r>
      </text>
    </comment>
    <comment ref="C44" authorId="0" shapeId="0" xr:uid="{52E206FD-F464-4FC4-AC8E-867FCC019348}">
      <text>
        <r>
          <rPr>
            <sz val="11"/>
            <color theme="1"/>
            <rFont val="Calibri"/>
            <family val="2"/>
            <charset val="1"/>
          </rPr>
          <t>Natalia Zartha Suarez:
Change Advisory Board (CAB): Definición, Responsabilidades, Beneficios y Mejores Prácticas</t>
        </r>
      </text>
    </comment>
    <comment ref="C45" authorId="0" shapeId="0" xr:uid="{674147F4-8F29-4EB1-936D-0E3682631F86}">
      <text>
        <r>
          <rPr>
            <sz val="11"/>
            <color theme="1"/>
            <rFont val="Calibri"/>
            <family val="2"/>
            <charset val="1"/>
          </rPr>
          <t>Natalia Zartha Suarez:
Una CMDB (Configuration Management Database) es un repositorio centralizado que almacena información sobre los elementos de configuración (CI) y sus relaciones dentro de la infraestructura de TI, siendo clave para la gestión de servicios según ITIL.
Los Elementos de Configuración (CIs) en una mesa de servicio de IT son componentes básicos que conforman los servicios empresariales. La gestión de la configuración se encarga de su administración eficaz, garantizando el recuento de estos componentes y la disponibilidad de información confiable sobre ellos.</t>
        </r>
      </text>
    </comment>
    <comment ref="C46" authorId="0" shapeId="0" xr:uid="{215B66CF-5511-4CD8-B30B-4EE4BA88C6B4}">
      <text>
        <r>
          <rPr>
            <sz val="11"/>
            <color theme="1"/>
            <rFont val="Calibri"/>
            <family val="2"/>
            <charset val="1"/>
          </rPr>
          <t>Natalia Zartha Suarez:
El monitoreo y la observabilidad son fundamentales en la gestión de TI moderna. El monitoreo se centra en la supervisión continua utilizando umbrales y métricas predefinidos para alertar sobre anomalías.
Observabilidad proporciona una visión más profunda y contextual del comportamiento del sistema. La integración de estos enfoques en una mesa de servicio de IT permite a las empresas resolver incidentes de manera más rápida y eficiente, optimizando el uso de recursos y mejorando la experiencia del usuario</t>
        </r>
      </text>
    </comment>
    <comment ref="C50" authorId="0" shapeId="0" xr:uid="{F8917B63-D0D6-468D-A24E-F90A2F6760EE}">
      <text>
        <r>
          <rPr>
            <sz val="11"/>
            <color theme="1"/>
            <rFont val="Calibri"/>
            <family val="2"/>
            <charset val="1"/>
          </rPr>
          <t>Natalia Zartha Suarez:
Un SLA en la mesa de servicio de IT es un contrato formal que establece las expectativas de rendimiento del servicio entre un proveedor de servicios y un cliente. Este acuerdo define parámetros de rendimiento mensurables, como tiempos de respuesta y resolución, disponibilidad y responsabilidades. Los SLA son una parte clave de la Gestión del Nivel de Servicio (SLM), ya que garantizan que los servicios de IT se ajustan a las necesidades del negocio.</t>
        </r>
      </text>
    </comment>
    <comment ref="C51" authorId="0" shapeId="0" xr:uid="{850DE65E-ED77-4766-BD1D-EF9CAB820C73}">
      <text>
        <r>
          <rPr>
            <sz val="11"/>
            <color theme="1"/>
            <rFont val="Calibri"/>
            <family val="2"/>
            <charset val="1"/>
          </rPr>
          <t xml:space="preserve">Natalia Zartha Suarez:
Los acuerdos de nivel de servicio (SLA), acuerdos de nivel operativo (OLA) y acuerdos de experiencia de nivel (XLA) son conceptos fundamentales en la gestión de servicios de TI. SLA, OLA y XLA se definen y miden de la siguiente manera:
SLA: Es un contrato formal entre un proveedor de servicios y un cliente que establece las expectativas de rendimiento del servicio, los métodos de medición y las consecuencias ante el incumplimiento. 
OLA: Es un acuerdo interno entre diferentes equipos dentro de la organización que define cómo se coordinarán para cumplir con los compromisos establecidos en los SLA. 
XLA: Es un compromiso medible sobre la experiencia del usuario final, combinando métricas cuantitativas y cualitativas para reflejar qué tan fácil, rápido y satisfactorio fue satisfacer la necesidad del usuario. 
1
Estos acuerdos son esenciales para garantizar que los servicios de TI cumplan con los objetivos acordados de rendimiento y disponibilidad, y para asegurar que los usuarios entiendan qué esperar de sus servicios de TI. 
</t>
        </r>
      </text>
    </comment>
    <comment ref="C55" authorId="0" shapeId="0" xr:uid="{963D4A4E-3474-42ED-94A4-F0FB0BC5A6FE}">
      <text>
        <r>
          <rPr>
            <sz val="11"/>
            <color theme="1"/>
            <rFont val="Calibri"/>
            <family val="2"/>
            <charset val="1"/>
          </rPr>
          <t>Natalia Zartha Suarez:
PDCA en mesa de servicio de it
El ciclo PDCA es una metodología de mejora continua que se aplica en la gestión de servicios de TI para optimizar procesos y mejorar la experiencia del cliente. En el contexto de la mesa de servicio de IT, el ciclo PDCA ayuda a identificar fallas recurrentes, formular planes de acción para mitigarlas y promover la mejora continua. Las etapas del ciclo PDCA son Planificar, Hacer, Comprobar y Actuar, y se aplican en conjunto con metodologías ágiles como el Design Thinking y el SCRUM para una gestión más efectiva y eficiente de los servicios de TI.</t>
        </r>
      </text>
    </comment>
    <comment ref="B78" authorId="0" shapeId="0" xr:uid="{0C07BC82-822D-4061-A31F-A4309CDD95EC}">
      <text>
        <r>
          <rPr>
            <sz val="11"/>
            <color theme="1"/>
            <rFont val="Calibri"/>
            <family val="2"/>
            <charset val="1"/>
          </rPr>
          <t>Natalia Zartha Suarez:
La mesa de servicio, también conocida como service desk, es una infraestructura centralizada que actúa como puente de comunicación entre los usuarios finales y el departamento de TI de una organización. Su objetivo principal es gestionar solicitudes de servicio, incidentes y problemas técnicos, asegurando que los servicios de TI funcionen correctamente y se alineen con los objetivos del negocio</t>
        </r>
      </text>
    </comment>
    <comment ref="B91" authorId="0" shapeId="0" xr:uid="{088D63EA-6A77-47BF-8274-EBD350CA75B2}">
      <text>
        <r>
          <rPr>
            <sz val="11"/>
            <color theme="1"/>
            <rFont val="Calibri"/>
            <family val="2"/>
            <charset val="1"/>
          </rPr>
          <t>Natalia Zartha Suarez:
El NPS no solo es una métrica para medir la lealtad de los clientes, sino que también puede ser utilizado para evaluar la efectividad de las mesas de servicio en una mesa de servicio.</t>
        </r>
      </text>
    </comment>
    <comment ref="B93" authorId="0" shapeId="0" xr:uid="{77CF1BDD-0088-45E7-BCFE-5A37140203DE}">
      <text>
        <r>
          <rPr>
            <sz val="11"/>
            <color theme="1"/>
            <rFont val="Calibri"/>
            <family val="2"/>
            <charset val="1"/>
          </rPr>
          <t>Natalia Zartha Suarez:
El CES es una métrica clave para las mesas de servicio de ti, ya que permite medir cuánto esfuerzo debe hacer un cliente para completar una acción con la empresa. Esto incluye resolver problemas, realizar compras o obtener información. Cuanto más sencillo y directo sea el proceso, mayor es la probabilidad de fidelización.</t>
        </r>
      </text>
    </comment>
    <comment ref="B140" authorId="0" shapeId="0" xr:uid="{A764E4E8-700F-4F25-8DBF-25C4E0A43C75}">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 ref="B141" authorId="0" shapeId="0" xr:uid="{5C406D8A-C8C9-49EA-97CA-23844AF3290C}">
      <text>
        <r>
          <rPr>
            <sz val="11"/>
            <color theme="1"/>
            <rFont val="Calibri"/>
            <family val="2"/>
            <charset val="1"/>
          </rPr>
          <t>Natalia Zartha Suarez:
La CMDB en una mesa de servicio de TI es un repositorio centralizado que almacena información detallada sobre los activos de TI de una organización, conocidos como Elementos de Configuración (CIs), y sus relaciones.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<sst xmlns="http://schemas.openxmlformats.org/spreadsheetml/2006/main" count="6959" uniqueCount="1486">
  <si>
    <t>LEVANTAMIENTO DE MESA DE SERVICIOS</t>
  </si>
  <si>
    <t>Caracterización y Diagnóstico de Mesas de Servicio Operación Actual</t>
  </si>
  <si>
    <r>
      <t xml:space="preserve">Fecha: </t>
    </r>
    <r>
      <rPr>
        <sz val="11"/>
        <color rgb="FF1A1A1A"/>
        <rFont val="Calibri Light"/>
        <family val="2"/>
      </rPr>
      <t>2026/07/03</t>
    </r>
  </si>
  <si>
    <t>Versión:</t>
  </si>
  <si>
    <t>1.0</t>
  </si>
  <si>
    <r>
      <t xml:space="preserve">Clasificación: </t>
    </r>
    <r>
      <rPr>
        <sz val="11"/>
        <color rgb="FF1A1A1A"/>
        <rFont val="Calibri Light"/>
        <family val="2"/>
      </rPr>
      <t>Interna</t>
    </r>
  </si>
  <si>
    <t>Elaboró</t>
  </si>
  <si>
    <t>Revisó</t>
  </si>
  <si>
    <t>Aprobó</t>
  </si>
  <si>
    <t>Natalia Zartha
Junior Architect</t>
  </si>
  <si>
    <t>Fecha</t>
  </si>
  <si>
    <t>Versión</t>
  </si>
  <si>
    <t>Descripción</t>
  </si>
  <si>
    <t>2026/07/03</t>
  </si>
  <si>
    <t>Versión inicial; levantamiento de información actual de las mesas de servicio</t>
  </si>
  <si>
    <t>LECCIONES APRENDIDAS — MESA DE SERVICIOS DE NUEVA GENERACIÓN</t>
  </si>
  <si>
    <t>Esta herramienta permite caracterizar la mesa de servicios actual en todas sus dimensiones para diseñar el futuro servicio Gen Next</t>
  </si>
  <si>
    <r>
      <rPr>
        <b/>
        <sz val="11"/>
        <color rgb="FF1A1A1A"/>
        <rFont val="Calibri Light"/>
      </rPr>
      <t xml:space="preserve">Versión: </t>
    </r>
    <r>
      <rPr>
        <sz val="11"/>
        <color rgb="FF1A1A1A"/>
        <rFont val="Calibri Light"/>
      </rPr>
      <t>1.0</t>
    </r>
  </si>
  <si>
    <t xml:space="preserve">  AGENDA DE LA SESIÓN DE LECCIONES APRENDIDAS (~60 minutos)</t>
  </si>
  <si>
    <t>#</t>
  </si>
  <si>
    <t>BLOQUE</t>
  </si>
  <si>
    <t>TIEMPO</t>
  </si>
  <si>
    <t>DESCRIPCIÓN</t>
  </si>
  <si>
    <t>①</t>
  </si>
  <si>
    <t>INFORMACIÓN GENERAL</t>
  </si>
  <si>
    <t>5 min</t>
  </si>
  <si>
    <t>Registrar datos básicos de la mesa: cliente, nombre del servicio, líder, ubicación, modalidad, contrato, herramientas y participantes.</t>
  </si>
  <si>
    <t>②</t>
  </si>
  <si>
    <t>IDENTIFICAR NIVEL DE MADUREZ ACTUAL</t>
  </si>
  <si>
    <t>Identificar el nivel de madurez actual de la mesa de servicio de TI en una escala N0–N5, identificando el punto de partida operativo.</t>
  </si>
  <si>
    <t>③</t>
  </si>
  <si>
    <t>17 PRÁCTICAS ITIL v4 + DIMENSIONES</t>
  </si>
  <si>
    <t>Revisar el cumplimiento de las prácticas ITIL v4 por las 4 dimensiones: organización/personas, información/tecnología, socios/proveedores y valor/mejora.</t>
  </si>
  <si>
    <t>④</t>
  </si>
  <si>
    <t>VOLUMETRÍA Y KPIs OPERATIVOS</t>
  </si>
  <si>
    <t>Levantar métricas operativas clave: volumen de tickets, FCR, SLA, backlog, tiempos de atención, escalamiento y desempeño general.</t>
  </si>
  <si>
    <t xml:space="preserve">  ④b</t>
  </si>
  <si>
    <t xml:space="preserve">  ④b DISTRIBUCIÓN DE INCIDENTES POR CATEGORÍA</t>
  </si>
  <si>
    <t>Analizar la distribución de incidentes por categoría para identificar patrones, servicios críticos, causas recurrentes y oportunidades de mejora.</t>
  </si>
  <si>
    <t>⑤</t>
  </si>
  <si>
    <t>EXPERIENCIA DEL USUARIO — XLA / DEX</t>
  </si>
  <si>
    <t>Evaluar la experiencia del usuario final mediante indicadores XLA/DEX, satisfacción, percepción del servicio, puntos de dolor y canales de atención.</t>
  </si>
  <si>
    <t>⑥</t>
  </si>
  <si>
    <t>DOLORES CRÍTICOS DE LA MESA (D1–D22)</t>
  </si>
  <si>
    <t>Identificar y priorizar los dolores críticos de la mesa, su impacto operativo, evidencias disponibles y nivel de urgencia para intervención.</t>
  </si>
  <si>
    <t>⑦</t>
  </si>
  <si>
    <t>ROTACIÓN Y TALENTO</t>
  </si>
  <si>
    <t>Revisar rotación, perfiles críticos, capacidades del equipo, clima laboral, brechas de conocimiento y necesidades de formación.</t>
  </si>
  <si>
    <t xml:space="preserve"> ⑧ </t>
  </si>
  <si>
    <t xml:space="preserve"> TECNOLOGÍA Y HERRAMIENTAS</t>
  </si>
  <si>
    <t>Evaluar herramientas tecnológicas actuales: ITSM, monitoreo, autoservicio, base de conocimiento, automatización, integraciones y reportes.</t>
  </si>
  <si>
    <t>⑨</t>
  </si>
  <si>
    <t>MODELO ECONÓMICO ACTUAL</t>
  </si>
  <si>
    <t>Analizar el modelo económico actual: FTEs, costos, esquema contractual, capacidad instalada, eficiencia operativa y posibles oportunidades de optimización.</t>
  </si>
  <si>
    <t xml:space="preserve">  ⑩ </t>
  </si>
  <si>
    <t>VISIÓN PARA EL NUEVO SERVICIO — ¿QUÉ DEBERÍA CAMBIAR?</t>
  </si>
  <si>
    <t>Definir la visión objetivo del nuevo servicio: cambios esperados, capacidades Gen Next, automatización, experiencia deseada y prioridades de transformación.</t>
  </si>
  <si>
    <t>⑪</t>
  </si>
  <si>
    <t>CASOS DE EXITO</t>
  </si>
  <si>
    <t>Documentar casos de éxito, buenas prácticas, aprendizajes reutilizables y elementos que deben conservarse o escalarse en el nuevo modelo.</t>
  </si>
  <si>
    <t xml:space="preserve">  ESCALA DE MADUREZ — N0 a N5</t>
  </si>
  <si>
    <t>NIVEL</t>
  </si>
  <si>
    <t>NOMBRE</t>
  </si>
  <si>
    <t>N0</t>
  </si>
  <si>
    <t>Reactivo / Sin estructura</t>
  </si>
  <si>
    <t>No existe proceso formal. Todo es manual y reactivo. Sin CMDB ni catálogo.</t>
  </si>
  <si>
    <t>N1</t>
  </si>
  <si>
    <t>Inicial / Ad hoc/ Operación reactiva</t>
  </si>
  <si>
    <t>Procesos básicos documentados. Herramientas mínimas. Cumplimiento inconsistente.</t>
  </si>
  <si>
    <t>N2</t>
  </si>
  <si>
    <t>Definido / Organización funcional</t>
  </si>
  <si>
    <t>Procesos ITIL definidos y seguidos. Métricas básicas (SLA  (Service Level Agreement),  FCR (Fondo de Capital Riesgo)). Equipo estable.</t>
  </si>
  <si>
    <t>N3</t>
  </si>
  <si>
    <t>Gestionado / Gestión por servicios</t>
  </si>
  <si>
    <t>Métricas avanzadas. Automatización parcial. Gestión proactiva de problemas.</t>
  </si>
  <si>
    <t>N4</t>
  </si>
  <si>
    <t>Optimizado / Gestión integrada</t>
  </si>
  <si>
    <t>Autoservicio maduro. IA/ML básico. XLA (Experience Level Agreement) medidos. Mejora continua activa.</t>
  </si>
  <si>
    <t>N5</t>
  </si>
  <si>
    <t>Innovador / Diferenciador</t>
  </si>
  <si>
    <t>IA generativa, predicción, hiper-automatización. Referente del sector.</t>
  </si>
  <si>
    <t xml:space="preserve">  LEYENDA DE RESPUESTAS — PRÁCTICAS ITIL</t>
  </si>
  <si>
    <t>RESPUESTA</t>
  </si>
  <si>
    <t>SIGNIFICADO</t>
  </si>
  <si>
    <t>COLOR</t>
  </si>
  <si>
    <t>PUNTAJE</t>
  </si>
  <si>
    <t>Sí</t>
  </si>
  <si>
    <t>Cumplimiento completo y documentado</t>
  </si>
  <si>
    <t>1F7A4D</t>
  </si>
  <si>
    <t>Parcial</t>
  </si>
  <si>
    <t>Cumplimiento parcial o en proceso</t>
  </si>
  <si>
    <t>E07B26</t>
  </si>
  <si>
    <t>0.5</t>
  </si>
  <si>
    <t>No</t>
  </si>
  <si>
    <t>No existe o no se cumple</t>
  </si>
  <si>
    <t>C0392B</t>
  </si>
  <si>
    <t>0.0</t>
  </si>
  <si>
    <t>N/A</t>
  </si>
  <si>
    <t>No aplica a esta mesa</t>
  </si>
  <si>
    <t>D9D9D9</t>
  </si>
  <si>
    <t>—</t>
  </si>
  <si>
    <t>DASHBOARD — MESA DE SERVICIOS DE NUEVA GENERACIÓN</t>
  </si>
  <si>
    <t>Fecha: 2026/07/03
Clasificación: Interna</t>
  </si>
  <si>
    <t>Resumen consolidado · Julio 2026 · PersonalSoft</t>
  </si>
  <si>
    <t>Versión: 1.0</t>
  </si>
  <si>
    <t xml:space="preserve">  RESUMEN POR MESA DE SERVICIOS — 12 MESAS</t>
  </si>
  <si>
    <t>MESA</t>
  </si>
  <si>
    <t>Nivel
Madurez</t>
  </si>
  <si>
    <t>Score
Prácticas</t>
  </si>
  <si>
    <t>FCR
(%)</t>
  </si>
  <si>
    <t>SLA
(%)</t>
  </si>
  <si>
    <t>NPS</t>
  </si>
  <si>
    <t>FTEs</t>
  </si>
  <si>
    <t>Dolores
Activos</t>
  </si>
  <si>
    <t>Prioridad
Global</t>
  </si>
  <si>
    <t>Estado</t>
  </si>
  <si>
    <t>SURA Cotizadores</t>
  </si>
  <si>
    <t>SURA Digital Venta</t>
  </si>
  <si>
    <t>SURA Automatizacion</t>
  </si>
  <si>
    <t>SURA Canales Masivos</t>
  </si>
  <si>
    <t>BCO COES Integracion</t>
  </si>
  <si>
    <t>BCO COES Datos</t>
  </si>
  <si>
    <t>BCO Soporte</t>
  </si>
  <si>
    <t>BCO COES Emma</t>
  </si>
  <si>
    <t>BCO Emma Iseries</t>
  </si>
  <si>
    <t>AES</t>
  </si>
  <si>
    <t>XM</t>
  </si>
  <si>
    <t>MEDICARTE</t>
  </si>
  <si>
    <t xml:space="preserve">  ESTADÍSTICAS DE CONSOLIDADO</t>
  </si>
  <si>
    <t>Promedio Score Prácticas ITIL:</t>
  </si>
  <si>
    <t>Score Mínimo:</t>
  </si>
  <si>
    <t>Score Máximo:</t>
  </si>
  <si>
    <t>Total FTEs evaluados:</t>
  </si>
  <si>
    <t>Mesas evaluadas:</t>
  </si>
  <si>
    <t>Mesas pendientes / sin datos:</t>
  </si>
  <si>
    <t xml:space="preserve">  SEMÁFORO DE MADUREZ — ESTADO POR MESA</t>
  </si>
  <si>
    <t>Nivel</t>
  </si>
  <si>
    <t>Descripción del Nivel</t>
  </si>
  <si>
    <t>Fortaleza Identificada</t>
  </si>
  <si>
    <t>Brecha Principal</t>
  </si>
  <si>
    <t>Acción Recomendada Mesas de Nueva Generación</t>
  </si>
  <si>
    <t xml:space="preserve">  DOLORES ACTIVOS POR MESA — D1–D23 (✓=Sí · ~=Parcial)</t>
  </si>
  <si>
    <t>DOLOR</t>
  </si>
  <si>
    <t>SURA
Cotiz.</t>
  </si>
  <si>
    <t>SURA
Venta D.</t>
  </si>
  <si>
    <t>SURA
Autom.</t>
  </si>
  <si>
    <t>SURA
Canales</t>
  </si>
  <si>
    <t>BCO
COES Int.</t>
  </si>
  <si>
    <t>BCO
Datos</t>
  </si>
  <si>
    <t>BCO
Soporte</t>
  </si>
  <si>
    <t>BCO
Emma</t>
  </si>
  <si>
    <t>BCO
Iseries</t>
  </si>
  <si>
    <t>TOTAL</t>
  </si>
  <si>
    <t>D1</t>
  </si>
  <si>
    <t>D2</t>
  </si>
  <si>
    <t>D3</t>
  </si>
  <si>
    <t>D4</t>
  </si>
  <si>
    <t>D5</t>
  </si>
  <si>
    <t>D6</t>
  </si>
  <si>
    <t>D7</t>
  </si>
  <si>
    <t>D8</t>
  </si>
  <si>
    <t>D9</t>
  </si>
  <si>
    <t>D10</t>
  </si>
  <si>
    <t>D11</t>
  </si>
  <si>
    <t>D12</t>
  </si>
  <si>
    <t>D13</t>
  </si>
  <si>
    <t>D14</t>
  </si>
  <si>
    <t>D15</t>
  </si>
  <si>
    <t>D16</t>
  </si>
  <si>
    <t>D17</t>
  </si>
  <si>
    <t>D18</t>
  </si>
  <si>
    <t>D19</t>
  </si>
  <si>
    <t>D20</t>
  </si>
  <si>
    <t>D21</t>
  </si>
  <si>
    <t>D22</t>
  </si>
  <si>
    <t>D23</t>
  </si>
  <si>
    <t xml:space="preserve">  COBERTURA PROMEDIO POR DIMENSIÓN</t>
  </si>
  <si>
    <t>ANÁLISIS VISUAL— MESA DE SERVICIOS DE NUEVA GENERACIÓN</t>
  </si>
  <si>
    <t>Dashboard de madurez · prácticas · dolores · industria vs benchmark · Gen Next</t>
  </si>
  <si>
    <t>GRÁFICAS POR BLOQUE DE EVALUACIÓN — 11 DIMENSIONES + ④b</t>
  </si>
  <si>
    <t>TABLA 1 — MADUREZ NUMÉRICA (N0-N5)</t>
  </si>
  <si>
    <t>HELPERS PARA GRÁFICAS</t>
  </si>
  <si>
    <t>① Identificación general — completitud</t>
  </si>
  <si>
    <t>② Nivel de madurez actual</t>
  </si>
  <si>
    <t>③ Prácticas ITIL — score global</t>
  </si>
  <si>
    <t>④ Volumetría y KPIs — FCR/SLA</t>
  </si>
  <si>
    <t>④b Incidentes por categoría — tickets/mes</t>
  </si>
  <si>
    <t>⑤ XLA / DEX — NPS</t>
  </si>
  <si>
    <t>⑥ Dolores críticos — total activo D1–D23</t>
  </si>
  <si>
    <t>⑦ Rotación y talento — completitud</t>
  </si>
  <si>
    <t>⑧ Tecnología y herramientas — herramientas registradas</t>
  </si>
  <si>
    <t>⑨ Modelo económico — completitud</t>
  </si>
  <si>
    <t>⑩ Visión nuevo servicio — completitud</t>
  </si>
  <si>
    <t>⑪ Casos de éxito — completitud</t>
  </si>
  <si>
    <t>RESUMEN PROMEDIO POR DIMENSIÓN</t>
  </si>
  <si>
    <t>DOLORES CONSOLIDADOS D1–D23</t>
  </si>
  <si>
    <t>Mesa</t>
  </si>
  <si>
    <t>Nivel Madurez (texto)</t>
  </si>
  <si>
    <t>Madurez Numérica (0-5)</t>
  </si>
  <si>
    <t>Meta (N3)</t>
  </si>
  <si>
    <t>Madurez</t>
  </si>
  <si>
    <t>Meta</t>
  </si>
  <si>
    <t>Completitud</t>
  </si>
  <si>
    <t>Meta N3</t>
  </si>
  <si>
    <t>Score ITIL</t>
  </si>
  <si>
    <t>FCR</t>
  </si>
  <si>
    <t>SLA</t>
  </si>
  <si>
    <t>Tickets categorizados</t>
  </si>
  <si>
    <t>Dolores activos D1–D23</t>
  </si>
  <si>
    <t>Herramientas registradas</t>
  </si>
  <si>
    <t>Dimensión</t>
  </si>
  <si>
    <t>Promedio</t>
  </si>
  <si>
    <t>Dolor</t>
  </si>
  <si>
    <t>Total ponderado</t>
  </si>
  <si>
    <t>① Identificación general</t>
  </si>
  <si>
    <t>② Madurez (normalizada)</t>
  </si>
  <si>
    <t>③ ITIL</t>
  </si>
  <si>
    <t>④ KPIs FCR/SLA</t>
  </si>
  <si>
    <t>④b Incidentes categorizados</t>
  </si>
  <si>
    <t>⑤ XLA/DEX NPS</t>
  </si>
  <si>
    <t>⑥ Dolores activos</t>
  </si>
  <si>
    <t>⑦ Talento</t>
  </si>
  <si>
    <t>⑧ Tecnología</t>
  </si>
  <si>
    <t>⑨ Económico</t>
  </si>
  <si>
    <t>⑩ Visión</t>
  </si>
  <si>
    <t>⑪ Casos éxito</t>
  </si>
  <si>
    <t>TABLA 2 — SCORE PRÁCTICAS POR DIMENSIÓN (%)</t>
  </si>
  <si>
    <t>D1 Org/Personas</t>
  </si>
  <si>
    <t>D2 Info/Tecnología</t>
  </si>
  <si>
    <t>D3 Socios/Proveed.</t>
  </si>
  <si>
    <t>D4 Valor/Mejora</t>
  </si>
  <si>
    <t>Score Global</t>
  </si>
  <si>
    <t>BCO Gioti1</t>
  </si>
  <si>
    <t>BCO Gioti2</t>
  </si>
  <si>
    <t>BCO Gioti3</t>
  </si>
  <si>
    <t>BCO Gioti4</t>
  </si>
  <si>
    <t>TABLA 3 — DOLORES ACTIVOS POR MESA</t>
  </si>
  <si>
    <t>D1 Rotación</t>
  </si>
  <si>
    <t>D2 SLAs</t>
  </si>
  <si>
    <t>D3 Autoservicio</t>
  </si>
  <si>
    <t>D4 Herramientas</t>
  </si>
  <si>
    <t>D5 NPS bajo</t>
  </si>
  <si>
    <t>D6 Escalamientos</t>
  </si>
  <si>
    <t>D7 Sin dashboard</t>
  </si>
  <si>
    <t>Total dolores</t>
  </si>
  <si>
    <t>Total dolores D1-D23</t>
  </si>
  <si>
    <t>Total por dolor (todas mesas)</t>
  </si>
  <si>
    <t>TABLA 4 — PROMEDIO DIMENSIONES POR CLIENTE / GRUPO</t>
  </si>
  <si>
    <t>SURA</t>
  </si>
  <si>
    <t>BCO</t>
  </si>
  <si>
    <t>Meta (100%)</t>
  </si>
  <si>
    <t>TABLA 5 — KPI BENCHMARK INDUSTRIA vs MESAS</t>
  </si>
  <si>
    <t>KPI</t>
  </si>
  <si>
    <t>Benchmark Industria</t>
  </si>
  <si>
    <t>Objetivo Gen Next</t>
  </si>
  <si>
    <t>Promedio Mesas Actuales</t>
  </si>
  <si>
    <t>FCR (%)</t>
  </si>
  <si>
    <t>SLA Cumplimiento (%)</t>
  </si>
  <si>
    <t>Rotación anual (%)</t>
  </si>
  <si>
    <t>% Autoservicio</t>
  </si>
  <si>
    <t>Costo/ticket (USD)</t>
  </si>
  <si>
    <t xml:space="preserve">  LISTAS DE VALIDACIÓN (no modificar)</t>
  </si>
  <si>
    <t>Respuestas Prácticas</t>
  </si>
  <si>
    <t>Nivel Madurez</t>
  </si>
  <si>
    <t>Criticidad Dolor</t>
  </si>
  <si>
    <t>Modelo Contrato</t>
  </si>
  <si>
    <t>Tipo Incidente</t>
  </si>
  <si>
    <t>Riesgo Churn</t>
  </si>
  <si>
    <t>Cliente</t>
  </si>
  <si>
    <t>Prioridad</t>
  </si>
  <si>
    <t>Integrado</t>
  </si>
  <si>
    <t>Alta</t>
  </si>
  <si>
    <t>FTE dedicado</t>
  </si>
  <si>
    <t>Incidente</t>
  </si>
  <si>
    <t>Alto</t>
  </si>
  <si>
    <t>Si</t>
  </si>
  <si>
    <t>Staffing</t>
  </si>
  <si>
    <t>Media</t>
  </si>
  <si>
    <t>Capacidad</t>
  </si>
  <si>
    <t>Requerimiento</t>
  </si>
  <si>
    <t>Medio</t>
  </si>
  <si>
    <t>Bancolombia</t>
  </si>
  <si>
    <t>Baja</t>
  </si>
  <si>
    <t>Bolsa de horas</t>
  </si>
  <si>
    <t>Cambio</t>
  </si>
  <si>
    <t>Bajo</t>
  </si>
  <si>
    <t>En proceso</t>
  </si>
  <si>
    <t>Output/ticket</t>
  </si>
  <si>
    <t>Problema</t>
  </si>
  <si>
    <t>Sin prioridad</t>
  </si>
  <si>
    <t>Mixto</t>
  </si>
  <si>
    <t>Consulta</t>
  </si>
  <si>
    <t>Misión Principal</t>
  </si>
  <si>
    <t>Call Center -&gt;Manejar grandes volúmenes de llamadas; filtrar y derivar</t>
  </si>
  <si>
    <t>Help Desk (Reactivo)  -&gt; Coordinación para la restauración del servicio. Infraestructura, herramientas de seguimiento, base de conocimiento</t>
  </si>
  <si>
    <t>Help Desk -&gt; Service Desk (híbrido)</t>
  </si>
  <si>
    <t>Service Desk -&gt;Servicio integral: incidentes, solicitudes, consultas, altas/bajas/cambios</t>
  </si>
  <si>
    <t>Service Desk + Problem Management</t>
  </si>
  <si>
    <t>Otro</t>
  </si>
  <si>
    <t>Herramientas ITSM</t>
  </si>
  <si>
    <t>Herramientas Monitoreo y observabilidad</t>
  </si>
  <si>
    <t>Herramientas de Chat / Bot de autoservicio</t>
  </si>
  <si>
    <t>Herramientas de Analítica / Dashboard / BI</t>
  </si>
  <si>
    <t>Herramientas de Colaboración (Teams, Slack, etc.)</t>
  </si>
  <si>
    <t>Herramientas de Gestión de identidades / IAM</t>
  </si>
  <si>
    <t>Herramientas de CMDB / Inventario de activos</t>
  </si>
  <si>
    <t>Herramientas de Base de conocimiento (KB)</t>
  </si>
  <si>
    <t xml:space="preserve">ServiceNow ITSM → Plataforma ITSM empresarial, muy personalizable. (24x7 o según SLA)  </t>
  </si>
  <si>
    <t xml:space="preserve">AppDynamics → Monitoreo de rendimiento de aplicaciones (APM) y experiencia de usuario.  </t>
  </si>
  <si>
    <t xml:space="preserve">Ada → Bot conversacional para atención al cliente y soporte automatizado.  </t>
  </si>
  <si>
    <t xml:space="preserve">Azure Monitor Workbooks → Creación de dashboards y reportes para métricas en Azure.  </t>
  </si>
  <si>
    <t xml:space="preserve">Asana → Gestión de tareas y proyectos con enfoque en equipos ágiles.  </t>
  </si>
  <si>
    <t xml:space="preserve">AWS IAM → Gestión de identidades y accesos para servicios en AWS.  </t>
  </si>
  <si>
    <t xml:space="preserve">BMC Atrium CMDB → Base de datos de configuración empresarial integrada con BMC Helix ITSM.  </t>
  </si>
  <si>
    <t xml:space="preserve">BookStack → Plataforma open source para crear y organizar documentación en formato libro.  </t>
  </si>
  <si>
    <t xml:space="preserve">Jira Service Management → Integración con desarrollo ágil y soporte TI. (8x5 o 24x7)  </t>
  </si>
  <si>
    <t xml:space="preserve">AWS CloudWatch → Monitoreo, métricas y alertas para entornos AWS.  </t>
  </si>
  <si>
    <t xml:space="preserve">Amelia → Asistente virtual con IA para soporte, RRHH y procesos empresariales.  </t>
  </si>
  <si>
    <t xml:space="preserve">Datadog Dashboards → Visualización de métricas, logs y trazas en Datadog.  </t>
  </si>
  <si>
    <t xml:space="preserve">ClickUp → Plataforma de productividad y gestión de proyectos todo-en-uno.  </t>
  </si>
  <si>
    <t xml:space="preserve">Azure AD B2C → Gestión de identidades para aplicaciones orientadas a clientes en Azure.  </t>
  </si>
  <si>
    <t xml:space="preserve">Device42 → Descubrimiento automático y gestión de activos de TI y dependencias.  </t>
  </si>
  <si>
    <t xml:space="preserve">Confluence → Herramienta de documentación y colaboración de Atlassian, ideal para KB interna.  </t>
  </si>
  <si>
    <t xml:space="preserve">BMC Helix ITSM → Gestión de servicios TI robusta, orientada a grandes organizaciones. (24x7 o 8x5)  </t>
  </si>
  <si>
    <t xml:space="preserve">Azure Monitor → Observabilidad y métricas para entornos Microsoft Azure.  </t>
  </si>
  <si>
    <t xml:space="preserve">Azure Bot Service → Plataforma de Microsoft para crear y desplegar bots en múltiples canales.  </t>
  </si>
  <si>
    <t xml:space="preserve">Elastic Kibana → Visualización y análisis de datos de Elastic Stack.  </t>
  </si>
  <si>
    <t xml:space="preserve">Confluence → Herramienta de documentación y colaboración en equipo de Atlassian.  </t>
  </si>
  <si>
    <t xml:space="preserve">BeyondTrust → Gestión de accesos privilegiados (PAM) y control de sesiones.  </t>
  </si>
  <si>
    <t xml:space="preserve">Freshservice Asset Management → Gestión de activos integrada en la plataforma Freshservice.  </t>
  </si>
  <si>
    <t xml:space="preserve">Document360 → Plataforma de KB para clientes y equipos, con control de versiones.  </t>
  </si>
  <si>
    <t xml:space="preserve">ManageEngine ServiceDesk Plus → ITSM con módulos de activos y CMDB. (8x5 o 24x7)  </t>
  </si>
  <si>
    <t xml:space="preserve">Datadog → Monitoreo en la nube para infraestructura, logs, APM y seguridad.  </t>
  </si>
  <si>
    <t xml:space="preserve">Botpress → Framework open source para desarrollar chatbots personalizados.  </t>
  </si>
  <si>
    <t xml:space="preserve">Excel / Power Query → Análisis, transformación y modelado de datos en Microsoft Excel.  </t>
  </si>
  <si>
    <t xml:space="preserve">Google Chat → Mensajería y colaboración integrada en Google Workspace.  </t>
  </si>
  <si>
    <t xml:space="preserve">CyberArk → Plataforma líder en gestión de accesos privilegiados y credenciales.  </t>
  </si>
  <si>
    <t xml:space="preserve">GLPI Assets → Módulo de gestión de activos e inventario de GLPI.  </t>
  </si>
  <si>
    <t xml:space="preserve">Freshservice Knowledge Base → Módulo de KB integrado en Freshservice para autoservicio ITSM.  </t>
  </si>
  <si>
    <t xml:space="preserve">Freshservice → ITSM en la nube, fácil de implementar. (8x5 o 24x7)  </t>
  </si>
  <si>
    <t xml:space="preserve">Dynatrace → Observabilidad con IA para aplicaciones, microservicios y experiencia digital.  </t>
  </si>
  <si>
    <t xml:space="preserve">ChatGPT / Copilot personalizado → Asistente conversacional con IA generativa y personalización de respuestas.  </t>
  </si>
  <si>
    <t xml:space="preserve">Google Looker → Plataforma de BI y análisis de datos en la nube.  </t>
  </si>
  <si>
    <t xml:space="preserve">Jira Software → Gestión de proyectos ágiles y seguimiento de incidencias.  </t>
  </si>
  <si>
    <t xml:space="preserve">Duo Security → Autenticación multifactor (MFA) y verificación de identidad.  </t>
  </si>
  <si>
    <t xml:space="preserve">iTop CMDB → Solución open source para CMDB y gestión de servicios.  </t>
  </si>
  <si>
    <t xml:space="preserve">Google Sites → Creación sencilla de sitios web y KB internas en Google Workspace.  </t>
  </si>
  <si>
    <t xml:space="preserve">Zendesk Support → Soporte multicanal, orientado a experiencia de cliente. (8x5 o 24x7)  </t>
  </si>
  <si>
    <t xml:space="preserve">Elastic Observability → Monitoreo y análisis de logs con Elastic Stack (Elasticsearch, Kibana, Beats).  </t>
  </si>
  <si>
    <t xml:space="preserve">Cognigy → Plataforma de automatización conversacional para empresas.  </t>
  </si>
  <si>
    <t xml:space="preserve">Grafana → Visualización de métricas y datos en tiempo real desde múltiples fuentes.  </t>
  </si>
  <si>
    <t xml:space="preserve">Microsoft Teams → Comunicación, videollamadas y colaboración empresarial.  </t>
  </si>
  <si>
    <t xml:space="preserve">ForgeRock → Plataforma IAM para empresas con gestión de identidades y accesos.  </t>
  </si>
  <si>
    <t xml:space="preserve">Ivanti Neurons for Discovery → Descubrimiento y mapeo automático de activos y dependencias.  </t>
  </si>
  <si>
    <t xml:space="preserve">Guru → Plataforma de KB con enfoque en gestión del conocimiento en tiempo real.  </t>
  </si>
  <si>
    <t xml:space="preserve">GLPI → Solución ITSM de código abierto, flexible y gratuita. (8x5 o 24x7)  </t>
  </si>
  <si>
    <t xml:space="preserve">Google Cloud Operations → Observabilidad y monitoreo para entornos Google Cloud.  </t>
  </si>
  <si>
    <t xml:space="preserve">Freshservice Freddy AI → Bot de soporte integrado en Freshservice para ITSM.  </t>
  </si>
  <si>
    <t xml:space="preserve">Jira Dashboards → Paneles para seguimiento de proyectos, incidencias y métricas ágiles.  </t>
  </si>
  <si>
    <t xml:space="preserve">Miro → Pizarra colaborativa online para trabajo visual en equipo.  </t>
  </si>
  <si>
    <t xml:space="preserve">Google Cloud Identity → Gestión de usuarios, dispositivos y accesos en Google Cloud.  </t>
  </si>
  <si>
    <t xml:space="preserve">Jira Assets / Insight → Gestión de activos y CMDB integrada en Jira Service Management.  </t>
  </si>
  <si>
    <t xml:space="preserve">Helpjuice → KB para clientes y equipos, con analítica de uso.  </t>
  </si>
  <si>
    <t xml:space="preserve">OTRS / Znuny → ITSM open source con alta capacidad de personalización. (8x5 o 24x7)  </t>
  </si>
  <si>
    <t xml:space="preserve">Grafana / Prometheus → Recolección de métricas (Prometheus) y visualización en tiempo real (Grafana).  </t>
  </si>
  <si>
    <t xml:space="preserve">Google Dialogflow → Creación de bots con procesamiento de lenguaje natural (NLP).  </t>
  </si>
  <si>
    <t xml:space="preserve">Looker Studio → Creación de reportes y dashboards interactivos de Google.  </t>
  </si>
  <si>
    <t xml:space="preserve">Monday.com → Gestión de proyectos y flujos de trabajo personalizables.  </t>
  </si>
  <si>
    <t xml:space="preserve">IBM Security Verify → IAM con SSO, MFA y gestión de identidades en la nube.  </t>
  </si>
  <si>
    <t xml:space="preserve">Lansweeper → Inventario y descubrimiento de hardware y software en red.  </t>
  </si>
  <si>
    <t xml:space="preserve">Jira Service Management KB → Base de conocimiento integrada con el portal de soporte de Jira.  </t>
  </si>
  <si>
    <t xml:space="preserve">Ivanti Neurons for ITSM → ITSM con automatización y gestión proactiva. (8x5 o 24x7)  </t>
  </si>
  <si>
    <t xml:space="preserve">LogicMonitor → Monitoreo de infraestructura híbrida, nube y redes.  </t>
  </si>
  <si>
    <t xml:space="preserve">IBM Watson Assistant → Asistente virtual con IA de IBM para soporte y autoservicio.  </t>
  </si>
  <si>
    <t xml:space="preserve">ManageEngine Analytics Plus → BI y analítica para ITSM y operaciones.  </t>
  </si>
  <si>
    <t xml:space="preserve">Notion → Documentación, bases de datos y colaboración en un solo espacio.  </t>
  </si>
  <si>
    <t xml:space="preserve">Keycloak → Solución open source para SSO, autenticación y autorización.  </t>
  </si>
  <si>
    <t xml:space="preserve">ManageEngine AssetExplorer → Gestión de activos de TI y ciclo de vida.  </t>
  </si>
  <si>
    <t xml:space="preserve">MediaWiki → Plataforma wiki open source (usada por Wikipedia) para documentación colaborativa.  </t>
  </si>
  <si>
    <t xml:space="preserve">Cherwell Service Management → Plataforma ITSM adaptable, orientada a medianas y grandes empresas. (8x5 o 24x7)  </t>
  </si>
  <si>
    <t xml:space="preserve">Nagios → Monitoreo de red, servidores y servicios críticos.  </t>
  </si>
  <si>
    <t xml:space="preserve">Intercom Fin → Bot de soporte y ventas con IA.  </t>
  </si>
  <si>
    <t xml:space="preserve">MicroStrategy → Plataforma de BI empresarial con analítica avanzada.  </t>
  </si>
  <si>
    <t xml:space="preserve">Planner → Planificación y seguimiento de tareas en Microsoft 365.  </t>
  </si>
  <si>
    <t xml:space="preserve">ManageEngine ADManager Plus → Administración y reportes para Active Directory.  </t>
  </si>
  <si>
    <t xml:space="preserve">Microsoft Intune → Gestión de dispositivos y aplicaciones en la nube.  </t>
  </si>
  <si>
    <t xml:space="preserve">Microsoft Viva Topics → Organización automática de conocimiento en Microsoft 365.  </t>
  </si>
  <si>
    <t xml:space="preserve">Aranda Service Management → ITSM popular en Latinoamérica, con módulos integrados. (8x5 o 24x7)  </t>
  </si>
  <si>
    <t xml:space="preserve">New Relic → Observabilidad para aplicaciones, infraestructura y experiencia de usuario.  </t>
  </si>
  <si>
    <t xml:space="preserve">Kore.ai → Plataforma de bots empresariales con IA conversacional.  </t>
  </si>
  <si>
    <t xml:space="preserve">Power BI → BI y visualización de datos de Microsoft, con integración a múltiples fuentes.  </t>
  </si>
  <si>
    <t xml:space="preserve">SharePoint → Gestión documental y colaboración en entornos Microsoft.  </t>
  </si>
  <si>
    <t xml:space="preserve">Microsoft Entra ID → Plataforma de identidad de Microsoft (antes Azure AD) con SSO y MFA.  </t>
  </si>
  <si>
    <t xml:space="preserve">OCS Inventory → Inventario de hardware y software open source.  </t>
  </si>
  <si>
    <t xml:space="preserve">Notion → Herramienta de documentación, bases de datos y colaboración flexible.  </t>
  </si>
  <si>
    <t xml:space="preserve">TOPdesk → ITSM enfocado en experiencia de usuario y facilidad de uso. (8x5 o 24x7)  </t>
  </si>
  <si>
    <t xml:space="preserve">PRTG Network Monitor → Monitoreo de red, dispositivos y ancho de banda.  </t>
  </si>
  <si>
    <t xml:space="preserve">Microsoft Teams bot → Bots integrados en Microsoft Teams para automatizar tareas y responder consultas.  </t>
  </si>
  <si>
    <t xml:space="preserve">Qlik Sense → Análisis de datos y visualización interactiva con motor asociativo.  </t>
  </si>
  <si>
    <t xml:space="preserve">Slack → Mensajería y colaboración en tiempo real para equipos.  </t>
  </si>
  <si>
    <t xml:space="preserve">Okta → Gestión de identidades y accesos en la nube con SSO y MFA.  </t>
  </si>
  <si>
    <t xml:space="preserve">Open-AudIT → Herramienta open source para auditoría e inventario de red.  </t>
  </si>
  <si>
    <t xml:space="preserve">ServiceNow Knowledge Management → KB empresarial integrada con ITSM y autoservicio.  </t>
  </si>
  <si>
    <t xml:space="preserve">SysAid → ITSM con automatización y gestión de activos integrada. (8x5 o 24x7)  </t>
  </si>
  <si>
    <t xml:space="preserve">SolarWinds NPM → Monitoreo de red y rendimiento de infraestructura.  </t>
  </si>
  <si>
    <t xml:space="preserve">Rasa → Framework open source para chatbots con NLP y control total de datos.  </t>
  </si>
  <si>
    <t xml:space="preserve">ServiceNow Performance Analytics → Analítica y reportes para procesos ITSM en ServiceNow.  </t>
  </si>
  <si>
    <t xml:space="preserve">Trello → Gestión visual de tareas y proyectos con tableros Kanban.  </t>
  </si>
  <si>
    <t xml:space="preserve">OneLogin → Plataforma IAM con SSO, MFA y gestión de usuarios.  </t>
  </si>
  <si>
    <t xml:space="preserve">SCCM / MECM → Administración de configuración y activos en entornos Microsoft.  </t>
  </si>
  <si>
    <t xml:space="preserve">SharePoint Knowledge Base → KB interna construida sobre SharePoint.  </t>
  </si>
  <si>
    <t xml:space="preserve">SolarWinds Service Desk → ITSM en la nube con enfoque en gestión de activos. (8x5 o 24x7)  </t>
  </si>
  <si>
    <t xml:space="preserve">Splunk Observability → Observabilidad y análisis de datos en tiempo real con Splunk.  </t>
  </si>
  <si>
    <t xml:space="preserve">ServiceNow Virtual Agent → Bot de autoservicio para ITSM y flujos de trabajo en ServiceNow.  </t>
  </si>
  <si>
    <t xml:space="preserve">Splunk Dashboards → Visualización de datos y métricas en Splunk.  </t>
  </si>
  <si>
    <t xml:space="preserve">Webex → Videoconferencias, mensajería y colaboración empresarial.  </t>
  </si>
  <si>
    <t xml:space="preserve">Ping Identity → Soluciones IAM con SSO, MFA y federación de identidades.  </t>
  </si>
  <si>
    <t xml:space="preserve">ServiceNow CMDB → CMDB empresarial integrada con flujos ITSM en ServiceNow.  </t>
  </si>
  <si>
    <t xml:space="preserve">Slab → Plataforma de documentación colaborativa con diseño minimalista.  </t>
  </si>
  <si>
    <t xml:space="preserve">Microsoft Dynamics 365 Customer Service → Soporte y atención al cliente integrado con CRM. (8x5 o 24x7)  </t>
  </si>
  <si>
    <t xml:space="preserve">Zabbix → Monitoreo de red, servidores y aplicaciones con alertas configurables.  </t>
  </si>
  <si>
    <t xml:space="preserve">Zendesk Answer Bot → Bot de soporte integrado en Zendesk para resolver tickets automáticamente.  </t>
  </si>
  <si>
    <t xml:space="preserve">Tableau → Visualización y análisis de datos con enfoque en exploración interactiva.  </t>
  </si>
  <si>
    <t xml:space="preserve">Zoom → Videoconferencias, webinars y colaboración remota.  </t>
  </si>
  <si>
    <t xml:space="preserve">SailPoint → Gestión de identidades y gobierno de accesos (IGA).  </t>
  </si>
  <si>
    <t xml:space="preserve">Snipe-IT → Gestión de activos de TI open source, ideal para control de inventario.  </t>
  </si>
  <si>
    <t xml:space="preserve">Zendesk Guide → KB para autoservicio de clientes integrada con Zendesk Support.  </t>
  </si>
  <si>
    <t>NPS (Net Promoter Score)</t>
  </si>
  <si>
    <t>CSAT (Satisfacción del cliente) — escala 1-5</t>
  </si>
  <si>
    <t>CES (Customer Effort Score)</t>
  </si>
  <si>
    <t>Cantidad de Quejas escaladas / mes</t>
  </si>
  <si>
    <t>Tiempo promedio de espera en canal (minutos)</t>
  </si>
  <si>
    <t>No Aplica</t>
  </si>
  <si>
    <t>5 Muy satisfecho - Experiencia excelente, superó expectativas.</t>
  </si>
  <si>
    <t>0-20 Bajo - Nivel de quejas controlado.</t>
  </si>
  <si>
    <t>0-2 minutos  → Excelente - Atención casi inmediata.</t>
  </si>
  <si>
    <t>9-10 Promotor - Cliente muy satisfecho y leal. Recomienda activamente.</t>
  </si>
  <si>
    <t>4 Satisfecho - Buena experiencia, cumplió expectativas.</t>
  </si>
  <si>
    <t>7 Muy fácil - Casi sin esfuerzo para resolver la necesidad.</t>
  </si>
  <si>
    <t>21-50 Medio - Atención necesaria para evitar aumento.</t>
  </si>
  <si>
    <t>3-5 minutos  → Bueno - Tiempo de espera aceptable.</t>
  </si>
  <si>
    <t>7-8 Pasivo - Cliente satisfecho pero sin entusiasmo.</t>
  </si>
  <si>
    <t>3 Neutral - Experiencia aceptable, sin destacar.</t>
  </si>
  <si>
    <t>6 Fácil - Requirió poco esfuerzo.</t>
  </si>
  <si>
    <t>51-100 Alto - Requiere acciones correctivas urgentes.</t>
  </si>
  <si>
    <t>6-10 minutos → Regular - Puede generar ligera incomodidad.</t>
  </si>
  <si>
    <t>0-6 Detractor - Cliente insatisfecho, riesgo de comentarios negativos.</t>
  </si>
  <si>
    <t>2 Insatisfecho - Experiencia por debajo de lo esperado.</t>
  </si>
  <si>
    <t>5 Algo fácil - Ligero esfuerzo, sin complicaciones.</t>
  </si>
  <si>
    <t>Más de 100 Crítico - Situación grave, intervención inmediata.</t>
  </si>
  <si>
    <t>11-20 minutos → Malo - Riesgo de insatisfacción del cliente.</t>
  </si>
  <si>
    <t>1 Muy insatisfecho - Experiencia muy negativa.</t>
  </si>
  <si>
    <t>4 Neutral - Esfuerzo moderado.</t>
  </si>
  <si>
    <t>Más de 20 minutos → Crítico - Experiencia muy negativa, requiere acción urgente.</t>
  </si>
  <si>
    <t>3 Algo difícil - Requirió atención y tiempo extra.</t>
  </si>
  <si>
    <t>2 Difícil - Mucho esfuerzo para lograrlo.</t>
  </si>
  <si>
    <t>Disponibilidad</t>
  </si>
  <si>
    <t>1 Muy difícil - Experiencia frustrante y complicada.</t>
  </si>
  <si>
    <t xml:space="preserve">24x7 → 168 horas/semana  </t>
  </si>
  <si>
    <t xml:space="preserve">8x5  → 40 horas/semana  </t>
  </si>
  <si>
    <t xml:space="preserve">12x6 → 72 horas/semana  </t>
  </si>
  <si>
    <t xml:space="preserve">16x5 → 80 horas/semana  </t>
  </si>
  <si>
    <t xml:space="preserve">10x7 → 70 horas/semana  </t>
  </si>
  <si>
    <t>Otra</t>
  </si>
  <si>
    <t>MÉTRICA</t>
  </si>
  <si>
    <t>Detalle</t>
  </si>
  <si>
    <t>Valor Actual</t>
  </si>
  <si>
    <t>Cantidad de Tickets / mes (total)</t>
  </si>
  <si>
    <t>Dependiendo la Coes apróximadamente entre 700 a 3,000 tickets</t>
  </si>
  <si>
    <t>No manejo esta información</t>
  </si>
  <si>
    <t>Cantidad de Incidentes / mes</t>
  </si>
  <si>
    <t>Entre 50 a 100</t>
  </si>
  <si>
    <t>Cantidad de Requerimientos / mes</t>
  </si>
  <si>
    <t>N.a</t>
  </si>
  <si>
    <t>Cambios / mes</t>
  </si>
  <si>
    <t>First Call Resolution (FCR %)</t>
  </si>
  <si>
    <t>Pendiente revisar líderes técnicos</t>
  </si>
  <si>
    <t>Mean Time to Resolve (MTTR horas)</t>
  </si>
  <si>
    <t>Entre 30 minutos a 3 horas (mesas)/ Dispos</t>
  </si>
  <si>
    <t>No aplica SLA- ANS del Banco y de COES</t>
  </si>
  <si>
    <t>Backlog promedio (tickets abiertos)</t>
  </si>
  <si>
    <t>No manejamos Baclog- herramienta Helix (Bancolombia) si es un ticket del equipo no supera 12 horas abierto, si es un ticket con dependencia de otra área puede durar entre 8 o 15 días abierto</t>
  </si>
  <si>
    <t>Tickets resueltos por agente/mes</t>
  </si>
  <si>
    <t>Promedio entre 80 a 250 casos (depende del equipo COES)</t>
  </si>
  <si>
    <t>Costo estimado por ticket (USD)</t>
  </si>
  <si>
    <t>No manejo esa información</t>
  </si>
  <si>
    <t>Agentes FTE totales</t>
  </si>
  <si>
    <t>"​ 32 colaboradores​​ Coes integración: 7 ​​+2 Coes Emma: 4​​ Emma Iseries: 1​​ Coes Soporte: 13​​ Coes Datos: 7"</t>
  </si>
  <si>
    <t>% Tickets autoservicio / N0</t>
  </si>
  <si>
    <t>Operacion Plataformas Suscripcion</t>
  </si>
  <si>
    <t>Operacion Canal Digital Venta</t>
  </si>
  <si>
    <t>Operacion Automatizacion</t>
  </si>
  <si>
    <t>Operacion Canales Masivos</t>
  </si>
  <si>
    <t>No se tiene dato</t>
  </si>
  <si>
    <t>Meta SLA</t>
  </si>
  <si>
    <t>92% por categoria de criticidad ( alto y critico 9, Medio 12. bajo 18)</t>
  </si>
  <si>
    <t>N/D</t>
  </si>
  <si>
    <t>Mesas Soporte-20260626_143756-Grabación de la reunión.mp4</t>
  </si>
  <si>
    <t>Virginia Durango Muriel</t>
  </si>
  <si>
    <t>0 minutos 3 segundos0:03</t>
  </si>
  <si>
    <t>Virginia Durango Muriel 0 minutos 3 segundos</t>
  </si>
  <si>
    <t>Crecimiento precisamente de las mesas de Sura, donde precisamente alzamos las manos porque no teníamos como claridades en cosas de las que teníamos que empezar a determinar y al cliente si estábamos en capacidad o no de manejarle. Uno, el tema de los niveles listo. ¿Entonces, qué pasa con el tema de los niveles en las mesas de servicio? Normalmente se hablan nivel uno, nivel 2, nivel 3.</t>
  </si>
  <si>
    <t>Virginia Durango Muriel 0 minutos 26 segundos</t>
  </si>
  <si>
    <t>Cierto, o esas son por lo menos las que conocemos. Normalmente el nivel uno lo manejan directamente los clientes, porque nivel uno es muy focalizado como ese tema de las ayudas al negocio, mucho de regla de negocio funcional, mucho de que ay, venga, yo no sé cómo hacer la transacción, me explicas, entonces ellos van y ta ta ta.</t>
  </si>
  <si>
    <t>Virginia Durango Muriel 0 minutos 46 segundos</t>
  </si>
  <si>
    <t>Cierto, nivel 2, digamos que normalmente es un escalamiento que le hace el nivel uno, nivel 2, cuando posiblemente a nivel de proceso el proceso falla, pero el proceso hasta ahí no se sabe si ni siquiera hay que incluirle o inyectarle alguna mejora como tal desde la codificación, sino que seguramente hay que revisar un log.</t>
  </si>
  <si>
    <t>Virginia Durango Muriel 1 minuto 5 segundos</t>
  </si>
  <si>
    <t>Hay que hacer una un relanzamiento de algún proceso. Hay que entrar a la base de datos como para mirar de pronto información que en la visual no se ve, entonces para respuesta como ese tipo de cosas es las que nosotros normalmente atendemos. Listo, y el nivel 3 es cuando nosotros ya a nivel 2 esculcamos lo suficiente y decimos.</t>
  </si>
  <si>
    <t>Virginia Durango Muriel 1 minuto 24 segundos</t>
  </si>
  <si>
    <t>Eso sí es un error en el código, eso hay que hacerlo como una raizal. Entonces, cuando ya lo llamamos como una raizal, un ajuste a la codificación, venga señor, hay que llevarlo a hacer un desarrollo listo en este momento de mi lado yo tengo nivel uno y nivel 2 y nivel 3. Yo no tengo nivel uno, nivel 2 y nivel 3 en diferentes mesas tiene sus propias responsabilidades de nivel 2 y nivel 3. Listo.</t>
  </si>
  <si>
    <t>Virginia Durango Muriel 1 minuto 47 segundos</t>
  </si>
  <si>
    <t>¿Cuál es el punto acá con ese con ese que fue el primero que quise mencionar? Y es que no hay algo claro PersonalSoft que a nosotros nos determine esos límites de los niveles y esas características que tenemos que tener en cada uno de los niveles para uno decir, venga, esto fue bien vendido o no bien vendido según la ITIL y según las prácticas de lo que es una mesa de servicio.</t>
  </si>
  <si>
    <t>Virginia Durango Muriel 2 minutos 8 segundos</t>
  </si>
  <si>
    <t>¿Cierto, por qué nos dimos cuenta? Porque cuando ya convocamos los de Bancolombia, cuando empezamos a hablar de los niveles, o sea, yo ni entendí qué es lo que manejan en Bancolombia, haciéndoles muy sincero, cierto Linis, pues quedamos ahí como plop, pero bueno, entonces nosotros cuando ofrecemos este.</t>
  </si>
  <si>
    <t>L</t>
  </si>
  <si>
    <t>Lina Marcela Vargas Vargas</t>
  </si>
  <si>
    <t>2 minutos 17 segundos2:17</t>
  </si>
  <si>
    <t>Lina Marcela Vargas Vargas 2 minutos 17 segundos</t>
  </si>
  <si>
    <t>Okay.</t>
  </si>
  <si>
    <t>Lina Marcela Vargas Vargas 2 minutos 19 segundos</t>
  </si>
  <si>
    <t>Yeah.</t>
  </si>
  <si>
    <t>Jhon Fredy Jimenez Vélez</t>
  </si>
  <si>
    <t>2 minutos 22 segundos2:22</t>
  </si>
  <si>
    <t>Jhon Fredy Jimenez Vélez 2 minutos 22 segundos</t>
  </si>
  <si>
    <t>Y la y la visual de Fabio es que está muy bien montado.</t>
  </si>
  <si>
    <t>VM</t>
  </si>
  <si>
    <t>32 minutos 26 segundos32:26</t>
  </si>
  <si>
    <t>Virginia Durango Muriel 32 minutos 26 segundos</t>
  </si>
  <si>
    <t>T.</t>
  </si>
  <si>
    <t>32 minutos 27 segundos32:27</t>
  </si>
  <si>
    <t>Jhon Fredy Jimenez Vélez 32 minutos 27 segundos</t>
  </si>
  <si>
    <t>Necesitamos que sean disruptivos. Entonces va como en esa misma línea que ya la misma estrategia identicó por ahí trazó. O sea, hay que subir ese escaloncito, pues va por ahí.</t>
  </si>
  <si>
    <t>32 minutos 31 segundos32:31</t>
  </si>
  <si>
    <t>Virginia Durango Muriel 32 minutos 31 segundos</t>
  </si>
  <si>
    <t>Sí.</t>
  </si>
  <si>
    <t>Virginia Durango Muriel 32 minutos 36 segundos</t>
  </si>
  <si>
    <t>Sí, así es.</t>
  </si>
  <si>
    <t>Virginia Durango Muriel 32 minutos 38 segundos</t>
  </si>
  <si>
    <t>Listo, eso es, ya yo les compartí la imagen de lo de Sura, que es lo que tenemos en la propuesta y ya lo otro con Lina lo se los compartimos y las reuniones y aunque necesitemos, pues con las personas y.</t>
  </si>
  <si>
    <t>Natalia Zartha Suarez</t>
  </si>
  <si>
    <t>32 minutos 41 segundos32:41</t>
  </si>
  <si>
    <t>Natalia Zartha Suarez 32 minutos 41 segundos</t>
  </si>
  <si>
    <t>Listo.</t>
  </si>
  <si>
    <t>Natalia Zartha Suarez 32 minutos 44 segundos</t>
  </si>
  <si>
    <t>Mhm.</t>
  </si>
  <si>
    <t>32 minutos 44 segundos32:44</t>
  </si>
  <si>
    <t>Lina Marcela Vargas Vargas 32 minutos 44 segundos</t>
  </si>
  <si>
    <t>Ya se los comparto.</t>
  </si>
  <si>
    <t>32 minutos 47 segundos32:47</t>
  </si>
  <si>
    <t>Natalia Zartha Suarez 32 minutos 47 segundos</t>
  </si>
  <si>
    <t>Muchísimas gracias.</t>
  </si>
  <si>
    <t>32 minutos 49 segundos32:49</t>
  </si>
  <si>
    <t>Jhon Fredy Jimenez Vélez 32 minutos 49 segundos</t>
  </si>
  <si>
    <t>Sí, y yo creo que vamos a estar interactuando mucho con Natalia Beer, que como ella entró a darle al 100% a esto, yo creo que rápidamente no es que te está malzando.</t>
  </si>
  <si>
    <t>32 minutos 51 segundos32:51</t>
  </si>
  <si>
    <t>Lina Marcela Vargas Vargas 32 minutos 51 segundos</t>
  </si>
  <si>
    <t>De una.</t>
  </si>
  <si>
    <t>32 minutos 53 segundos32:53</t>
  </si>
  <si>
    <t>Natalia Zartha Suarez 32 minutos 53 segundos</t>
  </si>
  <si>
    <t>Sí, les voy a estar preguntando mucho.</t>
  </si>
  <si>
    <t>32 minutos 54 segundos32:54</t>
  </si>
  <si>
    <t>Virginia Durango Muriel 32 minutos 54 segundos</t>
  </si>
  <si>
    <t>Virginia Durango Muriel 32 minutos 59 segundos</t>
  </si>
  <si>
    <t>Yo pensé que ha llegado hace 1 meses, que no hace 2 días y yo escuché bienvenida.</t>
  </si>
  <si>
    <t>32 minutos 59 segundos32:59</t>
  </si>
  <si>
    <t>Natalia Zartha Suarez 32 minutos 59 segundos</t>
  </si>
  <si>
    <t>33 minutos 2 segundos33:02</t>
  </si>
  <si>
    <t>Jhon Fredy Jimenez Vélez 33 minutos 2 segundos</t>
  </si>
  <si>
    <t>Hace 2 días ya entré en Candela.</t>
  </si>
  <si>
    <t>Lina Marcela Vargas Vargas 33 minutos 2 segundos</t>
  </si>
  <si>
    <t>Ajá.</t>
  </si>
  <si>
    <t>33 minutos 5 segundos33:05</t>
  </si>
  <si>
    <t>Natalia Zartha Suarez 33 minutos 5 segundos</t>
  </si>
  <si>
    <t>Y ya les escribí, qué pena, muchas gracias, sí.</t>
  </si>
  <si>
    <t>Lina Marcela Vargas Vargas 33 minutos 5 segundos</t>
  </si>
  <si>
    <t>Le tocó de una.</t>
  </si>
  <si>
    <t>33 minutos 7 segundos33:07</t>
  </si>
  <si>
    <t>Virginia Durango Muriel 33 minutos 7 segundos</t>
  </si>
  <si>
    <t>Bueno, y llévense en el mensaje lo que de verdad don Fabio dice, porque no nos podemos quedar solo con lo de acá, de pronto solo con la detalle, porque te lo juro que la madurez es la está esperando de los más antiguos en lo que manejamos. A ver de pronto ahí que esté bien o no, pero pero a ver qué podemos esculcar por allá con Maritza, con Paula Soto, que Paula Soto y una service manager que ha manejado las mesas hace un ratico.</t>
  </si>
  <si>
    <t>33 minutos 8 segundos33:08</t>
  </si>
  <si>
    <t>Lina Marcela Vargas Vargas 33 minutos 8 segundos</t>
  </si>
  <si>
    <t>No.</t>
  </si>
  <si>
    <t>33 minutos 31 segundos33:31</t>
  </si>
  <si>
    <t>Virginia Durango Muriel 33 minutos 31 segundos</t>
  </si>
  <si>
    <t>A ver, tampoco que nos que nos puede conseguir. Exacto, con exacto, la de Medicartes y pues eso es una mesa con un niño, pues eso es realmente un software con 30 horas de un PM, pero.</t>
  </si>
  <si>
    <t>Jhon Fredy Jimenez Vélez 33 minutos 31 segundos</t>
  </si>
  <si>
    <t>XM.</t>
  </si>
  <si>
    <t>Jhon Fredy Jimenez Vélez 33 minutos 34 segundos</t>
  </si>
  <si>
    <t>XM que se me ha ido del radar y quién se me ha ido.</t>
  </si>
  <si>
    <t>Jhon Fredy Jimenez Vélez 33 minutos 43 segundos</t>
  </si>
  <si>
    <t>Y aquí y aquí se ve si tiene uno pa donde crecer.</t>
  </si>
  <si>
    <t>33 minutos 47 segundos33:47</t>
  </si>
  <si>
    <t>Virginia Durango Muriel 33 minutos 47 segundos</t>
  </si>
  <si>
    <t>XM es grande, sí.</t>
  </si>
  <si>
    <t>33 minutos 48 segundos33:48</t>
  </si>
  <si>
    <t>Jhon Fredy Jimenez Vélez 33 minutos 48 segundos</t>
  </si>
  <si>
    <t>Dice M, ahí tenemos un paquete. Yo me acuerdo cuando está por paquete, pero ahora son como 6 o 7 paquetes que cuando el cliente vuelva ahí y renueve un contrato de volver a feriar los paquetes, uno poder allá también.</t>
  </si>
  <si>
    <t>34 minutos34:00</t>
  </si>
  <si>
    <t>Virginia Durango Muriel 34 minutos</t>
  </si>
  <si>
    <t>Claro, y ese es y ese es nivel 3 y ese es nivel 3. Entonces, bueno, hay de todos los sabores. Bueno, gracias, niños.</t>
  </si>
  <si>
    <t>34 minutos 7 segundos34:07</t>
  </si>
  <si>
    <t>Jhon Fredy Jimenez Vélez 34 minutos 7 segundos</t>
  </si>
  <si>
    <t>34 minutos 8 segundos34:08</t>
  </si>
  <si>
    <t>Lina Marcela Vargas Vargas 34 minutos 8 segundos</t>
  </si>
  <si>
    <t>Hay pan tres en este.</t>
  </si>
  <si>
    <t>Lina Marcela Vargas Vargas 34 minutos 9 segundos</t>
  </si>
  <si>
    <t>Muchísimas gracias a ustedes gracias por el espacio ahí les ahí les compartí si tienen alguna de pronto dificultad o eso porque se los mandé en png y también el link por si pueden entrar listo cuenta me cuenta listo feliz tarde que estén bien chao</t>
  </si>
  <si>
    <t>34 minutos 10 segundos34:10</t>
  </si>
  <si>
    <t>Jhon Fredy Jimenez Vélez 34 minutos 10 segundos</t>
  </si>
  <si>
    <t>Sí, listo. Muchas gracias, Virlina, muchas gracias.</t>
  </si>
  <si>
    <t>Virginia Durango Muriel 34 minutos 10 segundos</t>
  </si>
  <si>
    <t>Sí, bueno, Natalia, con gusto, listo.</t>
  </si>
  <si>
    <t>J</t>
  </si>
  <si>
    <t>Johanna Patricia Celada Morales</t>
  </si>
  <si>
    <t>34 minutos 13 segundos34:13</t>
  </si>
  <si>
    <t>Johanna Patricia Celada Morales 34 minutos 13 segundos</t>
  </si>
  <si>
    <t>Bueno, hasta luego, gracias.</t>
  </si>
  <si>
    <t>34 minutos 15 segundos34:15</t>
  </si>
  <si>
    <t>Natalia Zartha Suarez 34 minutos 15 segundos</t>
  </si>
  <si>
    <t>Natalia Zartha Suarez 34 minutos 20 segundos</t>
  </si>
  <si>
    <t>Bye.</t>
  </si>
  <si>
    <t>Natalia Zartha Suarez 34 minutos 23 segundos</t>
  </si>
  <si>
    <t>Perfecto.</t>
  </si>
  <si>
    <t>Natalia Zartha Suarez 34 minutos 24 segundos</t>
  </si>
  <si>
    <t>Dale, muchísimas gracias, que estén bien, chaito, gracias, chao.</t>
  </si>
  <si>
    <t>34 minutos 24 segundos34:24</t>
  </si>
  <si>
    <t>Jhon Fredy Jimenez Vélez 34 minutos 24 segundos</t>
  </si>
  <si>
    <t>De una, gracias, chao, hablamos. Bueno, pues súper feliz tarde, pues.</t>
  </si>
  <si>
    <t>34 minutos 27 segundos34:27</t>
  </si>
  <si>
    <t>Johanna Patricia Celada Morales 34 minutos 27 segundos</t>
  </si>
  <si>
    <t>Framework de mesas de servicio</t>
  </si>
  <si>
    <t>Carga administrativa*</t>
  </si>
  <si>
    <t>Lider: Ivan Oralndo Riveros Gomez</t>
  </si>
  <si>
    <t>Process automation, donde estan las mesas de servicios (procesos más operativos). Camilo Osorio y Steve Cardenas</t>
  </si>
  <si>
    <t>Herramientas</t>
  </si>
  <si>
    <t>Piloto / Oportunidad de automatizar</t>
  </si>
  <si>
    <t>Medir</t>
  </si>
  <si>
    <t>Un ejercicio con NEQUI</t>
  </si>
  <si>
    <t>N8N</t>
  </si>
  <si>
    <t>Proxima semana 14 de Junio 2026</t>
  </si>
  <si>
    <t>Tiempos de resolucion de los casos, mejorar el triach*</t>
  </si>
  <si>
    <t>Dashboard. En un solo panel ver el estado delosproyectos, projects manager, esrvices managers. Estados de los flujos operacionales</t>
  </si>
  <si>
    <t>SURA (Con sura somos N2)</t>
  </si>
  <si>
    <t>Generación de PDFs</t>
  </si>
  <si>
    <t>Identificar que otros procesos se pueden optimizar, los procesos de la mesa y procesos administrativos.</t>
  </si>
  <si>
    <t>Para el registro de recargos y horas extras</t>
  </si>
  <si>
    <t>LEVANTAMIENTO DE MESA DE SERVICIOS — AES</t>
  </si>
  <si>
    <t xml:space="preserve">  ① IDENTIFICACIÓN GENERAL DE LA MESA</t>
  </si>
  <si>
    <t>Cliente:</t>
  </si>
  <si>
    <t>Negocio del cliente:</t>
  </si>
  <si>
    <t>Empresa de energia. Central hidroelectrica</t>
  </si>
  <si>
    <t>Nombre de la Mesa:</t>
  </si>
  <si>
    <t>Soporte IT/OT</t>
  </si>
  <si>
    <t>Líder / Coordinador:</t>
  </si>
  <si>
    <t>Michael Arevalo Luna</t>
  </si>
  <si>
    <t>Fecha del Levantamiento:</t>
  </si>
  <si>
    <t>Ubicación / Modalidad:</t>
  </si>
  <si>
    <t>Virtual</t>
  </si>
  <si>
    <t>N° de Agentes (FTE) (cantidad de personas):</t>
  </si>
  <si>
    <t>Función</t>
  </si>
  <si>
    <t>Alcance</t>
  </si>
  <si>
    <t>Modelo de Contrato:</t>
  </si>
  <si>
    <t>Call Center</t>
  </si>
  <si>
    <t>Manejar grandes volúmenes de llamadas; filtrar y derivar</t>
  </si>
  <si>
    <t>Punto de contacto y distribución estructurada</t>
  </si>
  <si>
    <t>Nivel Madurez Actual:</t>
  </si>
  <si>
    <t>(N0 Reactivo → N5 Innovador)</t>
  </si>
  <si>
    <t>Help Desk</t>
  </si>
  <si>
    <t>Coordinación para la restauración del servicio; "arreglar cosas"</t>
  </si>
  <si>
    <t>Infraestructura, herramientas de seguimiento, base de conocimiento</t>
  </si>
  <si>
    <t>Modelo de Operación</t>
  </si>
  <si>
    <t>Help Desk / soporte IT-OT e infraestructura: coordinación para restauración del servicio; atención de tareas y servicios derivados desde ServiceNow/ARUS.</t>
  </si>
  <si>
    <t>Service Desk</t>
  </si>
  <si>
    <t>Servicio integral: incidentes, solicitudes, consultas, altas/bajas/cambios</t>
  </si>
  <si>
    <t>Alcance configurable; representa al usuario dentro de TI</t>
  </si>
  <si>
    <t>(Tercero) Empresa de soporte al cliente</t>
  </si>
  <si>
    <t>ARUS; tickets</t>
  </si>
  <si>
    <t>En que otro Niveles tenemos presencia:</t>
  </si>
  <si>
    <t>En que paises tenemos presencia:</t>
  </si>
  <si>
    <t>Colombia</t>
  </si>
  <si>
    <t xml:space="preserve">Que hacemos en el cliente: </t>
  </si>
  <si>
    <t>Soporte IT/OT y maneja infraestructura, aunque, si bien a ellos les cargan los requerimientos por Service Now. Las asignaciones llegan por tareas (por ejemplo un punto de red, falla de equipos de equipos de comunicación, fallas de equipos de red) o por servicios. Hay 4 personas que atienden soporte en redes, networking, facilities y seguridad electrónica + cableado estructurado y enlaces de fibra. Hacen mantenimiento preventivo</t>
  </si>
  <si>
    <t>Tiempo de la Mesa de Servicio</t>
  </si>
  <si>
    <t>3 años</t>
  </si>
  <si>
    <t xml:space="preserve">Finalización </t>
  </si>
  <si>
    <t>12 de Agosto 2026; extesion 12 Noviembre</t>
  </si>
  <si>
    <t>Renovación:</t>
  </si>
  <si>
    <t>RFP pendiente de aprobación para renovar 3 años más. El contrato con más condiciones y mejoras</t>
  </si>
  <si>
    <t>Equipos de infraestructura:</t>
  </si>
  <si>
    <t>del cliente; PersonalSoft compra y re-cobra al cliente</t>
  </si>
  <si>
    <t>Video:</t>
  </si>
  <si>
    <t>https://personalsoftsas-my.sharepoint.com/personal/jorengifo_personalsoft_com/_layouts/15/stream.aspx?id=%2Fpersonal%2Fjorengifo%5Fpersonalsoft%5Fcom%2FDocuments%2FGrabaciones%2FHablemos%20Mesas%20AES%2D20260707%5F113150%2DGrabaci%C3%B3n%20de%20la%20reuni%C3%B3n%2Emp4&amp;referrer=StreamWebApp%2EWeb&amp;referrerScenario=AddressBarCopied%2Eview%2E8bb79edf%2Dcf18%2D4677%2D8d5a%2Dc46ddd3c2dad</t>
  </si>
  <si>
    <t>Transcript:</t>
  </si>
  <si>
    <t>Natalia Zartha Suarez empezó la transcripción
Natalia Zartha Suarez
0 minutos 3 segundos0:03
Natalia Zartha Suarez 0 minutos 3 segundos
Sí, dime tranquilo.
Michael Arevalo Luna
0 minutos 4 segundos0:04
Michael Arevalo Luna 0 minutos 4 segundos
Dale y yo ahorita les doy un contexto de del cliente, vale.
Natalia Zartha Suarez
0 minutos 8 segundos0:08
Natalia Zartha Suarez 0 minutos 8 segundos
Dale listo listo Claro que sí muchas gracias Bueno si quieres te cuento yo ingresé hace más de una semanita a la a la empresa estoy en el área de de servicios Muchas gracias estoy en el área de servicios de innovación y vamos a diseñar un nuevo servicio para mesa de de servicios entonces antes de arrancar con el diseño queremos levantar la información que tenemos de las mesas actuales las lecciones
Michael Arevalo Luna
0 minutos 17 segundos0:17
Michael Arevalo Luna 0 minutos 17 segundos
Bienvenida.
Natalia Zartha Suarez
0 minutos 32 segundos0:32
Natalia Zartha Suarez 0 minutos 32 segundos
aprendidas Cuál es de pronto el feedback tuyo qué podríamos mejorar en el en el servicio que se va a estandarizar y a venir cierto si quieres te comparto acá muy muy rapidito nosotros decimos como eso es como una guía para irte preguntando no es que no es ni una evaluación es
Natalia Zartha Suarez 0 minutos 52 segundos
es como una auditoría muy rigurosa si no se cumple no no pasa nada o sea la idea es que podamos obtener como la mayor información posible y de ahí ya partir con el diseño cierto Entonces más o menos lo que hemos identificado en las en la madurez de las mesas de servicio lo estamos catalogando en estos cinco niveles en nivel uno que es un nivel muy muy inicial
Natalia Zartha Suarez 1 minuto 15 segundos
muy reactivo entonces salen tickets y se responden en el volumen que va saliendo y tiene un factor de riesgo y es el conocimiento hacia las personas y si rota pues es es muy eh un un riesgo para la la empresa entonces a esto lo lo llamamos el reactivo y crecimiento automatizado
Natalia Zartha Suarez 1 minuto 34 segundos
que por hoy en día es como muy reactivo el nivel y todo es un nivel más administrado entonces son procesos por mesa herramientas tickets y es como lo mínimo que tiene una mesa de ayuda o un Help de que por el contexto que nos yo yo creo que es es el caso cierto eh después el nivel tres que es predictivo y evolutivo es donde queremos empezar a a
Natalia Zartha Suarez 1 minuto 55 segundos
ayudar las mesas un nivel cuatro que ya es más como cuantitativas métricas y el nivel 5 es el servicio que nosotros queremos diseñar algo muy autónomo muy estandarizado muy óptimo entonces tiene como Mostrar Aquí estos cinco niveles porque de ahí y y si quieres ya nos vas dando como el el contexto diseñamos esta planta
Natalia Zartha Suarez 2 minutos 15 segundos
ya o sea te la muestro Qué son los puntos que que queremos levantar información general tratar de identificar En qué nivel En qué nivel estamos en cada mesa eh unas preguntas a nivel de prácticas y de itil cierto volumetría kpis que de pronto tengas eh distribución de de incidentes por categoría si están
Natalia Zartha Suarez 2 minutos 38 segundos
tema de experiencia del usuario del usuario del cliente cierto algunos dolores nosotros identificamos 18 dólares pero pueden haber más entonces como que les duele a ustedes temas de inter rotación y talento herramientas tecnologías algo del modelo económico si se conoce y eso ya es como para el nuevo servicio entonces una visión para el nuevo servicio
Natalia Zartha Suarez 2 minutos 59 segundos
qué debería cambiar y si tenemos algún caso de éxito listo y entonces si quieres aquí ya te doy la palabra yo aquí he empezado a tomar apuntes con lo que ya me me me ha pasado cierto para que seamos más o menos que sé que es una empresa de energía sé que pues yo lo puse Aquí como un gel dex que es más como temas de infraestructura
Natalia Zartha Suarez 3 minutos 19 segundos
Cierto, como de soporte de infraestructura, pero si quieres, ahora sí te dejo hablar. Ándale, sí.
Michael Arevalo Luna
3 minutos 23 segundos3:23
Michael Arevalo Luna 3 minutos 23 segundos
Dale nada, primero bienvenidos, que pena ahí que de cierta manera y cuando Johanna ayer me hizo preguntas, estaba como ocupado y no le ha dado respuesta y no está esta mañana y nada lo que necesiten con gusto. De cierta manera, yo siento que dentro del me imagino que con los con los clientes o de lo que están sacando de lo que estás haciendo ahorita.
Natalia Zartha Suarez
3 minutos 34 segundos3:34
Natalia Zartha Suarez 3 minutos 34 segundos
No, tranquilo.
Natalia Zartha Suarez 3 minutos 43 segundos
Sí.
Michael Arevalo Luna
3 minutos 44 segundos3:44
Michael Arevalo Luna 3 minutos 44 segundos
No debería estar dentro de esas priorías iniciales y ya te cuento por qué.
Natalia Zartha Suarez
3 minutos 47 segundos3:47
Natalia Zartha Suarez 3 minutos 47 segundos
O K, de bueno, sí.
Michael Arevalo Luna
3 minutos 49 segundos3:49
Michael Arevalo Luna 3 minutos 49 segundos
En este momento nosotros teníamos un contrato vigente hasta el 12 de agosto. Sí, ajá, ya les voy a contar. Entonces, ¿qué pasa? En se generó un RFP para licitación y hacer una renovación. Nosotros entramos a participar junto con otras cuatro o 5 compañías. Ajá.
Natalia Zartha Suarez
3 minutos 53 segundos3:53
Natalia Zartha Suarez 3 minutos 53 segundos
Y se termina.
Natalia Zartha Suarez 3 minutos 55 segundos
bueno.
Michael Arevalo Luna
4 minutos 7 segundos4:07
Michael Arevalo Luna 4 minutos 7 segundos
Hola Fredy, buen día.
F
Fredy Alonso Pinilla Juez
4 minutos 9 segundos4:09
Fredy Alonso Pinilla Juez 4 minutos 9 segundos
Buen día para todos.
Natalia Zartha Suarez
4 minutos 11 segundos4:11
Natalia Zartha Suarez 4 minutos 11 segundos
Buenos días, Fredy, un gusto.
Michael Arevalo Luna
4 minutos 11 segundos4:11
Michael Arevalo Luna 4 minutos 11 segundos
Les presento a Fredy. Fredy es el coordinador que nos ayuda. Bueno, de hecho Fredy tiene doble error en AES. Él nos ayuda directamente en la planta, ellos están ubicados en la planta. Entonces Fredy es el que coordina como todas las actividades y es dentro de lo que hace el gerente y las solicitudes que hace la gerencia de AES dentro de la planta, pues ahí está ahí como coordinando.
Natalia Zartha Suarez
4 minutos 32 segundos4:32
Natalia Zartha Suarez 4 minutos 32 segundos
Sí.
Michael Arevalo Luna
4 minutos 33 segundos4:33
Michael Arevalo Luna 4 minutos 33 segundos
Todo lo que se requiera.
Natalia Zartha Suarez
4 minutos 35 segundos4:35
Natalia Zartha Suarez 4 minutos 35 segundos
Un gusto.
Michael Arevalo Luna
4 minutos 36 segundos4:36
Michael Arevalo Luna 4 minutos 36 segundos
Vale, entonces la idea de que Fredy nos acompañe es de cierta manera. Yo sé que él nos puede ayudar a tener algún entendimiento en cosas que a mí se me se me pasen, pero pues como te decía, digamos que antes de llegar a ese punto, siento que con el tema del RFP.
F
Fredy Alonso Pinilla Juez
4 minutos 37 segundos4:37
Fredy Alonso Pinilla Juez 4 minutos 37 segundos
Igualmente.
Michael Arevalo Luna
4 minutos 56 segundos4:56
Michael Arevalo Luna 4 minutos 56 segundos
y con lo que como está actualmente este servicio, como funciona actualmente, eso va a cambiar muchísimo. Sí, digamos que actualmente, pues nosotros ellos están bajo el modelo de staffing, pero entonces con el error FP nuevo, el tema va a cambiar al punto en que nosotros nos vamos a cargar de absolutamente toda la operación.
Natalia Zartha Suarez
5 minutos 7 segundos5:07
Natalia Zartha Suarez 5 minutos 7 segundos
Sing.
Michael Arevalo Luna
28 minutos 1 segundo28:01
Michael Arevalo Luna 28 minutos 1 segundo
No a ustedes lo que necesiten con mucho gusto igual.
Joan Sebastian Rengifo Ocampo
28 minutos 1 segundo28:01
Joan Sebastian Rengifo Ocampo 28 minutos 1 segundo
Listo, muchas gracias.
F
Fredy Alonso Pinilla Juez
28 minutos 2 segundos28:02
Fredy Alonso Pinilla Juez 28 minutos 2 segundos
Vale.
Fredy Alonso Pinilla Juez 28 minutos 3 segundos
Con todo gusto y cualquier consulta, pues quedamos ahí pendientes.
Natalia Zartha Suarez
28 minutos 6 segundos28:06
Natalia Zartha Suarez 28 minutos 6 segundos
Es igualmente por acá, muchísimas gracias. Chaita, gracias, hasta luego, gracias.
Joan Sebastian Rengifo Ocampo
28 minutos 9 segundos28:09
Joan Sebastian Rengifo Ocampo 28 minutos 9 segundos
Bueno, hasta luego.
Michael Arevalo Luna
28 minutos 9 segundos28:09
Michael Arevalo Luna 28 minutos 9 segundos
Vale, que estén bien, chao.
F
Fredy Alonso Pinilla Juez
28 minutos 10 segundos28:10
Fredy Alonso Pinilla Juez 28 minutos 10 segundos
No Natalia John.
Fredy Alonso Pinilla Juez 28 minutos 12 segundos
Better.

Natalia Zartha Su</t>
  </si>
  <si>
    <t># Aplicaciones:</t>
  </si>
  <si>
    <t>Comercial</t>
  </si>
  <si>
    <t xml:space="preserve">*Michael Arevalo Luna		</t>
  </si>
  <si>
    <t>Roles</t>
  </si>
  <si>
    <t>Automatizaciones:</t>
  </si>
  <si>
    <t xml:space="preserve">  ③ EVALUACIÓN DE PRÁCTICAS ITIL v4 — 4 DIMENSIONES</t>
  </si>
  <si>
    <t>PRÁCTICA</t>
  </si>
  <si>
    <t>¿Se cumple?</t>
  </si>
  <si>
    <t>Observaciones / Evidencia</t>
  </si>
  <si>
    <t>Prioridad Mejora</t>
  </si>
  <si>
    <t xml:space="preserve">  D1 — Organización y Personas</t>
  </si>
  <si>
    <r>
      <rPr>
        <b/>
        <sz val="11"/>
        <color rgb="FF1A1A1A"/>
        <rFont val="Calibri Light"/>
      </rPr>
      <t>Gestión de la Fuerza Laboral:</t>
    </r>
    <r>
      <rPr>
        <sz val="11"/>
        <color rgb="FF1A1A1A"/>
        <rFont val="Calibri Light"/>
      </rPr>
      <t xml:space="preserve"> Headcount, perfiles, competencias</t>
    </r>
  </si>
  <si>
    <r>
      <rPr>
        <b/>
        <sz val="11"/>
        <color rgb="FF1A1A1A"/>
        <rFont val="Calibri Light"/>
      </rPr>
      <t>Gestión del Conocimiento</t>
    </r>
    <r>
      <rPr>
        <sz val="11"/>
        <color rgb="FF1A1A1A"/>
        <rFont val="Calibri Light"/>
      </rPr>
      <t>: KB (Knowledge Base), documentación, onboarding</t>
    </r>
  </si>
  <si>
    <r>
      <rPr>
        <b/>
        <sz val="11"/>
        <color rgb="FF1A1A1A"/>
        <rFont val="Calibri Light"/>
      </rPr>
      <t xml:space="preserve">Gestión del Talento: </t>
    </r>
    <r>
      <rPr>
        <sz val="11"/>
        <color rgb="FF1A1A1A"/>
        <rFont val="Calibri Light"/>
      </rPr>
      <t>Rotación, desarrollo, retención</t>
    </r>
  </si>
  <si>
    <r>
      <rPr>
        <b/>
        <sz val="11"/>
        <color rgb="FF1A1A1A"/>
        <rFont val="Calibri Light"/>
      </rPr>
      <t xml:space="preserve">Gestión del Desempeño: </t>
    </r>
    <r>
      <rPr>
        <sz val="11"/>
        <color rgb="FF1A1A1A"/>
        <rFont val="Calibri Light"/>
      </rPr>
      <t>Metas individuales, feedback, KPIs de agente</t>
    </r>
  </si>
  <si>
    <r>
      <rPr>
        <b/>
        <sz val="11"/>
        <color rgb="FF1A1A1A"/>
        <rFont val="Calibri Light"/>
      </rPr>
      <t xml:space="preserve">Cultura de Servicio: </t>
    </r>
    <r>
      <rPr>
        <sz val="11"/>
        <color rgb="FF1A1A1A"/>
        <rFont val="Calibri Light"/>
      </rPr>
      <t>Orientación al usuario, empatía, NPS (Net Promoter Score) interno</t>
    </r>
  </si>
  <si>
    <t>Sí aplica: hay disposición de soporte y coordinación con planta; Fredy coordina actividades directamente en AES.</t>
  </si>
  <si>
    <t xml:space="preserve">  D2 — Información y Tecnología</t>
  </si>
  <si>
    <r>
      <rPr>
        <b/>
        <sz val="11"/>
        <color rgb="FF1A1A1A"/>
        <rFont val="Calibri Light"/>
      </rPr>
      <t>Gestión de Incidentes:</t>
    </r>
    <r>
      <rPr>
        <sz val="11"/>
        <color rgb="FF1A1A1A"/>
        <rFont val="Calibri Light"/>
      </rPr>
      <t xml:space="preserve"> Proceso, tiempos, escalamiento</t>
    </r>
  </si>
  <si>
    <t>Sí aplica: se atienden tareas/servicios como puntos de red y fallas de equipos de comunicación/red.</t>
  </si>
  <si>
    <r>
      <rPr>
        <b/>
        <sz val="11"/>
        <color rgb="FF1A1A1A"/>
        <rFont val="Calibri Light"/>
      </rPr>
      <t xml:space="preserve">Gestión de Requerimientos: </t>
    </r>
    <r>
      <rPr>
        <sz val="11"/>
        <color rgb="FF1A1A1A"/>
        <rFont val="Calibri Light"/>
      </rPr>
      <t>Catálogo de servicios, flujos</t>
    </r>
  </si>
  <si>
    <t>Sí aplica: los requerimientos se cargan por ServiceNow y llegan como tareas o servicios.</t>
  </si>
  <si>
    <r>
      <rPr>
        <b/>
        <sz val="11"/>
        <color rgb="FF1A1A1A"/>
        <rFont val="Calibri Light"/>
      </rPr>
      <t>Gestión de Problemas</t>
    </r>
    <r>
      <rPr>
        <sz val="11"/>
        <color rgb="FF1A1A1A"/>
        <rFont val="Calibri Light"/>
      </rPr>
      <t>: RCA (Análisis de Causa Raíz
), errores conocidos, KEDB (Known Error Database)</t>
    </r>
  </si>
  <si>
    <t>Parcial: se mencionan fallas recurrentes de red/equipos, pero no se evidencia RCA/KEDB formal.</t>
  </si>
  <si>
    <r>
      <rPr>
        <b/>
        <sz val="11"/>
        <color rgb="FF1A1A1A"/>
        <rFont val="Calibri Light"/>
      </rPr>
      <t xml:space="preserve">Gestión de Cambios: </t>
    </r>
    <r>
      <rPr>
        <sz val="11"/>
        <color rgb="FF1A1A1A"/>
        <rFont val="Calibri Light"/>
      </rPr>
      <t>CAB (Change Advisory Board), RFC (Solicitud de Cambio), ventanas de mantenimiento</t>
    </r>
  </si>
  <si>
    <r>
      <rPr>
        <b/>
        <sz val="11"/>
        <color rgb="FF1A1A1A"/>
        <rFont val="Calibri Light"/>
      </rPr>
      <t>Gestión de la Configuración:</t>
    </r>
    <r>
      <rPr>
        <sz val="11"/>
        <color rgb="FF1A1A1A"/>
        <rFont val="Calibri Light"/>
      </rPr>
      <t xml:space="preserve"> CMDB (Configuration Management Database), assets, CIs (Elementos de Configuración)</t>
    </r>
  </si>
  <si>
    <t>Parcial: se mencionan equipos de infraestructura del cliente y recobro de compras por PersonalSoft; no se confirma CMDB formal.</t>
  </si>
  <si>
    <r>
      <rPr>
        <b/>
        <sz val="11"/>
        <color rgb="FF1A1A1A"/>
        <rFont val="Calibri Light"/>
      </rPr>
      <t xml:space="preserve">Monitoreo y Eventos: </t>
    </r>
    <r>
      <rPr>
        <sz val="11"/>
        <color rgb="FF1A1A1A"/>
        <rFont val="Calibri Light"/>
      </rPr>
      <t>Alertas, observabilidad, integración</t>
    </r>
  </si>
  <si>
    <r>
      <rPr>
        <b/>
        <sz val="11"/>
        <color rgb="FF1A1A1A"/>
        <rFont val="Calibri Light"/>
      </rPr>
      <t xml:space="preserve">Mesa de Servicio (Service Desk): </t>
    </r>
    <r>
      <rPr>
        <sz val="11"/>
        <color rgb="FF1A1A1A"/>
        <rFont val="Calibri Light"/>
      </rPr>
      <t>Canal único, autoservicio, chatbot</t>
    </r>
  </si>
  <si>
    <t xml:space="preserve">  D3 — Socios y Proveedores</t>
  </si>
  <si>
    <r>
      <rPr>
        <b/>
        <sz val="11"/>
        <color rgb="FF1A1A1A"/>
        <rFont val="Calibri Light"/>
      </rPr>
      <t xml:space="preserve">Gestión de Proveedores: </t>
    </r>
    <r>
      <rPr>
        <sz val="11"/>
        <color rgb="FF1A1A1A"/>
        <rFont val="Calibri Light"/>
      </rPr>
      <t>SLAs (Acuerdo de nivel de servicio) tercerizados, contratos, evaluación</t>
    </r>
  </si>
  <si>
    <t>Parcial: existe tercero ARUS/tickets y RFP con 4–5 compañías; falta evaluación formal de proveedores y SLAs tercerizados.</t>
  </si>
  <si>
    <r>
      <rPr>
        <b/>
        <sz val="11"/>
        <color rgb="FF1A1A1A"/>
        <rFont val="Calibri Light"/>
      </rPr>
      <t xml:space="preserve">Gestión de Niveles de Servicio: </t>
    </r>
    <r>
      <rPr>
        <sz val="11"/>
        <color rgb="FF1A1A1A"/>
        <rFont val="Calibri Light"/>
      </rPr>
      <t>SLA, OLA (Acuerdo de nivel de operación), XLA (Acuerdo de nivel de experiencia) definidos y medidos</t>
    </r>
  </si>
  <si>
    <r>
      <rPr>
        <b/>
        <sz val="11"/>
        <color rgb="FF1A1A1A"/>
        <rFont val="Calibri Light"/>
      </rPr>
      <t>Gestión de Capacidad y Disponibilidad:</t>
    </r>
    <r>
      <rPr>
        <sz val="11"/>
        <color rgb="FF1A1A1A"/>
        <rFont val="Calibri Light"/>
      </rPr>
      <t xml:space="preserve"> Picos, contingencia</t>
    </r>
  </si>
  <si>
    <t xml:space="preserve">  D4 — Flujos de Valor y Mejora</t>
  </si>
  <si>
    <r>
      <rPr>
        <b/>
        <sz val="11"/>
        <color rgb="FF1A1A1A"/>
        <rFont val="Calibri Light"/>
      </rPr>
      <t>Mejora Continua:</t>
    </r>
    <r>
      <rPr>
        <sz val="11"/>
        <color rgb="FF1A1A1A"/>
        <rFont val="Calibri Light"/>
      </rPr>
      <t xml:space="preserve">  Ciclos PDCA (Planificar, Hacer, Comprobar y Actuar), retros, backlogs de mejora</t>
    </r>
  </si>
  <si>
    <t>Parcial: el nuevo RFP implica cambio de modelo y mejoras, pero no se evidencia ciclo formal de mejora continua.</t>
  </si>
  <si>
    <r>
      <rPr>
        <b/>
        <sz val="11"/>
        <color rgb="FF1A1A1A"/>
        <rFont val="Calibri Light"/>
      </rPr>
      <t xml:space="preserve">Medición y Reporte: </t>
    </r>
    <r>
      <rPr>
        <sz val="11"/>
        <color rgb="FF1A1A1A"/>
        <rFont val="Calibri Light"/>
      </rPr>
      <t>Dashboards, informes ejecutivos, tendencias</t>
    </r>
  </si>
  <si>
    <t>SCORE GENERAL DE PRÁCTICAS ITIL:</t>
  </si>
  <si>
    <t xml:space="preserve">  ④ VOLUMETRÍA Y KPIs OPERATIVOS</t>
  </si>
  <si>
    <t>Meta / SLA</t>
  </si>
  <si>
    <t>Tendencia</t>
  </si>
  <si>
    <t>Comentario</t>
  </si>
  <si>
    <t>Cantidad de Cambios / mes</t>
  </si>
  <si>
    <t>Se indica que 4 personas atienden soporte en redes, networking, facilities y seguridad electrónica.</t>
  </si>
  <si>
    <t>Si el service desk del cliente les permite cateogorizarse asi</t>
  </si>
  <si>
    <t>CATEGORÍA</t>
  </si>
  <si>
    <t>Tickets/mes</t>
  </si>
  <si>
    <t>% del Total</t>
  </si>
  <si>
    <t>Tiempo Prom. Resolución (h)</t>
  </si>
  <si>
    <t>Observaciones</t>
  </si>
  <si>
    <t>Accesos / Permisos</t>
  </si>
  <si>
    <t>Red / Conectividad</t>
  </si>
  <si>
    <t>Aplica: puntos de red, fallas de equipos de comunicación/red y enlaces de fibra.</t>
  </si>
  <si>
    <t>Aplicaciones de negocio</t>
  </si>
  <si>
    <t>Hardware / Equipos</t>
  </si>
  <si>
    <t>Aplica: fallas de equipos mencionadas.</t>
  </si>
  <si>
    <t>Correo / Office 365</t>
  </si>
  <si>
    <t>ERP / SAP</t>
  </si>
  <si>
    <t>Seguridad / Ciberseguridad</t>
  </si>
  <si>
    <t>Aplica parcialmente: seguridad electrónica dentro del alcance del equipo.</t>
  </si>
  <si>
    <t>Otra categoría</t>
  </si>
  <si>
    <t>Facilities, cableado estructurado y mantenimiento preventivo.</t>
  </si>
  <si>
    <t xml:space="preserve">  ⑤ EXPERIENCIA DEL USUARIO — XLA / DEX</t>
  </si>
  <si>
    <t>INDICADOR XLA</t>
  </si>
  <si>
    <t>Método de Medición</t>
  </si>
  <si>
    <t>NPS (Net Promoter Score) de la mesa</t>
  </si>
  <si>
    <t>Encuestas post-ticket (tasa de respuesta %)</t>
  </si>
  <si>
    <t>Percepción de calidad (top 3 palabras del usuario)</t>
  </si>
  <si>
    <t xml:space="preserve">  ⑥ DOLORES CRÍTICOS DE LA MESA (D1–D21)</t>
  </si>
  <si>
    <t>¿Existe?</t>
  </si>
  <si>
    <t>Descripción / Evidencia</t>
  </si>
  <si>
    <t>Impacto (1-5)</t>
  </si>
  <si>
    <t>Criticidad</t>
  </si>
  <si>
    <t>Iniciativa sugerida</t>
  </si>
  <si>
    <r>
      <rPr>
        <b/>
        <sz val="11"/>
        <color rgb="FF000000"/>
        <rFont val="Calibri Light"/>
      </rPr>
      <t>Rotación excesiva de personal:</t>
    </r>
    <r>
      <rPr>
        <sz val="11"/>
        <color rgb="FF000000"/>
        <rFont val="Calibri Light"/>
      </rPr>
      <t xml:space="preserve"> pérdida de conocimiento</t>
    </r>
  </si>
  <si>
    <t>Levantar rotación y mapa de conocimiento crítico.</t>
  </si>
  <si>
    <t>SLAs incumplidos / penalizaciones contractuales</t>
  </si>
  <si>
    <t>Confirmar cláusulas SLA en contrato/RFP.</t>
  </si>
  <si>
    <r>
      <rPr>
        <b/>
        <sz val="11"/>
        <color rgb="FF000000"/>
        <rFont val="Calibri Light"/>
      </rPr>
      <t>Ausencia de autoservicio:</t>
    </r>
    <r>
      <rPr>
        <sz val="11"/>
        <color rgb="FF000000"/>
        <rFont val="Calibri Light"/>
      </rPr>
      <t xml:space="preserve"> todo llega por call/correo</t>
    </r>
  </si>
  <si>
    <t>Evaluar autoservicio si el volumen lo justifica.</t>
  </si>
  <si>
    <t>Herramientas fragmentadas / sin integración</t>
  </si>
  <si>
    <t>Mapear flujo ServiceNow–ARUS–equipo AES.</t>
  </si>
  <si>
    <t>Baja satisfacción del usuario (NPS &lt; 30)</t>
  </si>
  <si>
    <t>Implementar encuesta post-ticket.</t>
  </si>
  <si>
    <t>Escalamientos excesivos a N2/N3</t>
  </si>
  <si>
    <t>Definir matriz de escalamiento y cierre.</t>
  </si>
  <si>
    <t>Falta de visibilidad en tiempo real (sin dashboard)</t>
  </si>
  <si>
    <t>Diseñar tablero operativo mínimo.</t>
  </si>
  <si>
    <r>
      <rPr>
        <b/>
        <sz val="11"/>
        <color rgb="FF000000"/>
        <rFont val="Calibri Light"/>
      </rPr>
      <t xml:space="preserve">Reportes manuales: </t>
    </r>
    <r>
      <rPr>
        <sz val="11"/>
        <color rgb="FF000000"/>
        <rFont val="Calibri Light"/>
      </rPr>
      <t>no hay visibilidad ejecutiva en tiempo real</t>
    </r>
  </si>
  <si>
    <t>Validar cadencia de informes en RFP.</t>
  </si>
  <si>
    <r>
      <rPr>
        <b/>
        <sz val="11"/>
        <color rgb="FF000000"/>
        <rFont val="Calibri Light"/>
      </rPr>
      <t>Expansión del alcance no controlado:</t>
    </r>
    <r>
      <rPr>
        <sz val="11"/>
        <color rgb="FF000000"/>
        <rFont val="Calibri Light"/>
      </rPr>
      <t xml:space="preserve"> solicitudes fuera del alcance de la mesa de servicio (no delimitado)</t>
    </r>
  </si>
  <si>
    <t>Definir alcance, exclusiones y catálogo operativo.</t>
  </si>
  <si>
    <r>
      <rPr>
        <sz val="11"/>
        <color rgb="FF000000"/>
        <rFont val="Calibri Light"/>
      </rPr>
      <t xml:space="preserve">Escalamiento inefiiente y </t>
    </r>
    <r>
      <rPr>
        <b/>
        <sz val="11"/>
        <color rgb="FF000000"/>
        <rFont val="Calibri Light"/>
      </rPr>
      <t>cuellos de botella:</t>
    </r>
    <r>
      <rPr>
        <sz val="11"/>
        <color rgb="FF000000"/>
        <rFont val="Calibri Light"/>
      </rPr>
      <t xml:space="preserve"> El modelo de N1/N2/N3 genera rebotes de tickets aumentado el MTTR (tiempo medio de resolución</t>
    </r>
  </si>
  <si>
    <t>Documentar flujo end-to-end y responsables.</t>
  </si>
  <si>
    <t>Postura 100% reactiva</t>
  </si>
  <si>
    <t>Transitar a operación gestionada con métricas y mejora continua.</t>
  </si>
  <si>
    <t>Falta de gobierno claro</t>
  </si>
  <si>
    <t>Definir comité, RACI, SLAs/OLAs y reportes.</t>
  </si>
  <si>
    <t>No hay roles definidos claros</t>
  </si>
  <si>
    <t>Formalizar roles: coordinación, operación, escalamiento y soporte especializado.</t>
  </si>
  <si>
    <t>Penalización de la eficiencia</t>
  </si>
  <si>
    <t>Levantar volumetría y productividad.</t>
  </si>
  <si>
    <t>Catalogo desactualizado</t>
  </si>
  <si>
    <t>Construir catálogo IT/OT con servicios y exclusiones.</t>
  </si>
  <si>
    <t>Brechas en la venta del servicio desde comercial. Volumetria del servicio</t>
  </si>
  <si>
    <t>Alinear comercial, preventa y operación con datos reales.</t>
  </si>
  <si>
    <t>Ausencia y desalineación de metricas</t>
  </si>
  <si>
    <t>Definir set mínimo de KPIs y fuentes.</t>
  </si>
  <si>
    <t>Reskilling - Upskilling constante del staff</t>
  </si>
  <si>
    <t>Validar brechas técnicas IT/OT del equipo.</t>
  </si>
  <si>
    <r>
      <rPr>
        <sz val="11"/>
        <color rgb="FF000000"/>
        <rFont val="Calibri Light"/>
      </rPr>
      <t xml:space="preserve">Asignación de personal a las mesas y Niveles basada en criterio experto, sin modelo de demanda. No hay como </t>
    </r>
    <r>
      <rPr>
        <b/>
        <sz val="11"/>
        <color rgb="FF000000"/>
        <rFont val="Calibri Light"/>
      </rPr>
      <t>dimensionarlo</t>
    </r>
  </si>
  <si>
    <t>Se hace a juicio de expero de la emrpesa</t>
  </si>
  <si>
    <t>No se estimo bien la dispobilidad del equipo ejemplo cuando es (7x24); y las personas no conocen de todas las tecnologias</t>
  </si>
  <si>
    <t>Sin una buena dimensión del equipo (no x tecnologia, para calcular los recursos...y si la persona que esta disponible no sabe la tecnologia?). Las horas se quedaron cortas y las personas tambien por mesa de servicio</t>
  </si>
  <si>
    <t>Recargo por trabajador los dia de la semans, es un trabajo que se hace manual que no esta automatrizado</t>
  </si>
  <si>
    <t xml:space="preserve">  ⑦ ROTACIÓN Y TALENTO</t>
  </si>
  <si>
    <t>ASPECTO</t>
  </si>
  <si>
    <t>Detalle / Valor</t>
  </si>
  <si>
    <t>Tasa de rotación anual (%):</t>
  </si>
  <si>
    <t>Perfiles más críticos / difíciles de reemplazar:</t>
  </si>
  <si>
    <t>Redes/networking, facilities, seguridad electrónica, cableado estructurado y enlaces de fibra.</t>
  </si>
  <si>
    <t>Perfiles mencionados como alcance del equipo de 4 personas.</t>
  </si>
  <si>
    <t>Tiempo promedio de onboarding (días):</t>
  </si>
  <si>
    <t>¿Existe plan de carrera para agentes?:</t>
  </si>
  <si>
    <t>Clima laboral: percepción del equipo (1-5):</t>
  </si>
  <si>
    <t>Herramienta de formación / capacitación usada:</t>
  </si>
  <si>
    <t>Disponibilidad de la mesa de servicio (horas x días)</t>
  </si>
  <si>
    <t>Cantidad de horas extras:</t>
  </si>
  <si>
    <t xml:space="preserve">  ⑧ TECNOLOGÍA Y HERRAMIENTAS</t>
  </si>
  <si>
    <t>HERRAMIENTA / COMPONENTE</t>
  </si>
  <si>
    <t>Nombre / Versión</t>
  </si>
  <si>
    <t>¿Integrado?</t>
  </si>
  <si>
    <t>Brecha Identificada</t>
  </si>
  <si>
    <t>Mesa de ayuda / ITSM (ticketing)</t>
  </si>
  <si>
    <t>Los requerimientos se cargan en ServiceNow; las asignaciones llegan por tareas/servicios y existe tercero ARUS/tickets.</t>
  </si>
  <si>
    <t>Monitoreo / Observabilidad</t>
  </si>
  <si>
    <t>Chat / Bot de autoservicio</t>
  </si>
  <si>
    <t>Base de conocimiento (KB)</t>
  </si>
  <si>
    <t>CMDB (Base de datos de gestión de la configuración) / Inventario de activos</t>
  </si>
  <si>
    <t>Telefonía / IVR (Respuesta de voz interactiva) / Call Center</t>
  </si>
  <si>
    <t>Analítica / Dashboard / BI</t>
  </si>
  <si>
    <t>Gestión de identidades / IAM</t>
  </si>
  <si>
    <t>Colaboración (Teams, Slack, etc.)</t>
  </si>
  <si>
    <t>Otras integraciones clave</t>
  </si>
  <si>
    <t>ARUS / tickets</t>
  </si>
  <si>
    <t>Tercero asociado a tickets; requiere mapear integración con ServiceNow y operación AES.</t>
  </si>
  <si>
    <t xml:space="preserve">  ⑨ MODELO ECONÓMICO ACTUAL</t>
  </si>
  <si>
    <t>ASPECTO ECONÓMICO</t>
  </si>
  <si>
    <t>Valor / Descripción</t>
  </si>
  <si>
    <t>Modelo de facturación actual:</t>
  </si>
  <si>
    <t>Staffing actual; RFP en curso para cambiar a operación completa.</t>
  </si>
  <si>
    <t>Costo total mensual del servicio (USD / COP):</t>
  </si>
  <si>
    <t>Costo por FTE/mes:</t>
  </si>
  <si>
    <t>Costo estimado por ticket:</t>
  </si>
  <si>
    <t>Cláusulas de penalización por SLA:</t>
  </si>
  <si>
    <t>Fecha de vencimiento del contrato:</t>
  </si>
  <si>
    <t>Contrato vigente hasta 12 de agosto de 2026; se menciona extensión hasta noviembre y renovación por 3 años pendiente de aprobación.</t>
  </si>
  <si>
    <t>Oportunidades de optimización de costo:</t>
  </si>
  <si>
    <t>RFP para asumir operación end-to-end; oportunidad de mejorar alcance, gobierno, métricas y especialización IT/OT.</t>
  </si>
  <si>
    <t xml:space="preserve">  ⑩ VISIÓN PARA EL NUEVO SERVICIO — ¿QUÉ DEBERÍA CAMBIAR?</t>
  </si>
  <si>
    <t>PREGUNTA DE CIERRE</t>
  </si>
  <si>
    <t>Respuesta / Notas</t>
  </si>
  <si>
    <t>¿Qué funciona bien y se debe conservar?:</t>
  </si>
  <si>
    <t>Conservar conocimiento operativo en planta y coordinación directa con AES/Fredy.</t>
  </si>
  <si>
    <t>¿Qué es lo que más frustra al usuario hoy?:</t>
  </si>
  <si>
    <t>No se reportan quejas, NPS o CSAT; que se haga el finalizar los proyectos</t>
  </si>
  <si>
    <t>¿Qué cambiaría el cliente si pudiera mañana?:</t>
  </si>
  <si>
    <t>Pasar de modelo staffing a una operación integral a cargo de PersonalSoft.</t>
  </si>
  <si>
    <t>Capacidades que quisieran tener (top 3):</t>
  </si>
  <si>
    <t>1) Operación integral end-to-end; 2) especialización IT/OT e infraestructura; 3) métricas, gobierno y visibilidad ejecutiva.</t>
  </si>
  <si>
    <t>Riesgo de churn / señales de alerta:</t>
  </si>
  <si>
    <t>Alta señal de alerta comercial: contrato próximo a vencer, RFP competitivo con 4–5 compañías y renovación pendiente.</t>
  </si>
  <si>
    <t>¿Existe interés en IA / automatización?:</t>
  </si>
  <si>
    <t>Expectativa del cliente para una Mesa de Service de Nueva Generación:</t>
  </si>
  <si>
    <t>Mesa con mayor integralidad, gobierno, métricas y soporte especializado en tecnología/negocio.</t>
  </si>
  <si>
    <t>Prospectiva: Hacia donde el cliente quiere/puede llevar el servicio</t>
  </si>
  <si>
    <t>Proveedores más especializados en negocio y tecnología; integralidad operativa.</t>
  </si>
  <si>
    <t>Oportunidades para servicios actuales o nuevos servicos:</t>
  </si>
  <si>
    <t>Renovación a 3 años, ampliación de alcance hacia operación completa y servicios especializados IT/OT.</t>
  </si>
  <si>
    <t xml:space="preserve">  ⑪ CASOS DE ÉXITO — RESULTADOS Y VALOR GENERADO</t>
  </si>
  <si>
    <t>Fecha del caso</t>
  </si>
  <si>
    <t>Servicio / Mesa evaluada</t>
  </si>
  <si>
    <t>Tipo</t>
  </si>
  <si>
    <t>Qué levantar</t>
  </si>
  <si>
    <t>Ejemplo</t>
  </si>
  <si>
    <t>Nombre del caso de éxito</t>
  </si>
  <si>
    <t>Costos</t>
  </si>
  <si>
    <t>Ahorro, reducción de gasto, eficiencia FTE</t>
  </si>
  <si>
    <t>% ahorro / COP / horas</t>
  </si>
  <si>
    <t>Desafío / dolor inicial</t>
  </si>
  <si>
    <t>Optimización</t>
  </si>
  <si>
    <t>Menos reprocesos, mejor uso de capacidad</t>
  </si>
  <si>
    <t>Tickets por agente</t>
  </si>
  <si>
    <t>Contexto de negocio y operación</t>
  </si>
  <si>
    <t>Mejora</t>
  </si>
  <si>
    <t>Calidad, SLA, FCR, NPS, experiencia</t>
  </si>
  <si>
    <t>SLA 89% → 95%</t>
  </si>
  <si>
    <t>¿Qué hicimos en PersonalSoft?</t>
  </si>
  <si>
    <t>Destacable: soporte IT/OT e infraestructura con presencia/coordinación en planta; operación actual puede evolucionar desde staffing hacia servicio integral.</t>
  </si>
  <si>
    <t>Trazabilidad</t>
  </si>
  <si>
    <t>Reportes, tableros, auditoría, seguimiento</t>
  </si>
  <si>
    <t>Dashboard semanal</t>
  </si>
  <si>
    <t>Solución implementada / acciones clave</t>
  </si>
  <si>
    <t>Automatización</t>
  </si>
  <si>
    <t>Flujos, bots, autoservicio, integraciones</t>
  </si>
  <si>
    <t>% tickets automatizados</t>
  </si>
  <si>
    <t>Resultados en costos</t>
  </si>
  <si>
    <t>Resultados en optimización</t>
  </si>
  <si>
    <t>Resultados en mejora del servicio</t>
  </si>
  <si>
    <t>Aceleración</t>
  </si>
  <si>
    <t>Reducción de tiempos de atención/ciclo</t>
  </si>
  <si>
    <t>TMO / MTTR</t>
  </si>
  <si>
    <t>Trazabilidad / visibilidad lograda</t>
  </si>
  <si>
    <t>Automatización implementada</t>
  </si>
  <si>
    <t>Aceleración / reducción de tiempos</t>
  </si>
  <si>
    <t>Reducción</t>
  </si>
  <si>
    <t>Backlog, escalados, errores, contactos repetidos</t>
  </si>
  <si>
    <t>-30% backlog</t>
  </si>
  <si>
    <t>Indicadores antes</t>
  </si>
  <si>
    <t>Indicadores después</t>
  </si>
  <si>
    <t>Evidencia / fuente</t>
  </si>
  <si>
    <t>Evidencia</t>
  </si>
  <si>
    <t>Fuente que soporte el resultado</t>
  </si>
  <si>
    <t>Informe, KPI, acta, tablero</t>
  </si>
  <si>
    <t>Beneficios para el cliente</t>
  </si>
  <si>
    <t>Aprendizajes y buenas prácticas reutilizables</t>
  </si>
  <si>
    <t>Oportunidades para escalar al modelo de Mesa de Servicio de Nueva Generación</t>
  </si>
  <si>
    <t>LEVANTAMIENTO DE MESA DE SERVICIOS — SURA COTIZADORES</t>
  </si>
  <si>
    <t>⚠ DATOS DE EJEMPLO — Diligenciar con información real de la mesa</t>
  </si>
  <si>
    <t>Todo tipo de seguros (SOAT ,Vida, Autos, Polizas, ...)</t>
  </si>
  <si>
    <t>Cotizadores; Plataforma Suscripción</t>
  </si>
  <si>
    <t>Elsy Yulieth Marin Serna</t>
  </si>
  <si>
    <t>(Tercero) Empresa de soporte al cliente de N1:</t>
  </si>
  <si>
    <t>Raizales</t>
  </si>
  <si>
    <t>(Capacidad operativa) Operación de plataforma de suscripción/cotizadores para venta de seguros; atención principalmente de incidentes con bajo volumen de requerimientos. Soporte funcional/técnico de plataforma de suscripción y cotizadores; atención de incidentes y requerimientos por BMC.</t>
  </si>
  <si>
    <t xml:space="preserve">Finalización: </t>
  </si>
  <si>
    <t>Agosto con posible renovación hasta diciembre de 2026</t>
  </si>
  <si>
    <t>Propuesta con mirada de optimización; Compañía de Conexión / negociación comercial para el 2027. Se debe competir con otros proveedores</t>
  </si>
  <si>
    <t>Hablemos Mesas Sura-20260708_090044-Grabación de la reunión.mp4</t>
  </si>
  <si>
    <t>Natalia Zartha Suarez
0 30:03
Natalia Zartha Suarez 0 minutos 3 segundos
Esto es un gusto conocerte.
E
Elsy Yulieth Marin Serna
0 50:05
Elsy Yulieth Marin Serna 0 minutos 5 segundos
Súper bien, gracias a Dios también un placer. Ya había escuchado tu nombre, pero no había visto tu rostro.
Natalia Zartha Suarez
0 70:07
Natalia Zartha Suarez 0 minutos 7 segundos
bueno.
Natalia Zartha Suarez 0 minutos 11 segundos
Ah, bueno, súper. Muchísimas gracias por este espacio. Si quieres arrancamos para aprovechar el tiempito. Joan y Joan están invitados, pero pues igual la idea es como que que conversemos. Yo en este momento, pues entré hace como dos semanitas en la compañía, estoy trabajando en el equipo de de Joan.
E
Elsy Yulieth Marin Serna
0 180:18
Elsy Yulieth Marin Serna 0 minutos 18 segundos
De una.
Elsy Yulieth Marin Serna 0 minutos 28 segundos
And.
Natalia Zartha Suarez
0 300:30
Natalia Zartha Suarez 0 minutos 30 segundos
Y estoy comenzando con el diseño de las mesas de de servicio como un servicio estandarizado. Entonces estamos haciendo la la tarea de reunirnos con cada mesa. Joan me pues me me estaba colaborando con con la citación de estos para recoger como toda la información, todo el feedback, las lecciones aprendidas que ustedes tengan. O sea, cómo podemos mejorar esas mesas para que este servicio estandarizado. Pues.
E
Elsy Yulieth Marin Serna
0 360:36
Elsy Yulieth Marin Serna 0 minutos 36 segundos
Okay.
Elsy Yulieth Marin Serna 0 minutos 52 segundos
Y.
Natalia Zartha Suarez
0 minutos 55 segundos0:55
Natalia Zartha Suarez 0 minutos 55 segundos
sea mejor cierto entonces creo que él dejó unas pregunticas por aquí en el chat igual si si tú las tienes bien sino también porque pues podemos hacerlas como como mirando listo Ah súper
Natalia Zartha Suarez
58 minutos 22 segundos58:22
Natalia Zartha Suarez 58 minutos 22 segundos
Sí.
E
Elsy Yulieth Marin Serna
58 minutos 25 segundos58:25
Elsy Yulieth Marin Serna 58 minutos 25 segundos
que se tienen, se hacen este canal que se llama canales masivos. Acá hay muchas tareas automáticas porque como la volumetría es tan alta, pues hay muchos procesos automáticos que corren durante la semana, los fines de semana para renovar, para cancelar, pues todo eso es como muy automático por la volumetría propiamente según el cliente que tenemos.
Elsy Yulieth Marin Serna 58 minutos 44 segundos
Los clientes que manejamos y es un canal muy sensible, o sea, en serio Bancolombia dice, ay, esta póliza salió con un error y mejor dicho, hay que pagar todo lo que sea porque hay que revisar esa póliza de Bancolombia. Entonces es un canal muy demandante, más que en volumen de incidentes, en revisiones.
Elsy Yulieth Marin Serna 59 minutos 4 segundos
Ay, es que están diciendo que está saliendo este error, entonces el pelado se tiene que parar lo que sea para ir a hacer y acá supuestamente, según el cliente, una sola persona.
Elsy Yulieth Marin Serna 59 minutos 14 segundos
apalancado en el número de incidentes solamente nosotros ya en este tiempo que llevamos operando hemos visto no es que él no solo atiende incidentes en serio lo llaman demasiado para revisar un tema al otro le mandan correos que manda este informe que necesitamos cruzar esto que porque esto está pasando o sea es demandante en actividades adicionales un montón
Elsy Yulieth Marin Serna 59 minutos 35 segundos
que no quedan mapeadas siempre como en incidente Sí hemos tratado con él de venga acá que a usted le pidan algo que le Monten un incidente para que usted tenga un respaldo de qué es lo que está trabajando pero eh Este es el Pues los los clientes de este canal son los consentidos de su de hecho allá todo el mundo le dicen si usted va para canales masivos
Natalia Zartha Suarez
59 minutos 38 segundos59:38
Natalia Zartha Suarez 59 minutos 38 segundos
Mhm.
E
Elsy Yulieth Marin Serna
59 minutos 56 segundos59:56
Elsy Yulieth Marin Serna 59 minutos 56 segundos
Mejor dicho, usted le dicen hola y ya usted allá sentado mirando que necesitan.
Natalia Zartha Suarez
1 hora 2 segundos1:00:02
Natalia Zartha Suarez 1 hora 2 segundos
O K, esa, el horario también es 7 normalito en los 17:30.
E
Elsy Yulieth Marin Serna
1 hora 3 segundos1:00:03
Elsy Yulieth Marin Serna 1 hora 3 segundos
No.
Elsy Yulieth Marin Serna 1 hora 7 segundos
7:30, 7:30, 5 y este digamos que por los cierres de mes tiene también una disponibilidad en el final de el último día del mes y el primer día del mes siguiente, independiente si son hábiles o no. Si el último día del mes del 31 cae un domingo, tenemos que tener disponibilidad. Si el primero es postivo, tenemos que tener disponibilidad.
Natalia Zartha Suarez
1 hora 10 segundos1:00:10
Natalia Zartha Suarez 1 hora 10 segundos
Okay.
Natalia Zartha Suarez 1 hora 27 segundos
Mhm.
E
Elsy Yulieth Marin Serna
1 hora 29 segundos1:00:29
Elsy Yulieth Marin Serna 1 hora 29 segundos
Para todos los temas de cierre, pues garantizar que todo lo de cierre quede pues como el día.
Natalia Zartha Suarez
1 hora 31 segundos1:00:31
Natalia Zartha Suarez 1 hora 31 segundos
Ya.
Natalia Zartha Suarez 1 hora 35 segundos
Listo.
E
Elsy Yulieth Marin Serna
1 hora 35 segundos1:00:35
Elsy Yulieth Marin Serna 1 hora 35 segundos
Eso es como el resumen rápido.
Natalia Zartha Suarez
1 hora 38 segundos1:00:38
Natalia Zartha Suarez 1 hora 38 segundos
No, muchísimas. Bueno, bueno, pero todo es un toda esa manera con la herramienta de BMX. ¿Cómo fue que dijiste la ticket?
E
Elsy Yulieth Marin Serna
1 hora 44 segundos1:00:44
Elsy Yulieth Marin Serna 1 hora 44 segundos
Sí, BMC se llama.
Natalia Zartha Suarez
1 hora 48 segundos1:00:48
Natalia Zartha Suarez 1 hora 48 segundos
No creté, no, dale.
Joan Sebastian Rengifo Ocampo
1 hora 48 segundos1:00:48
Joan Sebastian Rengifo Ocampo 1 hora 48 segundos
Yo me debo de pasar a un espacio, pero te iba a comentar algo. el.
E
Elsy Yulieth Marin Serna
1 hora 53 segundos1:00:53
Elsy Yulieth Marin Serna 1 hora 53 segundos
Mhm.
Joan Sebastian Rengifo Ocampo
1 hora 56 segundos1:00:56
Joan Sebastian Rengifo Ocampo 1 hora 56 segundos
De los agile que estábamos en Bancolombia, hay tres compañeras que están indisponibles o igual los agile que quedamos, por ejemplo, una luz es mi persona. Hemos acompañado a equipos de soporte, incluso una de las que está disponible acompañada del centro de excelencia donde está la Jioti, donde están muchos de los equipos de soporte.
Joan Sebastian Rengifo Ocampo 1 hora 1 minuto 16 segundos
Yo acompañaba, por ejemplo, a los equipos que soportaban todo el canal la sucursal virtual negocios. Entonces, si puedes hablar, por ejemplo, con Jenny que ella tiene mis tres compañeras disponibles, porque esto que va a construir Natalia es más como pensando en temas, clientes nuevos, mesas nuevas, pero por el momento el enfoque no va a ser tanto de venga como le solucionamos a ustedes la vida.
Natalia Zartha Suarez
1 hora 1 minuto 34 segundos1:01:34
Natalia Zartha Suarez 1 hora 1 minuto 34 segundos
Mhm, sí.
Joan Sebastian Rengifo Ocampo
1 hora 1 minuto 40 segundos1:01:40
Joan Sebastian Rengifo Ocampo 1 hora 1 minuto 40 segundos
inicialmente, pero esa asesoría que no les funcionó con esta chica que nos decías, podrían tener un espacio con las compañeras o con cualquiera de nosotros, porque a mí ahorita yo decía aquí le sirve un Kanban, allá automatizamos esto con un power app si nos sacaba tal información.
E
Elsy Yulieth Marin Serna
1 hora 1 minuto 40 segundos1:01:40
Elsy Yulieth Marin Serna 1 hora 1 minuto 40 segundos
Mhm.
Natalia Zartha Suarez
1 hora 1 minuto 43 segundos1:01:43
Natalia Zartha Suarez 1 hora 1 minuto 43 segundos
sí.
Joan Sebastian Rengifo Ocampo
1 hora 1 minuto 59 segundos1:01:59
Joan Sebastian Rengifo Ocampo 1 hora 1 minuto 59 segundos
O sea, les pueden dar ciertas ideas de los equipos que acompañaban, qué hacían, cómo lo hacían y te puede dar ideas como para llevarlo a este proceso. Mientras pues te dejo ahí como esa inquietud para que de pronto hables con Jenny, porque ahí están disponibles y te pueden apoyar pues en esos temas.
E
Elsy Yulieth Marin Serna
1 hora 2 minutos 2 segundos1:02:02
Elsy Yulieth Marin Serna 1 hora 2 minutos 2 segundos
Mhm, super.
Natalia Zartha Suarez
1 hora 2 minutos 11 segundos1:02:11
Natalia Zartha Suarez 1 hora 2 minutos 11 segundos
Mhm.
E
Elsy Yulieth Marin Serna
1 hora 2 minutos 11 segundos1:02:11
Elsy Yulieth Marin Serna 1 hora 2 minutos 11 segundos
De una.
Elsy Yulieth Marin Serna 1 hora 2 minutos 13 segundos
Súper de una, yo 1000 gracias.
Natalia Zartha Suarez
1 hora 2 minutos 19 segundos1:02:19
Natalia Zartha Suarez 1 hora 2 minutos 19 segundos
Súper, muchas gracias. Listo Elsy, muchísimas gracias. Un gusto conocerte. De pronto te esté preguntando cositas puntuales mientras organizo como toda la información, pero muchísimas gracias por el espacio. Excelente. Nada, bye. Sí.
E
Elsy Yulieth Marin Serna
1 hora 2 minutos 19 segundos1:02:19
Elsy Yulieth Marin Serna 1 hora 2 minutos 19 segundos
De una.
Elsy Yulieth Marin Serna 1 hora 2 minutos 24 segundos
Con gusto.
Elsy Yulieth Marin Serna 1 hora 2 minutos 33 segundos
Con gusto a ustedes, muchísimas gracias. Les voy a dejar esto aquí en el chat de esta reunioncita listo.
Joan Sebastian Rengifo Ocampo
1 hora 2 minutos 35 segundos1:02:35
Joan Sebastian Rengifo Ocampo 1 hora 2 minutos 35 segundos
Vale, gracias.
Joan Sebastian Rengifo Ocampo 1 hora 2 minutos 38 segundos
Listo, súper, gracias.
Natalia Zartha Suarez
1 hora 2 minutos 38 segundos1:02:38
Natalia Zartha Suarez 1 hora 2 minutos 38 segundos
Súper, dale, muchas gracias. Chaito, un gusto, chaito, gracias.</t>
  </si>
  <si>
    <t># Applicaciones</t>
  </si>
  <si>
    <t>Comercial:</t>
  </si>
  <si>
    <t>Adriana Montez</t>
  </si>
  <si>
    <t>Roles:</t>
  </si>
  <si>
    <t>1.1</t>
  </si>
  <si>
    <t>Headcount identificado por operación y líder definida (Elsy).</t>
  </si>
  <si>
    <t>1.2</t>
  </si>
  <si>
    <t>Existe operación en BMC, pero se requiere reforzar documentación, KB y transferencia de conocimiento por niveles.</t>
  </si>
  <si>
    <t>1.3</t>
  </si>
  <si>
    <t>Se requiere validar retención/rotación por operación; hay dependencia de conocimiento del equipo.</t>
  </si>
  <si>
    <t>1.4</t>
  </si>
  <si>
    <t>Hay métricas operativas por mesa (tickets, SLA, MTTR, backlog), pero no se evidencian KPIs individuales por agente.</t>
  </si>
  <si>
    <t>1.5</t>
  </si>
  <si>
    <t>Servicio sensible al usuario/negocio; falta medición formal de experiencia (NPS/CSAT).</t>
  </si>
  <si>
    <t>2.1</t>
  </si>
  <si>
    <t>Gestión de incidentes en BMC con volumetría mensual disponible.</t>
  </si>
  <si>
    <t>2.2</t>
  </si>
  <si>
    <t>Gestión de requerimientos en BMC con volumetría mensual disponible.</t>
  </si>
  <si>
    <t>2.3</t>
  </si>
  <si>
    <t>Hay atención de causa raíz / nivel 3, pero se requiere formalizar RCA/KEDB y criterios de escalamiento.</t>
  </si>
  <si>
    <t>2.4</t>
  </si>
  <si>
    <t>Se observan procesos operativos y cierres, pero no se confirma gestión formal de cambios/CAB/RFC.</t>
  </si>
  <si>
    <t>2.5</t>
  </si>
  <si>
    <t>2.6</t>
  </si>
  <si>
    <t>2.7</t>
  </si>
  <si>
    <t>BMC centraliza ticketing, pero no se evidencia autoservicio/chatbot ni canal único maduro.</t>
  </si>
  <si>
    <t>3.1</t>
  </si>
  <si>
    <t>Proveedor/cliente gestionado mediante operación SURA y herramienta BMC.</t>
  </si>
  <si>
    <t>3.2</t>
  </si>
  <si>
    <t>Hay meta SLA y medición de cumplimiento; no se evidencian OLA/XLA.</t>
  </si>
  <si>
    <t>3.3</t>
  </si>
  <si>
    <t>Hay métricas de volumen, backlog y FTE; se requiere capacidad formal por picos/cierres.</t>
  </si>
  <si>
    <t>4.1</t>
  </si>
  <si>
    <t>Se identifican oportunidades de mejora con Kanban/Power App y optimización del seguimiento.</t>
  </si>
  <si>
    <t>4.2</t>
  </si>
  <si>
    <t>Existen métricas base; falta visibilidad ejecutiva/tablero consolidado y trazabilidad de tareas no registradas.</t>
  </si>
  <si>
    <t>Volumen baja ene-jun; SLA promedio por debajo de meta.</t>
  </si>
  <si>
    <t>Tipo de Tickets</t>
  </si>
  <si>
    <t>Cual es el esquema de escalamiento</t>
  </si>
  <si>
    <t>92% por categoría de criticidad: alto/crítico 9h, medio 12h, bajo 18h</t>
  </si>
  <si>
    <t>Plataforma de suscripción/cotizadores; 668 tickets/mes promedio.</t>
  </si>
  <si>
    <t>Documentar conocimiento crítico y plan de respaldo por operación.</t>
  </si>
  <si>
    <t>Plan de mejora SLA por criticidad y seguimiento semanal.</t>
  </si>
  <si>
    <t>Diseñar autoservicio/N0 para consultas repetitivas y solicitudes estándar.</t>
  </si>
  <si>
    <t>Integrar BMC con tablero/Kanban y trazabilidad operativa.</t>
  </si>
  <si>
    <t>Levantar NPS/CSAT para confirmar percepción del usuario.</t>
  </si>
  <si>
    <t>Definir matriz clara N1/N2/N3 y criterios de raízal/desarrollo.</t>
  </si>
  <si>
    <t>Alta carga de tareas repetitivas</t>
  </si>
  <si>
    <t>Crear tablero de seguimiento operativo y visibilidad de backlog/SLA.</t>
  </si>
  <si>
    <t>Automatizar reportes con BMC/Power App/BI.</t>
  </si>
  <si>
    <t>Registrar solicitudes adicionales y delimitar alcance por canal/mesa.</t>
  </si>
  <si>
    <r>
      <rPr>
        <sz val="11"/>
        <color rgb="FF000000"/>
        <rFont val="Calibri Light"/>
      </rPr>
      <t xml:space="preserve">Escalamiento ineficiente y </t>
    </r>
    <r>
      <rPr>
        <b/>
        <sz val="11"/>
        <color rgb="FF000000"/>
        <rFont val="Calibri Light"/>
      </rPr>
      <t>cuellos de botella:</t>
    </r>
    <r>
      <rPr>
        <sz val="11"/>
        <color rgb="FF000000"/>
        <rFont val="Calibri Light"/>
      </rPr>
      <t xml:space="preserve"> El modelo de N1/N2/N3 genera rebotes de tickets aumentado el MTTR (tiempo medio de resolución</t>
    </r>
  </si>
  <si>
    <t>Estandarizar escalamiento y tiempos por nivel.</t>
  </si>
  <si>
    <t>Pasar de atención reactiva a gestión por métricas y mejora continua.</t>
  </si>
  <si>
    <t>Definir gobierno operativo, RACI, comités y responsables.</t>
  </si>
  <si>
    <t>Aclarar responsabilidades N1/N2/N3 y límites de cada mesa.</t>
  </si>
  <si>
    <t>Revisar productividad, backlog y distribución de carga por FTE.</t>
  </si>
  <si>
    <t>Actualizar catálogo de servicios, alcance y exclusiones.</t>
  </si>
  <si>
    <t>Brechas de lo vendido vs lo ejecutado</t>
  </si>
  <si>
    <t>Alinear comercial/operación con niveles, alcance y capacidad real.</t>
  </si>
  <si>
    <t>Completar FCR, XLA/NPS y trazabilidad de tareas no registradas.</t>
  </si>
  <si>
    <t>Plan de reskilling en BMC, operación por niveles, Power Apps/Kanban y automatización.</t>
  </si>
  <si>
    <r>
      <rPr>
        <b/>
        <sz val="11"/>
        <color rgb="FF000000"/>
        <rFont val="Calibri Light"/>
      </rPr>
      <t>Los roles</t>
    </r>
    <r>
      <rPr>
        <sz val="11"/>
        <color rgb="FF000000"/>
        <rFont val="Calibri Light"/>
      </rPr>
      <t xml:space="preserve"> se asignan por perfil individual, no por modelo estandarizado</t>
    </r>
  </si>
  <si>
    <t>Practicantes por 6 meses / validar rotación anual.</t>
  </si>
  <si>
    <t>Soporte aplicativo y análisis de causa raíz.</t>
  </si>
  <si>
    <t>Perfil crítico por conocimiento de negocio y operación específica.</t>
  </si>
  <si>
    <t>Requiere levantamiento de onboarding.</t>
  </si>
  <si>
    <t>Requiere validación con líder.</t>
  </si>
  <si>
    <t>BMC / acompañamiento interno / prácticas ágiles sugeridas.</t>
  </si>
  <si>
    <t>Reforzar formación en niveles, trazabilidad y automatización.</t>
  </si>
  <si>
    <t>7:30 am - 5pm</t>
  </si>
  <si>
    <t>BMC Helix ITSM / BMC</t>
  </si>
  <si>
    <t>Herramienta de ticketing usada para incidentes/requerimientos.</t>
  </si>
  <si>
    <t>No identificado como herramienta formal.</t>
  </si>
  <si>
    <t>Oportunidad de autoservicio.</t>
  </si>
  <si>
    <t>Oportunidad de documentar KB por niveles y causa raíz.</t>
  </si>
  <si>
    <t>No se identifica CMDB en los insumos.</t>
  </si>
  <si>
    <t>No se identifica telefonía/IVR como canal principal.</t>
  </si>
  <si>
    <t>Kanban / Power App / tablero operativo (sugerido)</t>
  </si>
  <si>
    <t>Sugerencia de apoyo ágil para visibilidad y seguimiento de tareas.</t>
  </si>
  <si>
    <t>No identificado en los insumos.</t>
  </si>
  <si>
    <t>Teams / correos operativos</t>
  </si>
  <si>
    <t>Canal de coordinación; integrar con trazabilidad.</t>
  </si>
  <si>
    <t>BMC + tablero/Kanban/Power App</t>
  </si>
  <si>
    <t>BMC como ticketing; oportunidad de tablero/Kanban para seguimiento.</t>
  </si>
  <si>
    <t>Staffing / capacidad operativa por mesa.</t>
  </si>
  <si>
    <t>Meta SLA 92% por criticidad.</t>
  </si>
  <si>
    <t>Agosto con posible renovación hasta diciembre.</t>
  </si>
  <si>
    <t>Optimizar capacidad, trazabilidad, autoservicio y cumplimiento SLA.</t>
  </si>
  <si>
    <t xml:space="preserve">  ⑩ VISIÓN PARA EL NUEVO SERVICIO — ¿QUÉ DEBERÍA CAMBIAR?  ¿EL CLIENTE QUE LES PIDE?</t>
  </si>
  <si>
    <t>BMC como base de operación y conocimiento funcional de los equipos.</t>
  </si>
  <si>
    <t>Brechas de visibilidad, SLA bajo meta y claridad de niveles.</t>
  </si>
  <si>
    <t>Claridad de niveles N1/N2/N3, tablero operativo y mejor trazabilidad de solicitudes.</t>
  </si>
  <si>
    <t>1) Tablero/Kanban de seguimiento; 2) definición de niveles y alcance; 3) automatización/autoservicio y captura de tareas no registradas.</t>
  </si>
  <si>
    <t>Medio/Alto por SLA bajo meta y renovación en curso.</t>
  </si>
  <si>
    <t>Parcial: oportunidad de automatizar reportes, seguimiento y autoservicio.</t>
  </si>
  <si>
    <t>Servicio estandarizado con niveles claros, métricas completas, tablero ejecutivo y gobierno de mejora continua.</t>
  </si>
  <si>
    <t>Renovación/optimización del servicio, tableros, automatización y formalización de catálogo/niveles.</t>
  </si>
  <si>
    <t>Definir niveles, tablero operativo, seguimiento SLA y registro completo de actividades.</t>
  </si>
  <si>
    <t>LEVANTAMIENTO DE MESA DE SERVICIOS — SURA VENTA DIGITAL</t>
  </si>
  <si>
    <t>Soporte a canal digital de venta y análisis de causa raíz.</t>
  </si>
  <si>
    <t>Digital Venta</t>
  </si>
  <si>
    <t>Colombia y Panamá</t>
  </si>
  <si>
    <t>Atención de incidentes del canal digital de venta; operación con bajo FTE y métricas de SLA/MTTR en BMC.</t>
  </si>
  <si>
    <t>7 meses</t>
  </si>
  <si>
    <t>Agosto con posible renovación hasta diciembre</t>
  </si>
  <si>
    <t>Propuesta con mirada de optimización; Compañía de Conexión / negociación comercial.</t>
  </si>
  <si>
    <t>Volumen variable; SLA mejora hacia junio, pero promedio bajo meta.</t>
  </si>
  <si>
    <t>Canal digital de venta; 174 tickets/mes promedio.</t>
  </si>
  <si>
    <t>ERP (Enterprise resource planning) / SAP (System Applications and Products in Data Processing)</t>
  </si>
  <si>
    <t xml:space="preserve">  ⑤ EXPERIENCIA DEL USUARIO — XLA (Acuerdos de Nivel de Experiencia) / DEX (Experiencia Digital del Empleado)</t>
  </si>
  <si>
    <t>Validar rotación anual por operación.</t>
  </si>
  <si>
    <t>Dato de rotación no incluido en métricas; requiere confirmación.</t>
  </si>
  <si>
    <t>No hay medición de clima en los insumos.</t>
  </si>
  <si>
    <t>No reportado en métricas.</t>
  </si>
  <si>
    <t>BMC como ticketing; oportunidad de tablero/Kanban para trazabilidad.</t>
  </si>
  <si>
    <t>Que podriamos destacar</t>
  </si>
  <si>
    <t>LEVANTAMIENTO DE MESA DE SERVICIOS — SURA TORRE CONTROL</t>
  </si>
  <si>
    <t>Soporte a Automate, PowerApps. Preventivo, Monitoreo</t>
  </si>
  <si>
    <t>Automatizacion</t>
  </si>
  <si>
    <t>Soporte y operación de automatizaciones; combina incidentes y requerimientos con MTTR bajo y SLA sobre meta.</t>
  </si>
  <si>
    <t>Por confirmar</t>
  </si>
  <si>
    <t>Se menciona preventivo y monitoreo dentro del alcance de automatización.</t>
  </si>
  <si>
    <t>SLA estable y sobre meta; volumen alto con buen desempeño.</t>
  </si>
  <si>
    <t>Automatizaciones / PowerApps; 512 tickets/mes promedio.</t>
  </si>
  <si>
    <t>PowerApps / Power Automate / monitoreo.</t>
  </si>
  <si>
    <t>Monitoreo / preventivos</t>
  </si>
  <si>
    <t>Incluido en alcance de automatización.</t>
  </si>
  <si>
    <t>Power Automate / PowerApps</t>
  </si>
  <si>
    <t>Automatizaciones operativas; fortalecer gobierno y métricas.</t>
  </si>
  <si>
    <t>PowerApps/Automate y BMC; fortalecer tablero operativo.</t>
  </si>
  <si>
    <t>Formalizar gobierno y métricas de automatizaciones.</t>
  </si>
  <si>
    <t>Medio: mantener desempeño y formalizar gobierno para renovación.</t>
  </si>
  <si>
    <t>Sí: hay automatizaciones/PowerApps y oportunidades de Power App/Kanban.</t>
  </si>
  <si>
    <t>LEVANTAMIENTO DE MESA DE SERVICIOS — SURA MESA 4</t>
  </si>
  <si>
    <t>Canales masivos de pólizas/operación de alto volumen y alta sensibilidad para clientes como Bancolombia.</t>
  </si>
  <si>
    <t>Canales masivos</t>
  </si>
  <si>
    <t>Operación de canales masivos: renovaciones/cancelaciones automáticas, revisiones de pólizas y atención de solicitudes adicionales por correo/informes. Soporte de canal masivo con revisiones críticas, cierres de mes y atención de solicitudes que no siempre quedan como incidente.</t>
  </si>
  <si>
    <t>Existen procesos automáticos del canal, pero no se confirma observabilidad/alertas formal.</t>
  </si>
  <si>
    <t>Canal con alta sensibilidad, cierres de mes y 1 FTE; requiere gestión de capacidad y contingencia.</t>
  </si>
  <si>
    <t>SLA volátil y bajo meta; alta sensibilidad operativa y carga adicional no siempre mapeada.</t>
  </si>
  <si>
    <t>Canales masivos; 171 tickets/mes promedio y revisiones adicionales no siempre registradas.</t>
  </si>
  <si>
    <t>Capturar revisiones, correos e informes que hoy no siempre quedan como incidente.</t>
  </si>
  <si>
    <t>Operación de canales masivos y cierres de mes.</t>
  </si>
  <si>
    <t>7:30 a 17:00 + disponibilidad en cierre de mes (último y primer día). Disponibilidad adicional para garantizar cierres.</t>
  </si>
  <si>
    <t>Puede requerirse disponibilidad extra en cierres de mes.</t>
  </si>
  <si>
    <t>Procesos automáticos del canal</t>
  </si>
  <si>
    <t>Tareas automáticas para renovar/cancelar; falta trazabilidad integral.</t>
  </si>
  <si>
    <t>Solicitudes adicionales llegan por correos/informes; conviene registrarlas en BMC.</t>
  </si>
  <si>
    <t>BMC + procesos automáticos del canal; oportunidad de capturar solicitudes no registradas.</t>
  </si>
  <si>
    <t>Alta demanda, solicitudes adicionales no siempre registradas y sensibilidad de clientes como Bancolombia.</t>
  </si>
  <si>
    <t>Medio/Alto por SLA bajo meta, alta sensibilidad y renovación en curso.</t>
  </si>
  <si>
    <t>Sí: hay procesos automáticos y oportunidades de Power App/Kanban.</t>
  </si>
  <si>
    <t>LEVANTAMIENTO DE MESA DE SERVICIOS — XM</t>
  </si>
  <si>
    <t>Maneja todo la energia del pais. Publico-privada, y la energia que se exporta</t>
  </si>
  <si>
    <t>Mesa de Servicio XM / Soporte aplicaciones</t>
  </si>
  <si>
    <t>Diego Fernando Serna Restrepo</t>
  </si>
  <si>
    <t>N° de Agentes (FTE) :</t>
  </si>
  <si>
    <t>Capacidad operativa con uso de ServiceNow del cliente</t>
  </si>
  <si>
    <t>ServiceNow propio del cliente; PersonalSoft paga licencia para operar en la herramienta.</t>
  </si>
  <si>
    <t>Hace campos en la aplicacion, HU evolutivas</t>
  </si>
  <si>
    <t>Soporte a 14 componentes (11 aplicaciones y 3 tareas), gestión de incidentes/requerimientos, disponibilidad 24x7 y escalamiento a N3 para evolutivos/HU. Atención de incidentes y requerimientos en ServiceNow; presencia N2 y N3 para campos en aplicación / HU evolutivas.</t>
  </si>
  <si>
    <t>Febrero 2025; 1 año y medio</t>
  </si>
  <si>
    <t>Finalización:</t>
  </si>
  <si>
    <t>Contrato vigente hasta julio de 2027; continuidad sujeta a renovación/gestión comercial.</t>
  </si>
  <si>
    <t>Infraestructura/herramienta ServiceNow del cliente.</t>
  </si>
  <si>
    <t>transcript_XM.txt</t>
  </si>
  <si>
    <t>Diego Fernando Serna Restrepo
4 minutos 48 segundos4:48
Diego Fernando Serna Restrepo 4 minutos 48 segundos
La tarde.
Natalia Zartha Suarez
4 minutos 49 segundos4:49
Natalia Zartha Suarez 4 minutos 49 segundos
Hoy le digo, buenas tardes, buenas tardes.
D
Diego Fernando Serna Restrepo
4 minutos 53 segundos4:53
Diego Fernando Serna Restrepo 4 minutos 53 segundos
Bien, y vos.
Natalia Zartha Suarez
4 minutos 53 segundos4:53
Natalia Zartha Suarez 4 minutos 53 segundos
Como te bien, gracias a Dios, todo muy bien, bueno, te agradezco.
D
Diego Fernando Serna Restrepo
4 minutos 57 segundos4:57
Diego Fernando Serna Restrepo 4 minutos 57 segundos
Qué bueno, depende.
Natalia Zartha Suarez
5 minutos5:00
Natalia Zartha Suarez 5 minutos
Dale tranquilo, te agradezco mucho por este espacio. Yo creo que de pronto yo no se une porque él está pronto en otra reunión, pero la idea es que miremos un poquito lo de las mesas de servicio. Te cuento un poquito, yo ingresé a la empresa hace como dos semanitas, estoy trabajando con John Fredy en todo el tema de innovación y estrategia.
Natalia Zartha Suarez 5 minutos 23 segundos
y ahorita estamos diseñando un servicio nuevo para las mesas de servicio entonces la idea con ese servicio es que recojamos primero todo el feedback y las lecciones aprendidas que puedan tener ustedes para este servicio que se va a diseñar y pues hacerlo lo mejor posible cierto Entonces este espacio es más como para
Natalia Zartha Suarez 5 minutos 44 segundos
Pues así como charladito para que tú me puedas contar de pronto qué hace en la mesa, qué retos han encontrado, qué métricas tiene, qué herramientas usan, digamos que todo eso y ahí pues van surgiendo pregunticas. Lista dale.
D
Diego Fernando Serna Restrepo
5 minutos 55 segundos5:55
Diego Fernando Serna Restrepo 5 minutos 55 segundos
Listo.
Diego Fernando Serna Restrepo 5 minutos 59 segundos
listo Bueno ahí te cuento Entonces esta mesa de servicio es para el cliente xn la herramienta que se utiliza para la mesa se llama service Now que es propia de ellos Pues cierto ahora a nosotros nos toca pagarle la licencia a ellos para usar la herramienta es básicamente es un tema ya del cliente que mejora la licencia
Natalia Zartha Suarez
44 minutos 25 segundos44:25
Natalia Zartha Suarez 44 minutos 25 segundos
Sí.
Natalia Zartha Suarez 44 minutos 29 segundos
Yeah.
Natalia Zartha Suarez 44 minutos 38 segundos
Sí.
D
Diego Fernando Serna Restrepo
44 minutos 39 segundos44:39
Diego Fernando Serna Restrepo 44 minutos 39 segundos
De ya la encuesta de personal hace desde el área comercial, que normalmente la hace para cierre de año y se le manda pues como a 2 principales actores del cliente. Entonces nosotros aquí como de temas de satisfacción propiamente en el soporte no lo manejamos, pero como compañía sí los manejamos, pero ya desde el área comercial que le hacen la encuesta a fin de año a los clientes que son.
Natalia Zartha Suarez
44 minutos 44 segundos44:44
Natalia Zartha Suarez 44 minutos 44 segundos
Okay.
Natalia Zartha Suarez 44 minutos 47 segundos
bueno.
Natalia Zartha Suarez 44 minutos 54 segundos
Yeah.
Natalia Zartha Suarez 44 minutos 57 segundos
Ya.
D
Diego Fernando Serna Restrepo
45 minutos45:00
Diego Fernando Serna Restrepo 45 minutos
Normalmente lo hace el comercial, mi comercial es Adriana y Adriana se encarga de esas encuestas a este cliente.
Natalia Zartha Suarez
45 minutos 4 segundos45:04
Natalia Zartha Suarez 45 minutos 4 segundos
sí de hacer todo eso listo listo listo Diego no yo creo que tengo mucha información como para ir procesando terminar de organizar nosotros ya no Bueno yo ya me reuní con Sura también mañana me reúno con bancolombia Pues con los de las mesas
Natalia Zartha Suarez 45 minutos 24 segundos
Para empezar ya a diseñar este servicio, entonces de pronto te pregunte cositas o de pronto te muestre algo como para mirar ya te que vaya quedando bien listo.
D
Diego Fernando Serna Restrepo
45 minutos 29 segundos45:29
Diego Fernando Serna Restrepo 45 minutos 29 segundos
Ah, no, dale.
Diego Fernando Serna Restrepo 45 minutos 33 segundos
De algunas.
Natalia Zartha Suarez
45 minutos 35 segundos45:35
Natalia Zartha Suarez 45 minutos 35 segundos
Listo, no sé si de pronto tengas algún otro dolor para yo notarlo acá, que tú digas que sea muy importante.
D
Diego Fernando Serna Restrepo
45 minutos 40 segundos45:40
Diego Fernando Serna Restrepo 45 minutos 40 segundos
No, mis dolores principales es capacidad, gestión de conocimiento que ya te dije que no tengo como y lo estoy haciendo mal. El tema de la disponibilidad, yo creo que ya y el tema pues del de la curva, que sí necesito gente muy experta para esta mesa y tarda.
Natalia Zartha Suarez
45 minutos 48 segundos45:48
Natalia Zartha Suarez 45 minutos 48 segundos
Sí.
Natalia Zartha Suarez 45 minutos 53 segundos
Sí, listo.
D
Diego Fernando Serna Restrepo
46 minutos46:00
Diego Fernando Serna Restrepo 46 minutos
Tarda esa curva.
Diego Fernando Serna Restrepo 46 minutos 3 segundos
Para mí, los cuatro chicos de soporte es mi personal clave, yo necesito gente muy experta aquí en grande soporte.
Natalia Zartha Suarez
46 minutos 3 segundos46:03
Natalia Zartha Suarez 46 minutos 3 segundos
Lista.
Natalia Zartha Suarez 46 minutos 10 segundos
listo listo Dale Diego Muchísimas gracias entonces con el te pregunto y te mostrando a ver listo y igual no no igual si tienes tiempo también no de preguntarle a Ivan de pronto porque yo sé que ellos empezaron a hacer unas automatizaciones no sé qué de ahí te pueda servir Igual yo me reuno también con ellos creo que el martes
D
Diego Fernando Serna Restrepo
46 minutos 16 segundos46:16
Diego Fernando Serna Restrepo 46 minutos 16 segundos
Estaba Natalia.
Natalia Zartha Suarez
46 minutos 31 segundos46:31
Natalia Zartha Suarez 46 minutos 31 segundos
Entonces, como para ir mirando ese tema también listo, igual yo le comento a él también a ver ellos qué piensan hacer a futuro, listo.
D
Diego Fernando Serna Restrepo
46 minutos 40 segundos46:40
Diego Fernando Serna Restrepo 46 minutos 40 segundos
Listo, pues bueno, a ti, muchas gracias, chaito.
Natalia Zartha Suarez
46 minutos 41 segundos46:41
Natalia Zartha Suarez 46 minutos 41 segundos
Vale, muchas gracias, que estés muy bien. Gracias por el tiempo, chaita. Gracias.
D
Diego Fernando Serna Restrepo
46 minutos 46 segundos46:46
Diego Fernando Serna Restrepo 46 minutos 46 segundos
Hello!</t>
  </si>
  <si>
    <t>14; 11 aplicaciones, 3 tareas</t>
  </si>
  <si>
    <t>90 aplicaciones del cliente, pero PersonalSoft se ganó el contrato de 14</t>
  </si>
  <si>
    <t>Adriana</t>
  </si>
  <si>
    <t>2 intermedio, 2 senior. Gerente 100%</t>
  </si>
  <si>
    <t>No para soporte.</t>
  </si>
  <si>
    <t>Headcount identificado: 4 personas de soporte; roles: 2 intermedios, 2 senior y gerente al 100%.</t>
  </si>
  <si>
    <t>Dolor declarado: gestión de conocimiento no está formalizada; se reconoce que se está haciendo mal y depende de expertos.</t>
  </si>
  <si>
    <t>No se evidencia rotación, pero la curva de aprendizaje es alta y se requiere gente muy experta.</t>
  </si>
  <si>
    <t>Existen métricas básicas de volumen; falta detalle de KPIs por agente y productividad.</t>
  </si>
  <si>
    <t>La satisfacción se mide por encuesta comercial anual a dos actores principales, no desde la mesa/soporte.</t>
  </si>
  <si>
    <t>Incidentes gestionados en ServiceNow; se reportan 40 incidentes/mes.</t>
  </si>
  <si>
    <t>Requerimientos gestionados en ServiceNow; se reportan 50 requerimientos/mes.</t>
  </si>
  <si>
    <t>Hay presencia N3 para campos en aplicación y HU evolutivas; falta formalizar RCA/KEDB/base de conocimiento.</t>
  </si>
  <si>
    <t>Herramienta de gestion de conocimiento</t>
  </si>
  <si>
    <t>Se gestionan HU/evolutivos en N3, pero no se evidencia CAB/RFC o gobierno formal de cambios.</t>
  </si>
  <si>
    <t>No se evidencia CMDB ni gestión formal de configuración.</t>
  </si>
  <si>
    <t>No se evidencia monitoreo/observabilidad formal para la mesa.</t>
  </si>
  <si>
    <t>ServiceNow centraliza tickets, pero no se evidencia autoservicio/chatbot ni canal único maduro.</t>
  </si>
  <si>
    <t>ServiceNow es herramienta del cliente y se opera con licencia; relación cliente/proveedor definida.</t>
  </si>
  <si>
    <t>Se evidencia disponibilidad 24x7 y operación por tickets, pero no se reportan SLA/OLA/XLA completos.</t>
  </si>
  <si>
    <t>Dolor principal: capacidad y disponibilidad; no hay modelo claro para dimensionar demanda/recursos 7x24.</t>
  </si>
  <si>
    <t>Se identifican dolores y oportunidades, pero no se evidencia ciclo formal de mejora continua.</t>
  </si>
  <si>
    <t>Hay algunos datos de tickets, pero falta tablero/reporte ejecutivo y visibilidad completa de métricas.</t>
  </si>
  <si>
    <t>Demanda relevante y constante</t>
  </si>
  <si>
    <t>Total estimado: 40 incidentes/mes + 50 requerimientos/mes.</t>
  </si>
  <si>
    <t>Incidentes y requerimientos</t>
  </si>
  <si>
    <t>La mesa atiende tickets en ServiceNow; incluye 14 componentes: 11 aplicaciones y 3 tareas.</t>
  </si>
  <si>
    <t>N2 soporte / N3 evolutivos</t>
  </si>
  <si>
    <t>Escalamiento a N3 para campos en aplicación y HU evolutivas.</t>
  </si>
  <si>
    <t>Dato reportado en levantamiento: 40 incidentes al mes.</t>
  </si>
  <si>
    <t>Dato reportado en levantamiento: 50 requerimientos al mes.</t>
  </si>
  <si>
    <t>Estimado</t>
  </si>
  <si>
    <t>90 tickets/mes / 4 agentes.</t>
  </si>
  <si>
    <t>Estable</t>
  </si>
  <si>
    <t>4 personas: 2 intermedio, 2 senior; gerente 100%.</t>
  </si>
  <si>
    <t>Sin autoservicio</t>
  </si>
  <si>
    <t>No se evidencia autoservicio/N0 para soporte.</t>
  </si>
  <si>
    <t>90 aplicaciones del cliente, pero PersonalSoft se ganó el contrato de 14. Tickets asociados a aplicaciones de negocio: 11 aplicaciones y 3 tareas.</t>
  </si>
  <si>
    <t>La mesa no mide satisfacción propia; comercial realiza encuesta de cierre de año.</t>
  </si>
  <si>
    <t>Adriana gestiona encuesta a dos actores principales del cliente al cierre de año.</t>
  </si>
  <si>
    <t xml:space="preserve">  ⑥ DOLORES CRÍTICOS DE LA MESA (D1–D22)</t>
  </si>
  <si>
    <t>Plan de respaldo y documentación para reducir dependencia de expertos.</t>
  </si>
  <si>
    <t>Validar SLA cuantitativo y posibles penalizaciones contractuales.</t>
  </si>
  <si>
    <t>Evaluar autoservicio/N0 y base de conocimiento para solicitudes repetitivas.</t>
  </si>
  <si>
    <t>ServiceNow centraliza tickets, pero falta integración con KB/tableros.</t>
  </si>
  <si>
    <t>Implementar medición de satisfacción propia de la mesa.</t>
  </si>
  <si>
    <t>Formalizar matriz de escalamiento N2/N3 y criterios para HU/evolutivos.</t>
  </si>
  <si>
    <t>Crear tablero de capacidad, disponibilidad y métricas de operación.</t>
  </si>
  <si>
    <t>Automatizar reportes ejecutivos y seguimiento de tickets.</t>
  </si>
  <si>
    <t>Delimitar alcance para 11 aplicaciones y 3 tareas; controlar solicitudes fuera de alcance.</t>
  </si>
  <si>
    <t>Definir tiempos y criterios de escalamiento para evitar cuellos de botella.</t>
  </si>
  <si>
    <t>Evolucionar a gestión por métricas, KB y mejora continua.</t>
  </si>
  <si>
    <t>Definir gobierno operativo, RACI, capacidad y reglas 24x7.</t>
  </si>
  <si>
    <t>Roles base identificados; formalizar responsabilidades por nivel y tecnología.</t>
  </si>
  <si>
    <t>Revisar dimensionamiento de recursos vs demanda, disponibilidad y especialización.</t>
  </si>
  <si>
    <t>Actualizar catálogo/alcance por aplicación, tarea y nivel.</t>
  </si>
  <si>
    <t>Alinear venta, disponibilidad 24x7, capacidad y esfuerzo real por tecnología.</t>
  </si>
  <si>
    <t>Completar métricas: SLA, MTTR, FCR, backlog, capacidad y satisfacción por soporte.</t>
  </si>
  <si>
    <t>Plan de formación para reducir curva y dependencia de perfiles senior.</t>
  </si>
  <si>
    <t>Construir modelo de demanda/capacidad por aplicación, tarea y nivel.</t>
  </si>
  <si>
    <t>Estimar disponibilidad 7x24 y cobertura por tecnología crítica.</t>
  </si>
  <si>
    <t>Recalcular horas/capacidad por tecnología y disponibilidad real; definir backups por tecnología.</t>
  </si>
  <si>
    <t>Perfiles senior e intermedios expertos en XM; 4 personas clave de soporte.</t>
  </si>
  <si>
    <t>Diego indica que necesita gente muy experta y que la curva tarda.</t>
  </si>
  <si>
    <t>Alto / curva larga</t>
  </si>
  <si>
    <t>Curva de aprendizaje tarda por complejidad del cliente y tecnologías.</t>
  </si>
  <si>
    <t>ServiceNow / transferencia interna / documentación pendiente</t>
  </si>
  <si>
    <t>Priorizar KB y onboarding para reducir dependencia de expertos.</t>
  </si>
  <si>
    <t>24x7 → 168 horas/semana</t>
  </si>
  <si>
    <t>Dolor explícito: disponibilidad y estimación de recursos para 7x24.</t>
  </si>
  <si>
    <t>Horas se quedaron cortas según nota del levantamiento; requiere recalcular capacidad.</t>
  </si>
  <si>
    <t>Herramienta propia del cliente; PersonalSoft paga licencia para operar.</t>
  </si>
  <si>
    <t>No se reportan herramientas de monitoreo/observabilidad formal.</t>
  </si>
  <si>
    <t>No para soporte</t>
  </si>
  <si>
    <t>Pendiente / no formalizada</t>
  </si>
  <si>
    <t>Dolor explícito: gestión de conocimiento insuficiente.</t>
  </si>
  <si>
    <t>Tablero / reporte por construir</t>
  </si>
  <si>
    <t>Falta visibilidad ejecutiva y métricas completas.</t>
  </si>
  <si>
    <t>Teams / coordinación interna</t>
  </si>
  <si>
    <t>Canal de coordinación; integrar con trazabilidad y KB.</t>
  </si>
  <si>
    <t>ServiceNow + KB + tablero</t>
  </si>
  <si>
    <t>Oportunidad de integrar gestión de conocimiento, métricas y capacidad.</t>
  </si>
  <si>
    <t>Staffing / capacidad operativa con licencia ServiceNow del cliente.</t>
  </si>
  <si>
    <t>No reportadas; validar SLA/penalizaciones.</t>
  </si>
  <si>
    <t>Julio 2027.</t>
  </si>
  <si>
    <t>Optimizar capacidad 24x7, gestión de conocimiento, modelo de demanda y cobertura por tecnología.</t>
  </si>
  <si>
    <t>Conservar conocimiento experto del equipo y uso de ServiceNow como herramienta central.</t>
  </si>
  <si>
    <t>Capacidad, gestión de conocimiento, disponibilidad 24x7 y curva de aprendizaje alta.</t>
  </si>
  <si>
    <t>Modelo claro de demanda/capacidad, backups por tecnología, KB formal y tablero de métricas.</t>
  </si>
  <si>
    <t>1) KB/onboarding; 2) modelo de capacidad 7x24 por tecnología; 3) tablero de métricas y SLA.</t>
  </si>
  <si>
    <t>Medio: contrato vigente hasta julio 2027, pero hay dolores fuertes de capacidad y disponibilidad.</t>
  </si>
  <si>
    <t>Parcial: no hay automatizaciones para soporte; se sugiere explorar con Iván/automatizaciones.</t>
  </si>
  <si>
    <t>Mesa con niveles claros, conocimiento documentado, capacidad dimensionada y métricas completas.</t>
  </si>
  <si>
    <t>Servicio de gestión de conocimiento, tablero ejecutivo, dimensionamiento 24x7 y automatización de soporte.</t>
  </si>
  <si>
    <t>Operación de soporte con 4 perfiles clave y uso de ServiceNow del cliente.</t>
  </si>
  <si>
    <t>LEVANTAMIENTO DE MESA DE SERVICIOS — BANCOLOMBIA COES INTEGRACIÓN</t>
  </si>
  <si>
    <t>Integración / servicios COES Bancolombia</t>
  </si>
  <si>
    <t>COES Integración</t>
  </si>
  <si>
    <t>Service Manager:</t>
  </si>
  <si>
    <t>Paula Andrea Soto Alvarado</t>
  </si>
  <si>
    <t>Helix / Bancolombia</t>
  </si>
  <si>
    <t>Atención COES de integración: incidentes, requerimientos, seguimiento mensual, post mortem y coordinación con frentes del banco.</t>
  </si>
  <si>
    <t>5 años</t>
  </si>
  <si>
    <t>Hola Joan, buenos días. Bien, gracias a Dios, ¿cómo vas?
Joan Sebastian Rengifo Ocampo
0 minutos 29 segundos0:29
Joan Sebastian Rengifo Ocampo 0 minutos 29 segundos
Hola, Nata.
Joan Sebastian Rengifo Ocampo 0 minutos 34 segundos
Súper bien, como va todo.
Natalia Zartha Suarez
0 minutos 37 segundos0:37
Natalia Zartha Suarez 0 minutos 37 segundos
Bien, todo bien.
Natalia Zartha Suarez 0 minutos 40 segundos
Vamos a todo por allá en la oficina.
Joan Sebastian Rengifo Ocampo
0 minutos 41 segundos0:41
Joan Sebastian Rengifo Ocampo 0 minutos 41 segundos
No.
Joan Sebastian Rengifo Ocampo 0 minutos 43 segundos
Vienen corriendo muchas cositas.
Natalia Zartha Suarez
0 minutos 46 segundos0:46
Natalia Zartha Suarez 0 minutos 46 segundos
Sí.
Joan Sebastian Rengifo Ocampo
0 minutos 47 segundos0:47
Joan Sebastian Rengifo Ocampo 0 minutos 47 segundos
Pero muy bien, ya estoy, mejor dicho, aterrizando.
Natalia Zartha Suarez
0 minutos 48 segundos0:48
Natalia Zartha Suarez 0 minutos 48 segundos
Lina.
Natalia Zartha Suarez
46 minutos 56 segundos46:56
Natalia Zartha Suarez 46 minutos 56 segundos
Sí, nos vemos segundito.
Natalia Zartha Suarez 47 minutos 6 segundos
Fin.
Joan Sebastian Rengifo Ocampo
47 minutos 7 segundos47:07
Joan Sebastian Rengifo Ocampo 47 minutos 7 segundos
Mhm.
Natalia Zartha Suarez
47 minutos 12 segundos47:12
Natalia Zartha Suarez 47 minutos 12 segundos
Sí, pero usted me entiende.
Paula Andrea Soto Alvarado
47 minutos 15 segundos47:15
Paula Andrea Soto Alvarado 47 minutos 15 segundos
Después de que solucionaron.
Paula Andrea Soto Alvarado 47 minutos 17 segundos
Entonces la culpa es de medios de pago a Listoga el post mortem que hacen un nada. No recuerdo las siglas seas por si las recuerdas. Entonces un nada es a quien se le chutó o asumió obligaron a asumir la responsabilidad. Debe hacer un documento con un análisis de lo que pasó y de lo que no volvió a pasar.
Joan Sebastian Rengifo Ocampo
47 minutos 35 segundos47:35
Joan Sebastian Rengifo Ocampo 47 minutos 35 segundos
Mhm.
Paula Andrea Soto Alvarado
47 minutos 36 segundos47:36
Paula Andrea Soto Alvarado 47 minutos 36 segundos
y ya me corregirá pero hay temas o situaciones críticas donde si el daño fue muy significativo o es del un tema de vida pueden despedir a la persona pero tiene que ser muy crítico muy crítico porque se tuvo que haber saltado algo o tiene que volar la cabeza de alguien no pasa mucho pero depende de la criticidad
Natalia Zartha Suarez
47 minutos 37 segundos47:37
Natalia Zartha Suarez 47 minutos 37 segundos
Sí.
Paula Andrea Soto Alvarado
47 minutos 58 segundos47:58
Paula Andrea Soto Alvarado 47 minutos 58 segundos
Listo.
Joan Sebastian Rengifo Ocampo
47 minutos 58 segundos47:58
Joan Sebastian Rengifo Ocampo 47 minutos 58 segundos
no no no pasa mucho como tú dices Yo creo que en los cinco años que yo estuve vi dos situaciones apenas que pasó con despidos pero es que fueron situaciones que uno dice Ay Dios mío o sea hubo una que fue muy crítica y salieron líderes muy fuertes de la organización pues de Bancolombia pero fue porque las pérdidas que tuvo Bancolombia fueron millonarias
Natalia Zartha Suarez
47 minutos 59 segundos47:59
Natalia Zartha Suarez 47 minutos 59 segundos
Yes, sí.
Joan Sebastian Rengifo Ocampo
48 minutos 23 segundos48:23
Joan Sebastian Rengifo Ocampo 48 minutos 23 segundos
Y fue que en un paso de producción dejaron por allá un cosito abierto muy chiquito que uno pensaba no hacía nada.
Joan Sebastian Rengifo Ocampo 48 minutos 30 segundos
Pero para los que estuvieron como pendientes, habilitó de que tu MPS con Bancolombia, un ejemplo, tú ibas a pagar tu cuota inicial de tu apartamento.
Joan Sebastian Rengifo Ocampo 48 minutos 45 segundos
y él te habilitó a meter el dinero que tú quisieras y te habilitaba el pago así no tuvieras ese dinero en la cuenta O sea si tú decías Ah yo quiero pagar los 100 millones de mi de mi de mi cuota inicial pero yo en la cuenta tenía 1000 millones el pago se hacía efectivo
Natalia Zartha Suarez
48 minutos 45 segundos48:45
Natalia Zartha Suarez 48 minutos 45 segundos
Oh, sí.
Paula Andrea Soto Alvarado
48 minutos 56 segundos48:56
Paula Andrea Soto Alvarado 48 minutos 56 segundos
Mhm.
Natalia Zartha Suarez
48 minutos 57 segundos48:57
Natalia Zartha Suarez 48 minutos 57 segundos
sí.
Paula Andrea Soto Alvarado
48 minutos 58 segundos48:58
Paula Andrea Soto Alvarado 48 minutos 58 segundos
Mhm.
Joan Sebastian Rengifo Ocampo
49 minutos 3 segundos49:03
Joan Sebastian Rengifo Ocampo 49 minutos 3 segundos
Entonces hubo gente que aprovechó ese error y las pérdidas de Bancolombia fueron millonarias. Entonces, en ese tipo, cuando son así tan grandes, es cuando se procede a despidos. De resto, lo que se procede es lo que yo nada y venga que esto no vuelva a pasar. Pero cuando son críticos,
Natalia Zartha Suarez
49 minutos 4 segundos49:04
Natalia Zartha Suarez 49 minutos 4 segundos
Y claro.
Paula Andrea Soto Alvarado
49 minutos 19 segundos49:19
Paula Andrea Soto Alvarado 49 minutos 19 segundos
Mhm.
Paula Andrea Soto Alvarado 49 minutos 22 segundos
Sí me hicieron acordar, el año antepasado hubo una falla y la gente que tenía saldo estaba en cero, como la gente que tenía 10000 pesos y 40000000 de pesos.
Natalia Zartha Suarez
49 minutos 22 segundos49:22
Natalia Zartha Suarez 49 minutos 22 segundos
Súper crítico.
Natalia Zartha Suarez 49 minutos 31 segundos
Yes, it is.
Paula Andrea Soto Alvarado
49 minutos 32 segundos49:32
Paula Andrea Soto Alvarado 49 minutos 32 segundos
Y se y aprovecharon a cómo se llama eso, a retirar, hágalo para que devolvieran la plata, no ya, pero.
Natalia Zartha Suarez
49 minutos 42 segundos49:42
Natalia Zartha Suarez 49 minutos 42 segundos
Súper delicado, eso acá yo tengo el business.
Paula Andrea Soto Alvarado
49 minutos 43 segundos49:43
Paula Andrea Soto Alvarado 49 minutos 43 segundos
Bueno entonces aquí como les mostraba nosotros en un informe no le mostramos al cliente el por vía en caliente lo tenemos ahí por si necesita revisar algo pero entonces dependiendo del servicio mostramos el consolidado del mes que estamos presentando porque nosotros presentamos mes vencido en julio presentamos junio y en agosto presentamos julio
Paula Andrea Soto Alvarado 50 minutos 3 segundos
que quiere ver hay un comparativo los frentes para mirar cómo estuvo el mes anterior y el mes que estamos presentando y aquí al final novedades presentamos los procesos que estamos recibiendo preguntamos cómo vamos en muchos nos dicen no vamos bien no me gusta no estoy viendo como y ya uno la escala Pues con su con su jefe mostramos siempre del equipo
Paula Andrea Soto Alvarado 50 minutos 27 segundos
Porque podemos hacer los cambios que queramos.
Paula Andrea Soto Alvarado 50 minutos 30 segundos
Pero mostramos cómo es la base. Listo, bueno, no sé qué otra pregunta tienen, si les gustó el espacio, necesitan alguna otra formación que de pronto no dije que requieran.
Natalia Zartha Suarez
50 minutos 34 segundos50:34
Natalia Zartha Suarez 50 minutos 34 segundos
Listo.
Natalia Zartha Suarez 50 minutos 39 segundos
Sí.
Natalia Zartha Suarez 50 minutos 43 segundos
Muchísimas gracias. Yo creo que tenemos mucha información para empezar a organizar. Te agradezco mucho. Te te encargo lo de la presentación de pronto y el Excel que nos mostraste con los daticos del eso. Yo lo lo sacó. Muchísimas gracias. Amén. Que estés muy bien. Un gusto verte. Chaito. Gracias.
Paula Andrea Soto Alvarado
50 minutos 49 segundos50:49
Paula Andrea Soto Alvarado 50 minutos 49 segundos
Okay.
Paula Andrea Soto Alvarado 50 minutos 53 segundos
los voy a juntar acá en este chat listo los adjuntos en este chat listo
Paula Andrea Soto Alvarado 51 minutos
Con gusto, que estén bien, se cuiden. Gracias igualmente, chao.
Joan Sebastian Rengifo Ocampo
51 minutos51:00
Joan Sebastian Rengifo Ocampo 51 minutos
Bueno, guao, muchas gracias, hasta luego.</t>
  </si>
  <si>
    <t>Eugenio</t>
  </si>
  <si>
    <t>Líder técnico, service manager/coordinador COES y analistas de atención al cliente/soporte.</t>
  </si>
  <si>
    <t>*</t>
  </si>
  <si>
    <t>Automatización parcial / oportunidad de automatizar recargos, reportes y tableros.</t>
  </si>
  <si>
    <t>Roles y capacidad identificados por COES; hay service manager/coordinador, líderes técnicos y analistas.</t>
  </si>
  <si>
    <t>Riesgo de conocimiento concentrado en service manager/líderes; requiere KB formal y transferencia.</t>
  </si>
  <si>
    <t>Equipo estable por COES, aunque se debe cuidar conocimiento crítico y continuidad.</t>
  </si>
  <si>
    <t>Existen informes mensuales y métricas base, pero faltan KPIs individuales completos por agente.</t>
  </si>
  <si>
    <t>Se revisa satisfacción/estado en comités e informes, pero no se evidencia NPS/CSAT formal por ticket.</t>
  </si>
  <si>
    <t>Incidentes gestionados en Helix/Bancolombia; volumen aproximado 50–100 incidentes/mes.</t>
  </si>
  <si>
    <t>Requerimientos/casos gestionados según frente COES; seguimiento en informes mensuales.</t>
  </si>
  <si>
    <t>Hay post mortem/análisis posterior en eventos críticos para documentar qué pasó y evitar recurrencia.</t>
  </si>
  <si>
    <t>Se manejan cambios/pasos a producción con controles; eventos críticos requieren análisis, pero falta evidenciar CAB/RFC completo.</t>
  </si>
  <si>
    <t>Helix centraliza tickets; falta confirmar CMDB/activos formal por COES.</t>
  </si>
  <si>
    <t>Se presentan informes mensuales y comparativos, pero no se evidencia observabilidad/alertas integrada.</t>
  </si>
  <si>
    <t>Helix funciona como canal/herramienta principal de gestión.</t>
  </si>
  <si>
    <t>Modelo con cliente Bancolombia, service manager/coordinador y comercial Eugenio; gestión mensual con frentes.</t>
  </si>
  <si>
    <t>Se manejan ANS del banco/COES; no aplica SLA clásico sino esquema interno del banco.</t>
  </si>
  <si>
    <t>Capacidad varía por COES; hay alto volumen y necesidad de dimensionamiento por frente.</t>
  </si>
  <si>
    <t>Se realizan informes mensuales, comparativos, novedades y procesos recibidos para mejora.</t>
  </si>
  <si>
    <t>Hay informes mensuales, pero oportunidad de tablero ejecutivo más automatizado y en tiempo real.</t>
  </si>
  <si>
    <t>700 a 3.000</t>
  </si>
  <si>
    <t>Variable por COES</t>
  </si>
  <si>
    <t>Dependiendo la COES, aproximadamente entre 700 y 3.000 tickets.</t>
  </si>
  <si>
    <t>Incidentes, requerimientos/casos y procesos recibidos</t>
  </si>
  <si>
    <t>Tipología depende del frente COES.</t>
  </si>
  <si>
    <t>Escalamiento por líder técnico / service manager / frentes Banco</t>
  </si>
  <si>
    <t>Incidentes críticos pueden requerir post mortem y análisis de responsabilidad.</t>
  </si>
  <si>
    <t>50 - 100</t>
  </si>
  <si>
    <t>Variable</t>
  </si>
  <si>
    <t>Rango mensual aproximado de incidentes.</t>
  </si>
  <si>
    <t>FCR pendiente de validación con líderes técnicos.</t>
  </si>
  <si>
    <t>Entre 30 minutos a 3 horas (mesas) / dispos</t>
  </si>
  <si>
    <t>ANS Banco/COES</t>
  </si>
  <si>
    <t>No aplica SLA tradicional; se maneja ANS del Banco/COES.</t>
  </si>
  <si>
    <t>No se maneja backlog formal; Helix: ticket propio &lt;12h, con dependencia 8 a 15 días</t>
  </si>
  <si>
    <t>Backlog depende de si hay dependencia de otra área.</t>
  </si>
  <si>
    <t>Promedio entre 80 a 250 casos</t>
  </si>
  <si>
    <t>Depende del equipo COES.</t>
  </si>
  <si>
    <t>FTE total de COES Integración.</t>
  </si>
  <si>
    <t>30 min a 3h</t>
  </si>
  <si>
    <t>Aplicaciones/procesos COES según frente; detalle por categoría no disponible.</t>
  </si>
  <si>
    <t>Comités / informe mensual</t>
  </si>
  <si>
    <t>Se revisa percepción/novedades con cliente; sin CSAT post-ticket formal.</t>
  </si>
  <si>
    <t>Informe mensual</t>
  </si>
  <si>
    <t>Se presenta informe mensual vencido con comparativo y novedades.</t>
  </si>
  <si>
    <t xml:space="preserve">  ⑥ DOLORES CRÍTICOS DE LA MESA (D1–D23)</t>
  </si>
  <si>
    <t>Reducir dependencia del service manager/líderes con KB y transferencia.</t>
  </si>
  <si>
    <t>Validar ANS y riesgos contractuales asociados.</t>
  </si>
  <si>
    <t>Evaluar autoservicio/KB para solicitudes recurrentes.</t>
  </si>
  <si>
    <t>Helix centraliza gestión; revisar integraciones adicionales.</t>
  </si>
  <si>
    <t>Definir medición de satisfacción por ticket o servicio.</t>
  </si>
  <si>
    <t>Mantener matriz de escalamiento y responsabilidad por frente.</t>
  </si>
  <si>
    <t>Ya existen informes; oportunidad de tablero en tiempo real.</t>
  </si>
  <si>
    <t>Automatizar reportes mensuales y consolidado por frente.</t>
  </si>
  <si>
    <t>Formalizar catálogo, alcance y procesos recibidos por COES.</t>
  </si>
  <si>
    <t>Refinar escalamiento y post mortem para eventos críticos.</t>
  </si>
  <si>
    <t>Mantener gestión proactiva por informes y comités.</t>
  </si>
  <si>
    <t>Fortalecer gobierno COES, RACI y trazabilidad de responsabilidades.</t>
  </si>
  <si>
    <t>Roles base identificados; documentar responsabilidades por frente.</t>
  </si>
  <si>
    <t>Revisar productividad y automatización de carga manual.</t>
  </si>
  <si>
    <t>Actualizar catálogo COES por frente y procesos.</t>
  </si>
  <si>
    <t>Alinear comercial/operación con volumetría y ANS reales.</t>
  </si>
  <si>
    <t>Completar métricas FCR, satisfacción, categoría y automatización.</t>
  </si>
  <si>
    <t>Plan de reskilling por Helix, post mortem, COES y gestión de procesos.</t>
  </si>
  <si>
    <t>Construir modelo de demanda/capacidad por COES.</t>
  </si>
  <si>
    <t>Validar disponibilidad real por frente y cobertura requerida.</t>
  </si>
  <si>
    <t>Minimo requerido de reportes</t>
  </si>
  <si>
    <t>Dimensionar capacidad por tecnología/frente y dependencias.</t>
  </si>
  <si>
    <t>Recargo por trabajador los dia de la semanas, es un trabajo que se hace manual que no esta automatrizado</t>
  </si>
  <si>
    <t>Automatizar recargos/malla de turnos y eliminar trabajo manual.</t>
  </si>
  <si>
    <t>No se reporta tasa anual exacta.</t>
  </si>
  <si>
    <t>Service manager/coordinador, líderes técnicos y analistas COES.</t>
  </si>
  <si>
    <t>Perfiles críticos por conocimiento de proceso y relación con frentes.</t>
  </si>
  <si>
    <t>Depende de conocimiento del servicio y del frente COES.</t>
  </si>
  <si>
    <t>Helix / informes / transferencia interna</t>
  </si>
  <si>
    <t>Formalizar KB y onboarding.</t>
  </si>
  <si>
    <t>Según ANS del Banco/COES</t>
  </si>
  <si>
    <t>Revisar malla de turnos y recargos.</t>
  </si>
  <si>
    <t>Recargos/trabajo manual</t>
  </si>
  <si>
    <t>D23 identifica oportunidad de automatizar recargos/malla.</t>
  </si>
  <si>
    <t>BMC Helix / Helix Bancolombia</t>
  </si>
  <si>
    <t>Herramienta principal de gestión de tickets.</t>
  </si>
  <si>
    <t>helix*</t>
  </si>
  <si>
    <t>Malla de turnos</t>
  </si>
  <si>
    <t>Informes mensuales / Excel / Helix</t>
  </si>
  <si>
    <t>Se presentan informes mensuales; oportunidad de dashboard automático.</t>
  </si>
  <si>
    <t>Helix + informes + malla de turnos</t>
  </si>
  <si>
    <t>Integrar recargos, malla, métricas y reportes.</t>
  </si>
  <si>
    <t>ANS Banco/COES; no SLA tradicional.</t>
  </si>
  <si>
    <t>Automatizar recargos, informes y tablero; dimensionar capacidad por COES.</t>
  </si>
  <si>
    <t>Top process / informes mensuales y control por frente.</t>
  </si>
  <si>
    <t>Carga manual de recargos/reportes, conocimiento concentrado y variabilidad de volumen.</t>
  </si>
  <si>
    <t>Automatizar recargos y tableros; mejorar KB y métricas por COES.</t>
  </si>
  <si>
    <t>1) Dashboard mensual automático; 2) KB/onboarding; 3) automatización de recargos/malla.</t>
  </si>
  <si>
    <t>Medio: alto volumen y dependencia de informes/manualidades; relación consolidada de 5 años.</t>
  </si>
  <si>
    <t>Sí, especialmente automatización de reportes, recargos y malla de turnos.</t>
  </si>
  <si>
    <t>Mesa COES con métricas completas, dashboard automático, KB y gobierno de mejora continua.</t>
  </si>
  <si>
    <t>Proveedores mas especializados en el negocio, tecnologia, o ambas. Integralidad</t>
  </si>
  <si>
    <t>Automatización de recargos/malla, tableros, KB y mejora de gestión post mortem.</t>
  </si>
  <si>
    <t>LEVANTAMIENTO DE MESA DE SERVICIOS — BANCOLOMBIA COES DATOS</t>
  </si>
  <si>
    <t>Datos / servicios COES Bancolombia</t>
  </si>
  <si>
    <t>COES Datos</t>
  </si>
  <si>
    <t xml:space="preserve"> Nivel Madurez Actual:</t>
  </si>
  <si>
    <t>Modelo de Operación :</t>
  </si>
  <si>
    <t xml:space="preserve"> En que otro  Niveles tenemos presencia:</t>
  </si>
  <si>
    <t>Atención COES de datos: incidentes, requerimientos, seguimiento mensual, post mortem y coordinación con frentes del banco.</t>
  </si>
  <si>
    <t>No se reportó dato separado de requerimientos.</t>
  </si>
  <si>
    <t>No se reportó volumen mensual de cambios.</t>
  </si>
  <si>
    <t>MTTR aproximado reportado.</t>
  </si>
  <si>
    <t>Costo por ticket no disponible.</t>
  </si>
  <si>
    <t>FTE total de COES Datos.</t>
  </si>
  <si>
    <t>LEVANTAMIENTO DE MESA DE SERVICIOS — BANCOLOMBIA COES SOPORTE</t>
  </si>
  <si>
    <t>Soporte transversal COES Bancolombia</t>
  </si>
  <si>
    <t>COES Soporte</t>
  </si>
  <si>
    <t>Mesa COES de soporte transversal; atención de casos, coordinación, informes mensuales y novedades por frente.</t>
  </si>
  <si>
    <t>7 años</t>
  </si>
  <si>
    <t>FTE total de COES Soporte.</t>
  </si>
  <si>
    <t>LEVANTAMIENTO DE MESA DE SERVICIOS — BANCOLOMBIA COES EMMA</t>
  </si>
  <si>
    <t>Emma / servicios COES Bancolombia</t>
  </si>
  <si>
    <t>COES Emma</t>
  </si>
  <si>
    <t>Atención COES Emma: incidentes, requerimientos, seguimiento mensual, post mortem y coordinación con frentes del banco.</t>
  </si>
  <si>
    <t>FTE total de COES Emma.</t>
  </si>
  <si>
    <t>LEVANTAMIENTO DE MESA DE SERVICIOS — BANCOLOMBIA EMMA ISERIES</t>
  </si>
  <si>
    <t>Emma Iseries / servicios COES Bancolombia</t>
  </si>
  <si>
    <t>Emma Iseries</t>
  </si>
  <si>
    <t>Atención Emma Iseries; soporte especializado con capacidad reducida y coordinación COES.</t>
  </si>
  <si>
    <t>(Tendecia positiva o negativa)</t>
  </si>
  <si>
    <t>LEVANTAMIENTO DE MESA DE SERVICIOS — MEDICARTE</t>
  </si>
  <si>
    <t>Cantidad de personas en la Mesa de Servicio:</t>
  </si>
  <si>
    <t>0.55</t>
  </si>
  <si>
    <t>0.78</t>
  </si>
  <si>
    <t xml:space="preserve">
Natalia Zartha Suarez
0 minutos 3 segundos0:03
Natalia Zartha Suarez 0 minutos 3 segundos
Ahorita hay otro equipo también que está revisando el tema de las automatizaciones también para las mesas de servicio que está con el equipo de Iván pero Pues digamos que que conmigo es para el diseño entonces quería como este espacio eh mirar de pronto qué feedback tienes qué mejoras qué dolores han tenido Yo ya me me reunido con Virginia
Natalia Zartha Suarez 0 minutos 23 segundos
reunido con Leslie con las mesas de bancolombia de Sura de xm medicarte todavía no pues porque ellos creo que están en en un Empalme ahorita pero ya me he levantado unos dolores de de que no hay estandarización el tema de roles temas de la disponibilidad que tiene Pues con los equipos bueno
Natalia Zartha Suarez 0 minutos 44 segundos
Digamos que muchas mejoras hay. Entonces quería pronto charlar contigo un poquito de eso, como de la experiencia tuya y de pronto, ¿qué mejoras podemos tener para el servicio?
Andrés Posso Vega
0 minutos 56 segundos0:56
Andrés Posso Vega 0 minutos 56 segundos
Listo.
Andrés Posso Vega 0 minutos 58 segundos
bueno qué bueno que que estamos siguiendo expectativas porque yo llevo dos meses y medio en la empresa y yo no he liderado en la empresa temas de mesas de servicio Entonces por ese lado yo no tengo pues ningún dolor en este momento
Natalia Zartha Suarez
1 minuto 1 segundo1:01
Natalia Zartha Suarez 1 minuto 1 segundo
Sí.
Natalia Zartha Suarez 1 minuto 5 segundos
Sí.
Natalia Zartha Suarez 1 minuto 9 segundos
okay.
Natalia Zartha Suarez 1 minuto 13 segundos
Vale, sí, ya bueno, listo.
Andrés Posso Vega
1 minuto 16 segundos1:16
Andrés Posso Vega 1 minuto 16 segundos
Pero cuando estábamos pues en el grupo en Software One yo sí lideré una mesa digamos con un soporte por un tiempo por como por 3 años realmente entonces no tengo dolores de esta empresa.
Natalia Zartha Suarez 13 minutos 52 segundos
Sí.
Andrés Posso Vega
13 minutos 59 segundos13:59
Andrés Posso Vega 13 minutos 59 segundos
todo eso quedaría cubierto porque asumo que el bueno ITIL tiene el tema de gobierno, tiene el tema de análisis de causas y cómo va mejorando del tema de formación y al final algo que no sé si tiene un modelo es poder transformar inclusive.
Natalia Zartha Suarez
14 minutos 4 segundos14:04
Natalia Zartha Suarez 14 minutos 4 segundos
Sí, tiene mucho, ajá.
Andrés Posso Vega
14 minutos 18 segundos14:18
Andrés Posso Vega 14 minutos 18 segundos
O sacar de las mesas de servicio nuevos negocios.
Andrés Posso Vega 14 minutos 23 segundos
¿Cómo y cómo se hace eso? Pues resulta que yo me doy cuenta por el análisis de causa, que es que el mayor número de casos es porque no hay porque falta capacitación en tal tema. ¿Entonces qué hago? Le hago una oferta al cliente.
Natalia Zartha Suarez
14 minutos 39 segundos14:39
Natalia Zartha Suarez 14 minutos 39 segundos
Sí.
Andrés Posso Vega
14 minutos 39 segundos14:39
Andrés Posso Vega 14 minutos 39 segundos
Sobre formación, sobre capacitación de un tema o le hago una oferta sobre una automatización de un proceso o etcétera, etcétera. Si uno dice eso lo tiene ITIL, asumo que sí, pero claro.
Natalia Zartha Suarez
14 minutos 48 segundos14:48
Natalia Zartha Suarez 14 minutos 48 segundos
Mhm.
Natalia Zartha Suarez 14 minutos 52 segundos
pero sí pero también lo tenemos pensado Exacto por acá yo tengo otro otro borradorcito que tengo que ponerme a organizar todo esto que no sé dónde lo dejé creo no pero ahí ahí también tenemos como en el modelo que también tengamos servicios adicionales por ejemplo como el tema de modernización cuando la aplica Ah mira es esta es esta
Andrés Posso Vega
14 minutos 55 segundos14:55
Andrés Posso Vega 14 minutos 55 segundos
bueno, súper.
Natalia Zartha Suarez
15 minutos 14 segundos15:14
Natalia Zartha Suarez 15 minutos 14 segundos
Con los servicios con complementar entonces un tema de modernización o un tema de seguridad. Por ejemplo, tú nos das un tema que no estaba acá, capacitaciones también capacitaciones vamos a ponerlos acá.
Natalia Zartha Suarez 15 minutos 29 segundos
Dame yo porque no me olvide, pero sí, también tenemos que tenemos como contemplado eso en servicios adicionales.
Andrés Posso Vega
15 minutos 31 segundos15:31
Andrés Posso Vega 15 minutos 31 segundos
Mhm.
Natalia Zartha Suarez
15 minutos 37 segundos15:37
Natalia Zartha Suarez 15 minutos 37 segundos
Listo.
Andrés Posso Vega
15 minutos 38 segundos15:38
Andrés Posso Vega 15 minutos 38 segundos
Listo, ya aparte de eso, como yo no he vivido aquí las mesas, pero no, no sabría qué otro dolor o algo hay, sino como así forma genérica de los que hablé con Bill, digamos que eso es, creo que lo que podría aportar Nata y sobre el tema.
Natalia Zartha Suarez
15 minutos 52 segundos15:52
Natalia Zartha Suarez 15 minutos 52 segundos
Lead.
Natalia Zartha Suarez 15 minutos 54 segundos
Bueno, no súper súper bien, no dale tranquilo, igual yo tengo que seguir bajando más este modelo y empezar ya a escribir y volverlos a de pronto para mostrarles cómo lo ven para recoger el feedback, cierto, entonces, pero por ahorita yo me voy a poner esa trabajar ya en el diseño de aquí en adelante, porque pues ya recogí los dolores.
Natalia Zartha Suarez 16 minutos 13 segundos
Entonces yo la gente yo me pongo en esas, listo, pero no vale tranquilo. Muchísimas gracias por el espacio, por el tiempo y por todo. Dale, pues ya gracias, chaito, gracias a lo mismo.
Andrés Posso Vega
16 minutos 16 segundos16:16
Andrés Posso Vega 16 minutos 16 segundos
It.
Andrés Posso Vega 16 minutos 20 segundos
A ti Dios te bendiga, que estés bien, chao, bendiciones.</t>
  </si>
  <si>
    <t>ANÁLISIS FTE, TICKETS Y MTTR — MESAS ACTUALES (JULIO 2026)</t>
  </si>
  <si>
    <t>Costo/ticket USD = (FTE × 160 h/mes × $88.000 COP) ÷ tickets/mes ÷ TRM $4.200 · Réplica de la tabla de la PPT (Metodología de Cálculo) · Fuente: Levantamiento interno PS Julio 2026</t>
  </si>
  <si>
    <t>PARÁMETROS</t>
  </si>
  <si>
    <t>Horas/mes por FTE</t>
  </si>
  <si>
    <t>Costo hora FTE (COP)</t>
  </si>
  <si>
    <t>TRM (COP/USD)</t>
  </si>
  <si>
    <t>Benchmark industria N1-N2 (USD/ticket)</t>
  </si>
  <si>
    <t>Meta Gen Next N3 (USD/ticket)</t>
  </si>
  <si>
    <t>FTE</t>
  </si>
  <si>
    <t>Tickets/FTE</t>
  </si>
  <si>
    <t>Capacidad h/mes</t>
  </si>
  <si>
    <t>MTTR (h)</t>
  </si>
  <si>
    <t>SLA %</t>
  </si>
  <si>
    <t>Costo mes (COP)</t>
  </si>
  <si>
    <t>Costo/ticket (COP)</t>
  </si>
  <si>
    <t>vs Industria $35</t>
  </si>
  <si>
    <t>SURA Venta Digital</t>
  </si>
  <si>
    <t>SURA Automatización</t>
  </si>
  <si>
    <t>XM Apps Críticas</t>
  </si>
  <si>
    <t>N2-N3</t>
  </si>
  <si>
    <t>AES Soporte IT/OT</t>
  </si>
  <si>
    <t>BCO COES Integración</t>
  </si>
  <si>
    <t>700–3.000*</t>
  </si>
  <si>
    <t>80–250*</t>
  </si>
  <si>
    <t>0,5–3*</t>
  </si>
  <si>
    <t>ANS Banco</t>
  </si>
  <si>
    <t>BCO COES Soporte</t>
  </si>
  <si>
    <t>BCO Emma iSeries</t>
  </si>
  <si>
    <t>MEDICARTE (empalme)**</t>
  </si>
  <si>
    <t>Medicarte</t>
  </si>
  <si>
    <t>TOTAL SURA (4 mesas)</t>
  </si>
  <si>
    <t>TOTAL BANCOLOMBIA (5 COES)</t>
  </si>
  <si>
    <t>3.500–15.000*</t>
  </si>
  <si>
    <t>TOTAL 11 MESAS EVALUADAS</t>
  </si>
  <si>
    <t>* Bancolombia: rangos reportados por la líder (hoja "Metricas bancolombia"); sin registro exacto de tickets/MTTR por mesa — costo/ticket no calculable. Estimado global: $451M COP/mes ÷ 3.500–15.000 tix → USD $7–$31/ticket.</t>
  </si>
  <si>
    <t>** MEDICARTE: datos preliminares (en empalme), no evaluada formalmente en Julio 2026. Valores SURA vinculados por fórmula a la hoja "Metricas Sura" (validación directa).</t>
  </si>
  <si>
    <t>MTTR VS BENCHMARKS (h) — datos de la gráfica</t>
  </si>
  <si>
    <t>TICKETS POR MESA — datos de la gráfica (BCO como rango)</t>
  </si>
  <si>
    <t>← H12 de la tabla (='Metricas Sura'!B7)</t>
  </si>
  <si>
    <t>Registro</t>
  </si>
  <si>
    <t>Base rango</t>
  </si>
  <si>
    <t>Ancho rango</t>
  </si>
  <si>
    <t>← H15 de la tabla (='Metricas Sura'!E7)</t>
  </si>
  <si>
    <t>← H13 de la tabla (='Metricas Sura'!C7)</t>
  </si>
  <si>
    <t>Industria promedio</t>
  </si>
  <si>
    <t>Benchmark MetricNet/HDI</t>
  </si>
  <si>
    <t>World-Class</t>
  </si>
  <si>
    <t>Benchmark world-class MetricNet/HDI</t>
  </si>
  <si>
    <t>← H14 de la tabla (='Metricas Sura'!D7)</t>
  </si>
  <si>
    <t>BCO 5 COES (máx. rango)</t>
  </si>
  <si>
    <t>Máximo del rango 0,5–3h reportado (hoja "Metricas bancolombia")</t>
  </si>
  <si>
    <t>MEDICARTE (preliminar)</t>
  </si>
  <si>
    <t>← H23 de la tabla (dato preliminar)</t>
  </si>
  <si>
    <t>Benchmarks: MetricNet/HDI (industria 8.85h · world-class &lt;4h) · BCO: máximo del rango 0,5–3h</t>
  </si>
  <si>
    <t>COSTO USD/TICKET — datos de la gráfica</t>
  </si>
  <si>
    <t>BCO: sin registro exacto por mesa; se grafica el rango 700–3.000 tickets/mesa/mes (hoja "Metricas bancolombia"). Barra = desde 700 hasta 3.000.</t>
  </si>
  <si>
    <t>← L16 de la tabla: (4 FTE×160h×$88.000)÷90 tix÷TRM</t>
  </si>
  <si>
    <t>← L12 de la tabla</t>
  </si>
  <si>
    <t>← L14 de la tabla</t>
  </si>
  <si>
    <t>← L13 de la tabla</t>
  </si>
  <si>
    <t>Industria N1-N2</t>
  </si>
  <si>
    <t>← B8 (parámetro benchmark)</t>
  </si>
  <si>
    <t>← L15 de la tabla</t>
  </si>
  <si>
    <t>Meta Gen Next N3</t>
  </si>
  <si>
    <t>← B9 (parámetro meta N3)</t>
  </si>
  <si>
    <t>FTE POR CLIENTE — datos de la gráfica</t>
  </si>
  <si>
    <t>=SUM(D18:D22) de la tabla</t>
  </si>
  <si>
    <t>=SUM(D12:D15) de la tabla</t>
  </si>
  <si>
    <t>=D16 de la tabla</t>
  </si>
  <si>
    <t>=D17 de la tabla</t>
  </si>
  <si>
    <t>MAPA DE DOLORES CRÍTICOS — MESAS AFECTADAS (11 mesas · ● confirmado · ◐ parcial)</t>
  </si>
  <si>
    <t>Conteo por dolor a partir del mapa de la PPT (slide "Mapa de Dolores Críticos"), agrupado por categoría.</t>
  </si>
  <si>
    <t>Categoría</t>
  </si>
  <si>
    <t>Etiqueta (gráfica)</t>
  </si>
  <si>
    <t>Confirmado (●)</t>
  </si>
  <si>
    <t>Parcial (◐)</t>
  </si>
  <si>
    <t>Total afectadas</t>
  </si>
  <si>
    <t>Gobierno</t>
  </si>
  <si>
    <t>Sin RACI ni roles definidos</t>
  </si>
  <si>
    <t>Sin gobierno — sin ANS formales</t>
  </si>
  <si>
    <t>Catálogo de servicios desactualizado</t>
  </si>
  <si>
    <t>Operación</t>
  </si>
  <si>
    <t>Sin autoservicio — todo por call</t>
  </si>
  <si>
    <t>Scope creep — alcance no controlado</t>
  </si>
  <si>
    <t>SLAs incumplidos / penalizaciones</t>
  </si>
  <si>
    <t>Métricas</t>
  </si>
  <si>
    <t>Sin métricas ni KPIs</t>
  </si>
  <si>
    <t>Sin dashboard ejecutivo</t>
  </si>
  <si>
    <t>Talento</t>
  </si>
  <si>
    <t>Rotación — pérdida de conocimiento</t>
  </si>
  <si>
    <t>Asignación sin modelo de demanda</t>
  </si>
  <si>
    <t>Brechas vendido vs ejecutado</t>
  </si>
  <si>
    <t>Sin KEDB — gestión informal</t>
  </si>
  <si>
    <t>Herramientas fragmentadas</t>
  </si>
  <si>
    <t>COSTO USD/TICKET — XM Y BANCOLOMBIA VS INDUSTRIA (réplica del slide nuevo de la PPT)</t>
  </si>
  <si>
    <t>Concepto</t>
  </si>
  <si>
    <t>USD/ticket</t>
  </si>
  <si>
    <t>Cálculo / origen</t>
  </si>
  <si>
    <t>← L16: (4 FTE × 160h × $88.000) ÷ 90 tickets ÷ TRM $4.200</t>
  </si>
  <si>
    <t>Industria N1-N2 (Benchmark)</t>
  </si>
  <si>
    <t>← B8 (benchmark Gartner/Giva/Freshservice)</t>
  </si>
  <si>
    <t>Bancolombia — estimado MÁXIMO</t>
  </si>
  <si>
    <t>Costo mes BCO $450,6M (J26) ÷ 3.500 tix (700 × 5 COES, piso del rango) ÷ TRM</t>
  </si>
  <si>
    <t>Bancolombia — estimado MÍNIMO</t>
  </si>
  <si>
    <t>Costo mes BCO $450,6M (J26) ÷ 15.000 tix (3.000 × 5 COES, techo del rango) ÷ TRM</t>
  </si>
  <si>
    <t>Bancolombia no reporta tickets formales por mesa; el estimado usa el rango 700–3.000 tickets/mesa/mes de la hoja "Metricas bancolombia". A más tickets reales, menor costo/ticket.</t>
  </si>
  <si>
    <t>ORIGEN DE DATOS DE CADA GRÁFICA</t>
  </si>
  <si>
    <t>Gráfica</t>
  </si>
  <si>
    <t>Rango de datos</t>
  </si>
  <si>
    <t>Cómo se calcula / de dónde sale</t>
  </si>
  <si>
    <t>FTE por Mesa</t>
  </si>
  <si>
    <t>D12:D22</t>
  </si>
  <si>
    <t>SURA por fórmula desde 'Metricas Sura' fila 13 (8/2/6/1); XM, AES y BCO del levantamiento por mesa (4/4 y 7/7/13/4/1). Total 57 FTE.</t>
  </si>
  <si>
    <t>Tickets por Mesa al Mes</t>
  </si>
  <si>
    <t>F35:I44</t>
  </si>
  <si>
    <t>Bloque F34:I45: SURA/XM con registro (=E12:E16); BCO como rango flotante 700–3.000 (base 700 invisible + ancho 2.300).</t>
  </si>
  <si>
    <t>MTTR vs Benchmarks</t>
  </si>
  <si>
    <t>A34:B41</t>
  </si>
  <si>
    <t>SURA = columna H de la tabla ← 'Metricas Sura' fila 7; Industria 8,85h y World-Class 4h (MetricNet/HDI); BCO = máximo del rango 0,5–3h; MEDICARTE 0,55h preliminar.</t>
  </si>
  <si>
    <t>Costo USD por Ticket</t>
  </si>
  <si>
    <t>A46:B52</t>
  </si>
  <si>
    <t>Columna L de la tabla: (FTE × B5 × B6) ÷ tickets ÷ B7; Industria = B8; Meta N3 = B9.</t>
  </si>
  <si>
    <t>FTE por Cliente (pie)</t>
  </si>
  <si>
    <t>A56:B59</t>
  </si>
  <si>
    <t>Sumas de la columna D: BCO =SUM(D18:D22)=32, SURA =SUM(D12:D15)=17, XM =D16=4, AES =D17=4.</t>
  </si>
  <si>
    <t>XM y Bancolombia vs Industria</t>
  </si>
  <si>
    <t>A110:B114</t>
  </si>
  <si>
    <t>XM = L16; BCO estimado = J26 ÷ (3.500 a 15.000 tickets) ÷ TRM → $7–$31; Industria/Meta = B8/B9.</t>
  </si>
  <si>
    <t>Mapa de Dolores</t>
  </si>
  <si>
    <t>C66:E80</t>
  </si>
  <si>
    <t>Conteo de ● (confirmado) y ◐ (parcial) por dolor sobre las 11 mesas del mapa de la PPT, agrupado por categoría.</t>
  </si>
  <si>
    <t>SURA — Cotizadores</t>
  </si>
  <si>
    <t>Autoservicio/portal N0 para incidentes recurrentes (hoy todo entra por call) y dashboard de SLA/backlog</t>
  </si>
  <si>
    <t>SURA — Venta Digital</t>
  </si>
  <si>
    <t>Dashboard ejecutivo automatizado y monitoreo proactivo del portal de venta</t>
  </si>
  <si>
    <t>SURA — Automatización</t>
  </si>
  <si>
    <t>Deflection N0 y clasificación/triaje automático de tickets (base Power Automate/PowerApps ya operando)</t>
  </si>
  <si>
    <t>SURA — Canales Masivos</t>
  </si>
  <si>
    <t>Automatizar campañas de renovaciones/cancelaciones masivas y alertas de backlog (contingencia: 1 solo FTE)</t>
  </si>
  <si>
    <t>Registro automático de recargos y horas extras · tableros en tiempo real · observabilidad/AIOps de los 14 componentes</t>
  </si>
  <si>
    <t>Implementar ITSM con métricas y reportes automáticos (hoy sin KPIs, sin SLA documentado)</t>
  </si>
  <si>
    <t>Bancolombia — 5 COES</t>
  </si>
  <si>
    <t>Automatizar recargos y horas extras, informes mensuales y tableros ejecutivos (identificado en levantamiento COES)</t>
  </si>
  <si>
    <t>Replicar el "Top tendencia" (predicción de comportamiento inusual) hacia las demás mesas de PS</t>
  </si>
  <si>
    <t>Todas las mesas</t>
  </si>
  <si>
    <t>KEDB / gestión de conocimiento asistida por IA y reportería consolidada para la operación de PersonalSoft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</si>
</sst>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quot;$&quot;#,##0"/>
  </numFmts>
  <fonts count="82" x14ac:knownFonts="1">
    <font>
      <sz val="11"/>
      <color theme="1"/>
      <name val="Calibri"/>
      <family val="2"/>
      <charset val="1"/>
    </font>
    <font>
      <sz val="11"/>
      <color theme="1"/>
      <name val="Calibri"/>
      <scheme val="minor"/>
    </font>
    <font>
      <sz val="11"/>
      <color theme="1"/>
      <name val="Calibri"/>
      <scheme val="minor"/>
    </font>
    <font>
      <sz val="10"/>
      <name val="Arial"/>
      <family val="2"/>
    </font>
    <font>
      <sz val="11"/>
      <color theme="1"/>
      <name val="Calibri Light"/>
      <family val="2"/>
    </font>
    <font>
      <b/>
      <sz val="18"/>
      <color rgb="FFFFFFFF"/>
      <name val="Calibri Light"/>
      <family val="2"/>
    </font>
    <font>
      <b/>
      <sz val="16"/>
      <color rgb="FF0072BC"/>
      <name val="Calibri Light"/>
      <family val="2"/>
    </font>
    <font>
      <i/>
      <sz val="12"/>
      <color rgb="FF1A1A1A"/>
      <name val="Calibri Light"/>
      <family val="2"/>
    </font>
    <font>
      <b/>
      <sz val="11"/>
      <color rgb="FF1A1A1A"/>
      <name val="Calibri Light"/>
      <family val="2"/>
    </font>
    <font>
      <sz val="11"/>
      <color rgb="FF1A1A1A"/>
      <name val="Calibri Light"/>
      <family val="2"/>
    </font>
    <font>
      <b/>
      <sz val="11"/>
      <color rgb="FFFFFFFF"/>
      <name val="Calibri Light"/>
      <family val="2"/>
    </font>
    <font>
      <b/>
      <sz val="12"/>
      <color rgb="FFFFFFFF"/>
      <name val="Calibri Light"/>
      <family val="2"/>
    </font>
    <font>
      <b/>
      <sz val="12"/>
      <color theme="0"/>
      <name val="Calibri Light"/>
      <family val="2"/>
    </font>
    <font>
      <sz val="12"/>
      <name val="Calibri Light"/>
      <family val="2"/>
    </font>
    <font>
      <b/>
      <sz val="13"/>
      <color rgb="FFFFFFFF"/>
      <name val="Calibri Light"/>
      <family val="2"/>
    </font>
    <font>
      <sz val="11"/>
      <color rgb="FFFFFFFF"/>
      <name val="Calibri Light"/>
      <family val="2"/>
    </font>
    <font>
      <sz val="11"/>
      <name val="Calibri Light"/>
      <family val="2"/>
    </font>
    <font>
      <b/>
      <sz val="12"/>
      <color rgb="FFC0392B"/>
      <name val="Calibri Light"/>
      <family val="2"/>
    </font>
    <font>
      <b/>
      <sz val="14"/>
      <color rgb="FF017490"/>
      <name val="Calibri Light"/>
      <family val="2"/>
    </font>
    <font>
      <b/>
      <sz val="14"/>
      <color rgb="FF132346"/>
      <name val="Calibri Light"/>
      <family val="2"/>
    </font>
    <font>
      <i/>
      <sz val="10"/>
      <color rgb="FF888888"/>
      <name val="Calibri Light"/>
      <family val="2"/>
    </font>
    <font>
      <b/>
      <sz val="14"/>
      <color rgb="FFFFFFFF"/>
      <name val="Calibri Light"/>
      <family val="2"/>
    </font>
    <font>
      <i/>
      <sz val="10"/>
      <color rgb="FFE07B26"/>
      <name val="Calibri Light"/>
      <family val="2"/>
    </font>
    <font>
      <b/>
      <sz val="11"/>
      <color rgb="FF132346"/>
      <name val="Calibri Light"/>
      <family val="2"/>
    </font>
    <font>
      <b/>
      <sz val="14"/>
      <color rgb="FFD4A017"/>
      <name val="Calibri Light"/>
      <family val="2"/>
    </font>
    <font>
      <b/>
      <sz val="11"/>
      <color rgb="FF1A1A1A"/>
      <name val="Calibri Light"/>
    </font>
    <font>
      <sz val="11"/>
      <color rgb="FF1A1A1A"/>
      <name val="Calibri Light"/>
    </font>
    <font>
      <b/>
      <sz val="12"/>
      <color theme="1" tint="0.499984740745262"/>
      <name val="Calibri Light"/>
      <family val="2"/>
    </font>
    <font>
      <i/>
      <sz val="11"/>
      <color theme="1"/>
      <name val="Calibri Light"/>
      <family val="2"/>
    </font>
    <font>
      <b/>
      <sz val="11"/>
      <color rgb="FF000000"/>
      <name val="Calibri Light"/>
    </font>
    <font>
      <sz val="11"/>
      <color rgb="FF000000"/>
      <name val="Calibri Light"/>
    </font>
    <font>
      <b/>
      <sz val="14"/>
      <color theme="0"/>
      <name val="Calibri Light"/>
      <family val="2"/>
    </font>
    <font>
      <sz val="10"/>
      <color rgb="FF1A1A1A"/>
      <name val="Calibri Light"/>
      <family val="2"/>
    </font>
    <font>
      <sz val="11"/>
      <color theme="9"/>
      <name val="Calibri Light"/>
      <family val="2"/>
    </font>
    <font>
      <b/>
      <sz val="10"/>
      <color rgb="FFFFFFFF"/>
      <name val="Aptos"/>
    </font>
    <font>
      <b/>
      <sz val="10"/>
      <color rgb="FFFFFFFF"/>
      <name val="Calibri"/>
      <scheme val="minor"/>
    </font>
    <font>
      <b/>
      <sz val="10"/>
      <color rgb="FF1A1A1A"/>
      <name val="Calibri"/>
      <scheme val="minor"/>
    </font>
    <font>
      <sz val="10"/>
      <color rgb="FF017490"/>
      <name val="Calibri"/>
      <scheme val="minor"/>
    </font>
    <font>
      <sz val="10"/>
      <color rgb="FF1A1A1A"/>
      <name val="Calibri"/>
      <scheme val="minor"/>
    </font>
    <font>
      <b/>
      <sz val="12"/>
      <color rgb="FF0072BC"/>
      <name val="Calibri"/>
      <scheme val="minor"/>
    </font>
    <font>
      <sz val="11"/>
      <color theme="1"/>
      <name val="Aptos"/>
    </font>
    <font>
      <sz val="10"/>
      <color theme="1"/>
      <name val="Aptos"/>
    </font>
    <font>
      <b/>
      <sz val="12"/>
      <color rgb="FFFFFFFF"/>
      <name val="Calibri"/>
      <scheme val="minor"/>
    </font>
    <font>
      <b/>
      <sz val="11"/>
      <color rgb="FF1A1A1A"/>
      <name val="Calibri"/>
      <scheme val="minor"/>
    </font>
    <font>
      <sz val="10"/>
      <color rgb="FF1F1F1F"/>
      <name val="Calibri"/>
      <scheme val="minor"/>
    </font>
    <font>
      <b/>
      <sz val="9"/>
      <color rgb="FFFFFFFF"/>
      <name val="Calibri"/>
      <scheme val="minor"/>
    </font>
    <font>
      <sz val="9"/>
      <color theme="1"/>
      <name val="Calibri"/>
      <scheme val="minor"/>
    </font>
    <font>
      <b/>
      <sz val="9"/>
      <color theme="1"/>
      <name val="Calibri"/>
      <scheme val="minor"/>
    </font>
    <font>
      <b/>
      <sz val="12"/>
      <color rgb="FFFFFFFF"/>
      <name val="Aptos"/>
    </font>
    <font>
      <b/>
      <sz val="16"/>
      <color rgb="FF0072BC"/>
      <name val="Calibri"/>
      <scheme val="minor"/>
    </font>
    <font>
      <sz val="11"/>
      <color rgb="FF000000"/>
      <name val="Calibri"/>
      <scheme val="minor"/>
    </font>
    <font>
      <i/>
      <sz val="11"/>
      <color theme="1"/>
      <name val="Calibri"/>
      <scheme val="minor"/>
    </font>
    <font>
      <sz val="10"/>
      <color theme="1"/>
      <name val="Calibri"/>
      <scheme val="minor"/>
    </font>
    <font>
      <i/>
      <sz val="11"/>
      <color rgb="FF1A1A1A"/>
      <name val="Calibri Light"/>
      <family val="2"/>
    </font>
    <font>
      <i/>
      <sz val="11"/>
      <color theme="9"/>
      <name val="Calibri Light"/>
      <family val="2"/>
    </font>
    <font>
      <b/>
      <sz val="10"/>
      <color theme="1"/>
      <name val="Calibri"/>
      <scheme val="minor"/>
    </font>
    <font>
      <u/>
      <sz val="11"/>
      <color theme="10"/>
      <name val="Calibri"/>
      <family val="2"/>
      <charset val="1"/>
    </font>
    <font>
      <sz val="9"/>
      <color theme="1"/>
      <name val="Aptos"/>
    </font>
    <font>
      <b/>
      <sz val="9"/>
      <color rgb="FFFFFFFF"/>
      <name val="Aptos"/>
    </font>
    <font>
      <b/>
      <sz val="11"/>
      <color rgb="FFFFFFFF"/>
      <name val="Calibri"/>
      <family val="2"/>
      <charset val="1"/>
    </font>
    <font>
      <b/>
      <sz val="11"/>
      <color rgb="FFFFFFFF"/>
      <name val="Calibri"/>
      <scheme val="minor"/>
    </font>
    <font>
      <b/>
      <sz val="11"/>
      <color rgb="FF888888"/>
      <name val="Calibri Light"/>
      <family val="2"/>
    </font>
    <font>
      <b/>
      <sz val="12"/>
      <color rgb="FF000000"/>
      <name val="Calibri Light"/>
      <family val="2"/>
    </font>
    <font>
      <b/>
      <sz val="10"/>
      <color rgb="FF000000"/>
      <name val="Calibri Light"/>
      <family val="2"/>
    </font>
    <font>
      <sz val="10"/>
      <color rgb="FF1A1A1A"/>
      <name val="Aptos"/>
    </font>
    <font>
      <sz val="11"/>
      <color rgb="FF323130"/>
      <name val="Segoe UI"/>
      <charset val="1"/>
    </font>
    <font>
      <sz val="9"/>
      <color rgb="FF5A5A71"/>
      <name val="Segoe UI Semibold"/>
      <charset val="1"/>
    </font>
    <font>
      <sz val="9"/>
      <color rgb="FF5A5A71"/>
      <name val="Segoe UI"/>
      <charset val="1"/>
    </font>
    <font>
      <sz val="11"/>
      <color rgb="FF232330"/>
      <name val="Segoe UI"/>
      <charset val="1"/>
    </font>
    <font>
      <sz val="11"/>
      <color rgb="FFFFFFFF"/>
      <name val="Segoe UI"/>
      <charset val="1"/>
    </font>
    <font>
      <sz val="12"/>
      <color rgb="FFFFFFFF"/>
      <name val="Calibri Light"/>
      <family val="2"/>
    </font>
    <font>
      <sz val="11"/>
      <color rgb="FF000000"/>
      <name val="Calibri Light"/>
      <family val="2"/>
    </font>
    <font>
      <sz val="11"/>
      <color theme="0"/>
      <name val="Calibri"/>
      <family val="2"/>
      <charset val="1"/>
    </font>
    <font>
      <sz val="11"/>
      <color rgb="FF1A1A1A"/>
      <name val="Calibri Light"/>
      <charset val="1"/>
    </font>
    <font>
      <b/>
      <sz val="12"/>
      <color rgb="FFC0392B"/>
      <name val="Calibri Light"/>
    </font>
    <font>
      <b/>
      <sz val="11"/>
      <color theme="1"/>
      <name val="Calibri Light"/>
      <family val="2"/>
    </font>
    <font>
      <b/>
      <sz val="14"/>
      <color rgb="FF132346"/>
      <name val="Calibri Light"/>
      <charset val="1"/>
    </font>
    <font>
      <sz val="12"/>
      <color rgb="FF000000"/>
      <name val="Calibri Light"/>
      <family val="2"/>
    </font>
    <font>
      <b/>
      <sz val="11"/>
      <color theme="1"/>
      <name val="Calibri"/>
      <family val="2"/>
    </font>
    <font>
      <b/>
      <sz val="11"/>
      <color rgb="FFFFFFFF"/>
      <name val="Calibri"/>
      <family val="2"/>
    </font>
    <font>
      <b/>
      <sz val="14"/>
      <color rgb="FF132346"/>
      <name val="Calibri"/>
      <family val="2"/>
    </font>
    <font>
      <i/>
      <sz val="10"/>
      <color rgb="FF6B7280"/>
      <name val="Calibri"/>
      <family val="2"/>
    </font>
  </fonts>
  <fills count="30">
    <fill>
      <patternFill patternType="none"/>
    </fill>
    <fill>
      <patternFill patternType="gray125"/>
    </fill>
    <fill>
      <patternFill patternType="solid">
        <fgColor rgb="FF132346"/>
        <bgColor rgb="FF1A1A1A"/>
      </patternFill>
    </fill>
    <fill>
      <patternFill patternType="solid">
        <fgColor rgb="FF0072BC"/>
        <bgColor rgb="FF017490"/>
      </patternFill>
    </fill>
    <fill>
      <patternFill patternType="solid">
        <fgColor rgb="FFF2F2F2"/>
        <bgColor rgb="FFE8F0FB"/>
      </patternFill>
    </fill>
    <fill>
      <patternFill patternType="solid">
        <fgColor rgb="FFFFFFFF"/>
        <bgColor rgb="FFF2F2F2"/>
      </patternFill>
    </fill>
    <fill>
      <patternFill patternType="solid">
        <fgColor rgb="FFC0392B"/>
        <bgColor rgb="FF993366"/>
      </patternFill>
    </fill>
    <fill>
      <patternFill patternType="solid">
        <fgColor rgb="FFE07B26"/>
        <bgColor rgb="FFD4A017"/>
      </patternFill>
    </fill>
    <fill>
      <patternFill patternType="solid">
        <fgColor rgb="FFD4A017"/>
        <bgColor rgb="FFE07B26"/>
      </patternFill>
    </fill>
    <fill>
      <patternFill patternType="solid">
        <fgColor rgb="FF017490"/>
        <bgColor rgb="FF0072BC"/>
      </patternFill>
    </fill>
    <fill>
      <patternFill patternType="solid">
        <fgColor rgb="FF1F7A4D"/>
        <bgColor rgb="FF339966"/>
      </patternFill>
    </fill>
    <fill>
      <patternFill patternType="solid">
        <fgColor rgb="FFD9D9D9"/>
        <bgColor rgb="FFE8E8E8"/>
      </patternFill>
    </fill>
    <fill>
      <patternFill patternType="solid">
        <fgColor rgb="FFE8F0FB"/>
        <bgColor rgb="FFF2F2F2"/>
      </patternFill>
    </fill>
    <fill>
      <patternFill patternType="solid">
        <fgColor theme="0"/>
        <bgColor rgb="FF1A1A1A"/>
      </patternFill>
    </fill>
    <fill>
      <patternFill patternType="solid">
        <fgColor rgb="FF0072BC"/>
        <bgColor indexed="64"/>
      </patternFill>
    </fill>
    <fill>
      <patternFill patternType="solid">
        <fgColor theme="4"/>
        <bgColor indexed="64"/>
      </patternFill>
    </fill>
    <fill>
      <patternFill patternType="solid">
        <fgColor rgb="FF1F4E78"/>
        <bgColor indexed="64"/>
      </patternFill>
    </fill>
    <fill>
      <patternFill patternType="solid">
        <fgColor rgb="FF5B9BD5"/>
        <bgColor indexed="64"/>
      </patternFill>
    </fill>
    <fill>
      <patternFill patternType="solid">
        <fgColor theme="0"/>
        <bgColor indexed="64"/>
      </patternFill>
    </fill>
    <fill>
      <patternFill patternType="solid">
        <fgColor theme="0" tint="-4.9989318521683403E-2"/>
        <bgColor indexed="64"/>
      </patternFill>
    </fill>
    <fill>
      <patternFill patternType="solid">
        <fgColor rgb="FFEAF4FF"/>
        <bgColor indexed="64"/>
      </patternFill>
    </fill>
    <fill>
      <patternFill patternType="solid">
        <fgColor rgb="FFF8FBFD"/>
        <bgColor indexed="64"/>
      </patternFill>
    </fill>
    <fill>
      <patternFill patternType="solid">
        <fgColor theme="0" tint="-0.14999847407452621"/>
        <bgColor indexed="64"/>
      </patternFill>
    </fill>
    <fill>
      <patternFill patternType="solid">
        <fgColor rgb="FFD13438"/>
        <bgColor indexed="64"/>
      </patternFill>
    </fill>
    <fill>
      <patternFill patternType="solid">
        <fgColor rgb="FF005B70"/>
        <bgColor indexed="64"/>
      </patternFill>
    </fill>
    <fill>
      <patternFill patternType="solid">
        <fgColor rgb="FFDFDFE8"/>
        <bgColor indexed="64"/>
      </patternFill>
    </fill>
    <fill>
      <patternFill patternType="solid">
        <fgColor theme="1"/>
        <bgColor indexed="64"/>
      </patternFill>
    </fill>
    <fill>
      <patternFill patternType="solid">
        <fgColor rgb="FFFFC000"/>
        <bgColor indexed="64"/>
      </patternFill>
    </fill>
    <fill>
      <patternFill patternType="solid">
        <fgColor rgb="FF132346"/>
        <bgColor indexed="64"/>
      </patternFill>
    </fill>
    <fill>
      <patternFill patternType="solid">
        <fgColor rgb="FFF1F5F9"/>
        <bgColor indexed="64"/>
      </patternFill>
    </fill>
  </fills>
  <borders count="62">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rgb="FF0070C0"/>
      </left>
      <right/>
      <top style="thin">
        <color rgb="FF0070C0"/>
      </top>
      <bottom/>
      <diagonal/>
    </border>
    <border>
      <left/>
      <right style="thin">
        <color rgb="FF0070C0"/>
      </right>
      <top style="thin">
        <color rgb="FF0070C0"/>
      </top>
      <bottom/>
      <diagonal/>
    </border>
    <border>
      <left style="thin">
        <color rgb="FF0070C0"/>
      </left>
      <right/>
      <top/>
      <bottom/>
      <diagonal/>
    </border>
    <border>
      <left/>
      <right style="thin">
        <color rgb="FF0070C0"/>
      </right>
      <top/>
      <bottom/>
      <diagonal/>
    </border>
    <border>
      <left style="thin">
        <color rgb="FF0070C0"/>
      </left>
      <right/>
      <top/>
      <bottom style="thin">
        <color rgb="FF0070C0"/>
      </bottom>
      <diagonal/>
    </border>
    <border>
      <left/>
      <right style="thin">
        <color rgb="FF0070C0"/>
      </right>
      <top/>
      <bottom style="thin">
        <color rgb="FF0070C0"/>
      </bottom>
      <diagonal/>
    </border>
    <border>
      <left/>
      <right/>
      <top style="thin">
        <color rgb="FF0070C0"/>
      </top>
      <bottom/>
      <diagonal/>
    </border>
    <border>
      <left/>
      <right/>
      <top/>
      <bottom style="thin">
        <color rgb="FF0070C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theme="3"/>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style="thin">
        <color theme="3"/>
      </right>
      <top/>
      <bottom style="thin">
        <color theme="3"/>
      </bottom>
      <diagonal/>
    </border>
    <border>
      <left/>
      <right/>
      <top style="thin">
        <color theme="3"/>
      </top>
      <bottom/>
      <diagonal/>
    </border>
    <border>
      <left style="thin">
        <color rgb="FF000000"/>
      </left>
      <right style="thin">
        <color theme="3"/>
      </right>
      <top style="thin">
        <color theme="3"/>
      </top>
      <bottom/>
      <diagonal/>
    </border>
    <border>
      <left style="thin">
        <color rgb="FF000000"/>
      </left>
      <right style="thin">
        <color theme="3"/>
      </right>
      <top/>
      <bottom/>
      <diagonal/>
    </border>
    <border>
      <left/>
      <right/>
      <top/>
      <bottom style="thin">
        <color theme="3"/>
      </bottom>
      <diagonal/>
    </border>
    <border>
      <left style="thin">
        <color rgb="FF000000"/>
      </left>
      <right style="thin">
        <color theme="3"/>
      </right>
      <top/>
      <bottom style="thin">
        <color theme="3"/>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D9D9D9"/>
      </top>
      <bottom style="thin">
        <color rgb="FFD9D9D9"/>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A6A6A6"/>
      </left>
      <right style="thin">
        <color rgb="FFA6A6A6"/>
      </right>
      <top style="thin">
        <color rgb="FFA6A6A6"/>
      </top>
      <bottom style="thin">
        <color rgb="FFA6A6A6"/>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diagonal/>
    </border>
    <border>
      <left style="medium">
        <color rgb="FF000000"/>
      </left>
      <right style="thin">
        <color rgb="FFD9D9D9"/>
      </right>
      <top style="medium">
        <color rgb="FF000000"/>
      </top>
      <bottom style="medium">
        <color rgb="FF000000"/>
      </bottom>
      <diagonal/>
    </border>
    <border>
      <left style="thin">
        <color rgb="FFD9D9D9"/>
      </left>
      <right style="medium">
        <color rgb="FF000000"/>
      </right>
      <top style="medium">
        <color rgb="FF000000"/>
      </top>
      <bottom style="medium">
        <color rgb="FF000000"/>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auto="1"/>
      </bottom>
      <diagonal/>
    </border>
    <border>
      <left style="thin">
        <color rgb="FFD9D9D9"/>
      </left>
      <right/>
      <top style="thin">
        <color rgb="FFD9D9D9"/>
      </top>
      <bottom style="thin">
        <color auto="1"/>
      </bottom>
      <diagonal/>
    </border>
    <border>
      <left style="thin">
        <color rgb="FFD9D9D9"/>
      </left>
      <right style="thin">
        <color auto="1"/>
      </right>
      <top style="thin">
        <color rgb="FFD9D9D9"/>
      </top>
      <bottom style="thin">
        <color rgb="FFD9D9D9"/>
      </bottom>
      <diagonal/>
    </border>
    <border>
      <left style="thin">
        <color rgb="FFD9D9D9"/>
      </left>
      <right style="thin">
        <color auto="1"/>
      </right>
      <top style="thin">
        <color rgb="FFD9D9D9"/>
      </top>
      <bottom style="thin">
        <color auto="1"/>
      </bottom>
      <diagonal/>
    </border>
    <border>
      <left style="thin">
        <color rgb="FFD9E2F3"/>
      </left>
      <right/>
      <top style="thin">
        <color rgb="FFD9E2F3"/>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D9D9D9"/>
      </left>
      <right/>
      <top style="thin">
        <color rgb="FFA6A6A6"/>
      </top>
      <bottom style="thin">
        <color rgb="FFA6A6A6"/>
      </bottom>
      <diagonal/>
    </border>
    <border>
      <left/>
      <right/>
      <top style="thin">
        <color rgb="FFD9D9D9"/>
      </top>
      <bottom style="thin">
        <color auto="1"/>
      </bottom>
      <diagonal/>
    </border>
    <border>
      <left/>
      <right style="thin">
        <color auto="1"/>
      </right>
      <top style="thin">
        <color rgb="FFD9D9D9"/>
      </top>
      <bottom style="thin">
        <color auto="1"/>
      </bottom>
      <diagonal/>
    </border>
    <border>
      <left style="thin">
        <color rgb="FFD9D9D9"/>
      </left>
      <right style="thin">
        <color rgb="FF000000"/>
      </right>
      <top style="thin">
        <color rgb="FFD9D9D9"/>
      </top>
      <bottom style="thin">
        <color rgb="FFD9D9D9"/>
      </bottom>
      <diagonal/>
    </border>
    <border>
      <left/>
      <right style="thin">
        <color rgb="FF000000"/>
      </right>
      <top style="thin">
        <color rgb="FFD9D9D9"/>
      </top>
      <bottom style="thin">
        <color rgb="FFD9D9D9"/>
      </bottom>
      <diagonal/>
    </border>
  </borders>
  <cellStyleXfs count="3">
    <xf numFmtId="0" fontId="0" fillId="0" borderId="0"/>
    <xf numFmtId="0" fontId="3" fillId="0" borderId="0"/>
    <xf numFmtId="0" fontId="56" fillId="0" borderId="0" applyNumberFormat="0" applyFill="0" applyBorder="0" applyAlignment="0" applyProtection="0"/>
  </cellStyleXfs>
  <cellXfs count="400">
    <xf numFmtId="0" fontId="0" fillId="0" borderId="0" xfId="0"/>
    <xf numFmtId="0" fontId="4" fillId="0" borderId="0" xfId="0" applyFont="1"/>
    <xf numFmtId="0" fontId="8" fillId="0" borderId="8" xfId="0" applyFont="1" applyBorder="1" applyAlignment="1">
      <alignment horizontal="right" vertical="center"/>
    </xf>
    <xf numFmtId="0" fontId="9" fillId="0" borderId="11" xfId="0" applyFont="1" applyBorder="1" applyAlignment="1">
      <alignment horizontal="left" vertical="center"/>
    </xf>
    <xf numFmtId="0" fontId="4" fillId="0" borderId="11" xfId="0" applyFont="1" applyBorder="1"/>
    <xf numFmtId="0" fontId="9" fillId="0" borderId="1" xfId="0" applyFont="1" applyBorder="1" applyAlignment="1">
      <alignment horizontal="left" vertical="center" wrapText="1"/>
    </xf>
    <xf numFmtId="0" fontId="10" fillId="3" borderId="1" xfId="0" applyFont="1" applyFill="1" applyBorder="1" applyAlignment="1">
      <alignment horizontal="center" vertical="center" wrapText="1"/>
    </xf>
    <xf numFmtId="0" fontId="6" fillId="0" borderId="6" xfId="0" applyFont="1" applyBorder="1" applyAlignment="1">
      <alignment horizontal="center" vertical="center"/>
    </xf>
    <xf numFmtId="0" fontId="6" fillId="0" borderId="0" xfId="0" applyFont="1" applyAlignment="1">
      <alignment horizontal="center" vertical="center"/>
    </xf>
    <xf numFmtId="0" fontId="12" fillId="14" borderId="3" xfId="1" applyFont="1" applyFill="1" applyBorder="1" applyAlignment="1">
      <alignment horizontal="center" vertical="center"/>
    </xf>
    <xf numFmtId="0" fontId="13" fillId="0" borderId="3" xfId="1" applyFont="1" applyBorder="1" applyAlignment="1">
      <alignment horizontal="center" vertical="center"/>
    </xf>
    <xf numFmtId="0" fontId="13" fillId="0" borderId="0" xfId="1" applyFont="1"/>
    <xf numFmtId="49" fontId="13" fillId="0" borderId="3" xfId="1" applyNumberFormat="1" applyFont="1" applyBorder="1" applyAlignment="1">
      <alignment horizontal="center" vertical="center"/>
    </xf>
    <xf numFmtId="0" fontId="8" fillId="4" borderId="1" xfId="0" applyFont="1" applyFill="1" applyBorder="1" applyAlignment="1">
      <alignment horizontal="left" vertical="center"/>
    </xf>
    <xf numFmtId="0" fontId="9" fillId="4" borderId="1" xfId="0" applyFont="1" applyFill="1" applyBorder="1" applyAlignment="1">
      <alignment horizontal="left" vertical="center" wrapText="1"/>
    </xf>
    <xf numFmtId="0" fontId="8" fillId="5" borderId="1" xfId="0" applyFont="1" applyFill="1" applyBorder="1" applyAlignment="1">
      <alignment horizontal="left" vertical="center"/>
    </xf>
    <xf numFmtId="0" fontId="9" fillId="5" borderId="1" xfId="0" applyFont="1" applyFill="1" applyBorder="1" applyAlignment="1">
      <alignment horizontal="left" vertical="center" wrapText="1"/>
    </xf>
    <xf numFmtId="0" fontId="14" fillId="6" borderId="1" xfId="0" applyFont="1" applyFill="1" applyBorder="1" applyAlignment="1">
      <alignment horizontal="center" vertical="center"/>
    </xf>
    <xf numFmtId="0" fontId="8" fillId="0" borderId="1" xfId="0" applyFont="1" applyBorder="1" applyAlignment="1">
      <alignment horizontal="left" vertical="center"/>
    </xf>
    <xf numFmtId="0" fontId="14" fillId="7" borderId="1" xfId="0" applyFont="1" applyFill="1" applyBorder="1" applyAlignment="1">
      <alignment horizontal="center" vertical="center"/>
    </xf>
    <xf numFmtId="0" fontId="14" fillId="8" borderId="1" xfId="0" applyFont="1" applyFill="1" applyBorder="1" applyAlignment="1">
      <alignment horizontal="center" vertical="center"/>
    </xf>
    <xf numFmtId="0" fontId="14" fillId="9" borderId="1" xfId="0" applyFont="1" applyFill="1" applyBorder="1" applyAlignment="1">
      <alignment horizontal="center" vertical="center"/>
    </xf>
    <xf numFmtId="0" fontId="14" fillId="3" borderId="1" xfId="0" applyFont="1" applyFill="1" applyBorder="1" applyAlignment="1">
      <alignment horizontal="center" vertical="center"/>
    </xf>
    <xf numFmtId="0" fontId="14" fillId="2" borderId="1" xfId="0" applyFont="1" applyFill="1" applyBorder="1" applyAlignment="1">
      <alignment horizontal="center" vertical="center"/>
    </xf>
    <xf numFmtId="0" fontId="10" fillId="10" borderId="1" xfId="0" applyFont="1" applyFill="1" applyBorder="1" applyAlignment="1">
      <alignment horizontal="center" vertical="center"/>
    </xf>
    <xf numFmtId="0" fontId="15" fillId="10" borderId="1" xfId="0" applyFont="1" applyFill="1" applyBorder="1" applyAlignment="1">
      <alignment horizontal="center" vertical="center"/>
    </xf>
    <xf numFmtId="0" fontId="8" fillId="0" borderId="1" xfId="0" applyFont="1" applyBorder="1" applyAlignment="1">
      <alignment horizontal="center" vertical="center"/>
    </xf>
    <xf numFmtId="0" fontId="10" fillId="7" borderId="1" xfId="0" applyFont="1" applyFill="1" applyBorder="1" applyAlignment="1">
      <alignment horizontal="center" vertical="center"/>
    </xf>
    <xf numFmtId="0" fontId="15" fillId="7" borderId="1" xfId="0" applyFont="1" applyFill="1" applyBorder="1" applyAlignment="1">
      <alignment horizontal="center" vertical="center"/>
    </xf>
    <xf numFmtId="0" fontId="10" fillId="6" borderId="1" xfId="0" applyFont="1" applyFill="1" applyBorder="1" applyAlignment="1">
      <alignment horizontal="center" vertical="center"/>
    </xf>
    <xf numFmtId="0" fontId="15" fillId="6" borderId="1" xfId="0" applyFont="1" applyFill="1" applyBorder="1" applyAlignment="1">
      <alignment horizontal="center" vertical="center"/>
    </xf>
    <xf numFmtId="0" fontId="8" fillId="11" borderId="1" xfId="0" applyFont="1" applyFill="1" applyBorder="1" applyAlignment="1">
      <alignment horizontal="center" vertical="center"/>
    </xf>
    <xf numFmtId="0" fontId="9" fillId="11" borderId="1" xfId="0" applyFont="1" applyFill="1" applyBorder="1" applyAlignment="1">
      <alignment horizontal="center" vertical="center"/>
    </xf>
    <xf numFmtId="0" fontId="10" fillId="3" borderId="1" xfId="0" applyFont="1" applyFill="1" applyBorder="1" applyAlignment="1">
      <alignment horizontal="center" vertical="center"/>
    </xf>
    <xf numFmtId="0" fontId="16" fillId="4" borderId="1" xfId="0" applyFont="1" applyFill="1" applyBorder="1" applyAlignment="1">
      <alignment horizontal="left" vertical="center"/>
    </xf>
    <xf numFmtId="0" fontId="16" fillId="5" borderId="1" xfId="0" applyFont="1" applyFill="1" applyBorder="1" applyAlignment="1">
      <alignment horizontal="left" vertical="center"/>
    </xf>
    <xf numFmtId="0" fontId="9" fillId="0" borderId="1" xfId="0" applyFont="1" applyBorder="1" applyAlignment="1">
      <alignment horizontal="center" vertical="center"/>
    </xf>
    <xf numFmtId="0" fontId="8" fillId="0" borderId="1" xfId="0" applyFont="1" applyBorder="1" applyAlignment="1">
      <alignment horizontal="right" vertical="center"/>
    </xf>
    <xf numFmtId="0" fontId="19" fillId="12" borderId="1" xfId="0" applyFont="1" applyFill="1" applyBorder="1" applyAlignment="1">
      <alignment horizontal="center" vertical="center"/>
    </xf>
    <xf numFmtId="0" fontId="20" fillId="0" borderId="0" xfId="0" applyFont="1" applyAlignment="1">
      <alignment horizontal="left" vertical="center"/>
    </xf>
    <xf numFmtId="0" fontId="23" fillId="5" borderId="1" xfId="0" applyFont="1" applyFill="1" applyBorder="1" applyAlignment="1">
      <alignment horizontal="center" vertical="center"/>
    </xf>
    <xf numFmtId="0" fontId="23" fillId="4" borderId="1" xfId="0" applyFont="1" applyFill="1" applyBorder="1" applyAlignment="1">
      <alignment horizontal="center" vertical="center"/>
    </xf>
    <xf numFmtId="0" fontId="18" fillId="0" borderId="1" xfId="0" applyFont="1" applyBorder="1" applyAlignment="1">
      <alignment horizontal="center" vertical="center"/>
    </xf>
    <xf numFmtId="164" fontId="24" fillId="0" borderId="1" xfId="0" applyNumberFormat="1" applyFont="1" applyBorder="1" applyAlignment="1">
      <alignment horizontal="center" vertical="center"/>
    </xf>
    <xf numFmtId="0" fontId="9" fillId="4" borderId="1" xfId="0" applyFont="1" applyFill="1" applyBorder="1" applyAlignment="1">
      <alignment horizontal="left" vertical="center"/>
    </xf>
    <xf numFmtId="0" fontId="9" fillId="4" borderId="1" xfId="0" applyFont="1" applyFill="1" applyBorder="1" applyAlignment="1">
      <alignment horizontal="center" vertical="center"/>
    </xf>
    <xf numFmtId="0" fontId="9" fillId="5" borderId="1" xfId="0" applyFont="1" applyFill="1" applyBorder="1" applyAlignment="1">
      <alignment horizontal="left" vertical="center"/>
    </xf>
    <xf numFmtId="0" fontId="9" fillId="5" borderId="1" xfId="0" applyFont="1" applyFill="1" applyBorder="1" applyAlignment="1">
      <alignment horizontal="center" vertical="center"/>
    </xf>
    <xf numFmtId="0" fontId="17" fillId="4" borderId="1" xfId="0" applyFont="1" applyFill="1" applyBorder="1" applyAlignment="1">
      <alignment horizontal="center" vertical="center"/>
    </xf>
    <xf numFmtId="3" fontId="9" fillId="0" borderId="1" xfId="0" applyNumberFormat="1" applyFont="1" applyBorder="1" applyAlignment="1">
      <alignment horizontal="center" vertical="center"/>
    </xf>
    <xf numFmtId="0" fontId="17" fillId="5" borderId="1" xfId="0" applyFont="1" applyFill="1" applyBorder="1" applyAlignment="1">
      <alignment horizontal="center" vertical="center"/>
    </xf>
    <xf numFmtId="0" fontId="8"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4" fillId="0" borderId="15" xfId="0" applyFont="1" applyBorder="1"/>
    <xf numFmtId="0" fontId="4" fillId="0" borderId="16" xfId="0" applyFont="1" applyBorder="1"/>
    <xf numFmtId="0" fontId="8" fillId="0" borderId="17" xfId="0" applyFont="1" applyBorder="1" applyAlignment="1">
      <alignment horizontal="right" vertical="center"/>
    </xf>
    <xf numFmtId="0" fontId="8" fillId="0" borderId="18" xfId="0" applyFont="1" applyBorder="1" applyAlignment="1">
      <alignment horizontal="right" vertical="center"/>
    </xf>
    <xf numFmtId="0" fontId="4" fillId="0" borderId="21" xfId="0" applyFont="1" applyBorder="1"/>
    <xf numFmtId="0" fontId="4" fillId="0" borderId="26" xfId="0" applyFont="1" applyBorder="1"/>
    <xf numFmtId="0" fontId="4" fillId="0" borderId="27" xfId="0" applyFont="1" applyBorder="1"/>
    <xf numFmtId="0" fontId="8" fillId="0" borderId="27" xfId="0" applyFont="1" applyBorder="1" applyAlignment="1">
      <alignment horizontal="right" vertical="center"/>
    </xf>
    <xf numFmtId="0" fontId="8" fillId="0" borderId="29" xfId="0" applyFont="1" applyBorder="1" applyAlignment="1">
      <alignment horizontal="right" vertical="center"/>
    </xf>
    <xf numFmtId="0" fontId="27" fillId="0" borderId="2" xfId="0" applyFont="1" applyBorder="1" applyAlignment="1">
      <alignment horizontal="left" vertical="center"/>
    </xf>
    <xf numFmtId="0" fontId="32" fillId="0" borderId="1" xfId="0" applyFont="1" applyBorder="1" applyAlignment="1">
      <alignment horizontal="left" vertical="center"/>
    </xf>
    <xf numFmtId="0" fontId="9" fillId="0" borderId="2" xfId="0" applyFont="1" applyBorder="1" applyAlignment="1">
      <alignment horizontal="left" vertical="center" wrapText="1"/>
    </xf>
    <xf numFmtId="0" fontId="26" fillId="5" borderId="1" xfId="0" applyFont="1" applyFill="1" applyBorder="1" applyAlignment="1">
      <alignment horizontal="left" vertical="center" wrapText="1"/>
    </xf>
    <xf numFmtId="0" fontId="26"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4" fillId="0" borderId="0" xfId="0" applyFont="1" applyAlignment="1">
      <alignment wrapText="1"/>
    </xf>
    <xf numFmtId="0" fontId="33" fillId="4" borderId="1" xfId="0" applyFont="1" applyFill="1" applyBorder="1" applyAlignment="1">
      <alignment horizontal="center" vertical="center"/>
    </xf>
    <xf numFmtId="0" fontId="33" fillId="5" borderId="1" xfId="0" applyFont="1" applyFill="1" applyBorder="1" applyAlignment="1">
      <alignment horizontal="center" vertical="center"/>
    </xf>
    <xf numFmtId="9" fontId="33" fillId="4" borderId="1" xfId="0" applyNumberFormat="1" applyFont="1" applyFill="1" applyBorder="1" applyAlignment="1">
      <alignment horizontal="center" vertical="center"/>
    </xf>
    <xf numFmtId="0" fontId="30" fillId="5" borderId="1" xfId="0" applyFont="1" applyFill="1" applyBorder="1" applyAlignment="1">
      <alignment horizontal="left" vertical="center" wrapText="1"/>
    </xf>
    <xf numFmtId="0" fontId="17" fillId="5" borderId="2" xfId="0" applyFont="1" applyFill="1" applyBorder="1" applyAlignment="1">
      <alignment horizontal="center" vertical="center"/>
    </xf>
    <xf numFmtId="0" fontId="8" fillId="0" borderId="2" xfId="0" applyFont="1" applyBorder="1" applyAlignment="1">
      <alignment horizontal="center" vertical="center"/>
    </xf>
    <xf numFmtId="0" fontId="30" fillId="5" borderId="2" xfId="0" applyFont="1" applyFill="1" applyBorder="1" applyAlignment="1">
      <alignment horizontal="left" vertical="center" wrapText="1"/>
    </xf>
    <xf numFmtId="0" fontId="27" fillId="0" borderId="38" xfId="0" applyFont="1" applyBorder="1" applyAlignment="1">
      <alignment horizontal="left" vertical="center"/>
    </xf>
    <xf numFmtId="0" fontId="35" fillId="16" borderId="1" xfId="0" applyFont="1" applyFill="1" applyBorder="1" applyAlignment="1">
      <alignment horizontal="center" vertical="center" wrapText="1"/>
    </xf>
    <xf numFmtId="0" fontId="36" fillId="4" borderId="1" xfId="0" applyFont="1" applyFill="1" applyBorder="1" applyAlignment="1">
      <alignment horizontal="left" vertical="center"/>
    </xf>
    <xf numFmtId="0" fontId="37" fillId="4" borderId="1" xfId="0" applyFont="1" applyFill="1" applyBorder="1" applyAlignment="1">
      <alignment horizontal="center" vertical="center"/>
    </xf>
    <xf numFmtId="0" fontId="38" fillId="4" borderId="1" xfId="0" applyFont="1" applyFill="1" applyBorder="1" applyAlignment="1">
      <alignment horizontal="left" vertical="center" wrapText="1"/>
    </xf>
    <xf numFmtId="0" fontId="36" fillId="5" borderId="1" xfId="0" applyFont="1" applyFill="1" applyBorder="1" applyAlignment="1">
      <alignment horizontal="left" vertical="center"/>
    </xf>
    <xf numFmtId="0" fontId="37" fillId="5" borderId="1" xfId="0" applyFont="1" applyFill="1" applyBorder="1" applyAlignment="1">
      <alignment horizontal="center" vertical="center"/>
    </xf>
    <xf numFmtId="0" fontId="38" fillId="5" borderId="1" xfId="0" applyFont="1" applyFill="1" applyBorder="1" applyAlignment="1">
      <alignment horizontal="left" vertical="center" wrapText="1"/>
    </xf>
    <xf numFmtId="0" fontId="36" fillId="5" borderId="1" xfId="0" applyFont="1" applyFill="1" applyBorder="1" applyAlignment="1">
      <alignment horizontal="left" vertical="center" wrapText="1"/>
    </xf>
    <xf numFmtId="0" fontId="36" fillId="4" borderId="1" xfId="0" applyFont="1" applyFill="1" applyBorder="1" applyAlignment="1">
      <alignment horizontal="left" vertical="center" wrapText="1"/>
    </xf>
    <xf numFmtId="0" fontId="39" fillId="4" borderId="1" xfId="0" applyFont="1" applyFill="1" applyBorder="1" applyAlignment="1">
      <alignment horizontal="center" vertical="center"/>
    </xf>
    <xf numFmtId="0" fontId="39" fillId="5" borderId="1" xfId="0" applyFont="1" applyFill="1" applyBorder="1" applyAlignment="1">
      <alignment horizontal="center" vertical="center"/>
    </xf>
    <xf numFmtId="0" fontId="40" fillId="0" borderId="0" xfId="0" applyFont="1"/>
    <xf numFmtId="0" fontId="41" fillId="0" borderId="0" xfId="0" applyFont="1"/>
    <xf numFmtId="0" fontId="43" fillId="4" borderId="1" xfId="0" applyFont="1" applyFill="1" applyBorder="1" applyAlignment="1">
      <alignment horizontal="left" vertical="center" wrapText="1"/>
    </xf>
    <xf numFmtId="0" fontId="44" fillId="18" borderId="41" xfId="0" applyFont="1" applyFill="1" applyBorder="1" applyAlignment="1">
      <alignment vertical="top" wrapText="1"/>
    </xf>
    <xf numFmtId="0" fontId="43" fillId="5" borderId="1" xfId="0" applyFont="1" applyFill="1" applyBorder="1" applyAlignment="1">
      <alignment horizontal="left" vertical="center" wrapText="1"/>
    </xf>
    <xf numFmtId="0" fontId="45" fillId="17" borderId="41" xfId="0" applyFont="1" applyFill="1" applyBorder="1" applyAlignment="1">
      <alignment wrapText="1"/>
    </xf>
    <xf numFmtId="0" fontId="46" fillId="0" borderId="41" xfId="0" applyFont="1" applyBorder="1" applyAlignment="1">
      <alignment wrapText="1"/>
    </xf>
    <xf numFmtId="0" fontId="47" fillId="0" borderId="41" xfId="0" applyFont="1" applyBorder="1" applyAlignment="1">
      <alignment wrapText="1"/>
    </xf>
    <xf numFmtId="0" fontId="16" fillId="5" borderId="42" xfId="0" applyFont="1" applyFill="1" applyBorder="1" applyAlignment="1">
      <alignment horizontal="left" vertical="center"/>
    </xf>
    <xf numFmtId="0" fontId="9" fillId="19" borderId="1" xfId="0" applyFont="1" applyFill="1" applyBorder="1" applyAlignment="1">
      <alignment horizontal="center" vertical="center" wrapText="1"/>
    </xf>
    <xf numFmtId="0" fontId="11" fillId="15" borderId="2" xfId="0" applyFont="1" applyFill="1" applyBorder="1" applyAlignment="1">
      <alignment horizontal="left" vertical="center"/>
    </xf>
    <xf numFmtId="0" fontId="11" fillId="15" borderId="2" xfId="0" applyFont="1" applyFill="1" applyBorder="1" applyAlignment="1">
      <alignment horizontal="left" vertical="center" wrapText="1"/>
    </xf>
    <xf numFmtId="0" fontId="11" fillId="15" borderId="37" xfId="0" applyFont="1" applyFill="1" applyBorder="1" applyAlignment="1">
      <alignment horizontal="left" vertical="center"/>
    </xf>
    <xf numFmtId="0" fontId="14" fillId="6" borderId="43" xfId="0" applyFont="1" applyFill="1" applyBorder="1" applyAlignment="1">
      <alignment horizontal="center" vertical="center"/>
    </xf>
    <xf numFmtId="0" fontId="9" fillId="0" borderId="43" xfId="0" applyFont="1" applyBorder="1" applyAlignment="1">
      <alignment horizontal="left" vertical="center" wrapText="1"/>
    </xf>
    <xf numFmtId="0" fontId="14" fillId="8" borderId="42" xfId="0" applyFont="1" applyFill="1" applyBorder="1" applyAlignment="1">
      <alignment horizontal="center" vertical="center"/>
    </xf>
    <xf numFmtId="0" fontId="9" fillId="0" borderId="42" xfId="0" applyFont="1" applyBorder="1" applyAlignment="1">
      <alignment horizontal="left" vertical="center" wrapText="1"/>
    </xf>
    <xf numFmtId="0" fontId="14" fillId="7" borderId="44" xfId="0" applyFont="1" applyFill="1" applyBorder="1" applyAlignment="1">
      <alignment horizontal="center" vertical="center"/>
    </xf>
    <xf numFmtId="0" fontId="9" fillId="0" borderId="45" xfId="0" applyFont="1" applyBorder="1" applyAlignment="1">
      <alignment horizontal="left" vertical="center" wrapText="1"/>
    </xf>
    <xf numFmtId="0" fontId="9" fillId="0" borderId="0" xfId="0" applyFont="1" applyAlignment="1">
      <alignment horizontal="left" vertical="center" wrapText="1"/>
    </xf>
    <xf numFmtId="0" fontId="4" fillId="18" borderId="0" xfId="0" applyFont="1" applyFill="1"/>
    <xf numFmtId="0" fontId="2" fillId="0" borderId="0" xfId="0" applyFont="1"/>
    <xf numFmtId="0" fontId="35" fillId="17" borderId="41" xfId="0" applyFont="1" applyFill="1" applyBorder="1" applyAlignment="1">
      <alignment horizontal="center" wrapText="1"/>
    </xf>
    <xf numFmtId="0" fontId="52" fillId="0" borderId="0" xfId="0" applyFont="1" applyAlignment="1">
      <alignment wrapText="1"/>
    </xf>
    <xf numFmtId="0" fontId="52" fillId="0" borderId="41" xfId="0" applyFont="1" applyBorder="1" applyAlignment="1">
      <alignment wrapText="1"/>
    </xf>
    <xf numFmtId="0" fontId="52" fillId="21" borderId="41" xfId="0" applyFont="1" applyFill="1" applyBorder="1" applyAlignment="1">
      <alignment wrapText="1"/>
    </xf>
    <xf numFmtId="164" fontId="52" fillId="21" borderId="41" xfId="0" applyNumberFormat="1" applyFont="1" applyFill="1" applyBorder="1" applyAlignment="1">
      <alignment wrapText="1"/>
    </xf>
    <xf numFmtId="1" fontId="52" fillId="21" borderId="41" xfId="0" applyNumberFormat="1" applyFont="1" applyFill="1" applyBorder="1" applyAlignment="1">
      <alignment wrapText="1"/>
    </xf>
    <xf numFmtId="0" fontId="52" fillId="20" borderId="41" xfId="0" applyFont="1" applyFill="1" applyBorder="1" applyAlignment="1">
      <alignment wrapText="1"/>
    </xf>
    <xf numFmtId="164" fontId="52" fillId="0" borderId="41" xfId="0" applyNumberFormat="1" applyFont="1" applyBorder="1" applyAlignment="1">
      <alignment wrapText="1"/>
    </xf>
    <xf numFmtId="0" fontId="30" fillId="0" borderId="1" xfId="0" applyFont="1" applyBorder="1" applyAlignment="1">
      <alignment horizontal="left" vertical="center" wrapText="1"/>
    </xf>
    <xf numFmtId="0" fontId="53" fillId="4" borderId="1" xfId="0" applyFont="1" applyFill="1" applyBorder="1" applyAlignment="1">
      <alignment horizontal="center" vertical="center"/>
    </xf>
    <xf numFmtId="0" fontId="8" fillId="0" borderId="1" xfId="0" applyFont="1" applyBorder="1" applyAlignment="1">
      <alignment horizontal="left" vertical="center" wrapText="1"/>
    </xf>
    <xf numFmtId="0" fontId="8" fillId="0" borderId="0" xfId="0" applyFont="1" applyAlignment="1">
      <alignment horizontal="left" vertical="center" wrapText="1"/>
    </xf>
    <xf numFmtId="0" fontId="35" fillId="17" borderId="41" xfId="0" applyFont="1" applyFill="1" applyBorder="1" applyAlignment="1">
      <alignment wrapText="1"/>
    </xf>
    <xf numFmtId="0" fontId="55" fillId="0" borderId="41" xfId="0" applyFont="1" applyBorder="1" applyAlignment="1">
      <alignment wrapText="1"/>
    </xf>
    <xf numFmtId="0" fontId="9" fillId="0" borderId="2" xfId="0" applyFont="1" applyBorder="1" applyAlignment="1">
      <alignment horizontal="left" vertical="center"/>
    </xf>
    <xf numFmtId="0" fontId="9" fillId="0" borderId="37" xfId="0" applyFont="1" applyBorder="1" applyAlignment="1">
      <alignment horizontal="left" vertical="center"/>
    </xf>
    <xf numFmtId="0" fontId="35" fillId="15" borderId="0" xfId="0" applyFont="1" applyFill="1" applyAlignment="1">
      <alignment wrapText="1"/>
    </xf>
    <xf numFmtId="0" fontId="11" fillId="9" borderId="2" xfId="0" applyFont="1" applyFill="1" applyBorder="1" applyAlignment="1">
      <alignment horizontal="left" vertical="center"/>
    </xf>
    <xf numFmtId="0" fontId="59" fillId="17" borderId="0" xfId="0" applyFont="1" applyFill="1" applyAlignment="1">
      <alignment horizontal="center" wrapText="1"/>
    </xf>
    <xf numFmtId="0" fontId="0" fillId="0" borderId="3" xfId="0" applyBorder="1" applyAlignment="1">
      <alignment wrapText="1"/>
    </xf>
    <xf numFmtId="0" fontId="60" fillId="16" borderId="0" xfId="0" applyFont="1" applyFill="1" applyAlignment="1">
      <alignment horizontal="left" wrapText="1"/>
    </xf>
    <xf numFmtId="0" fontId="8" fillId="0" borderId="1" xfId="0" applyFont="1" applyBorder="1" applyAlignment="1">
      <alignment horizontal="right" vertical="center" wrapText="1"/>
    </xf>
    <xf numFmtId="0" fontId="61" fillId="0" borderId="0" xfId="0" applyFont="1" applyAlignment="1">
      <alignment horizontal="left" vertical="center"/>
    </xf>
    <xf numFmtId="0" fontId="9" fillId="19" borderId="1" xfId="0" applyFont="1" applyFill="1" applyBorder="1" applyAlignment="1">
      <alignment horizontal="center" vertical="center"/>
    </xf>
    <xf numFmtId="0" fontId="9" fillId="0" borderId="0" xfId="0" applyFont="1" applyAlignment="1">
      <alignment horizontal="left" vertical="center"/>
    </xf>
    <xf numFmtId="0" fontId="56" fillId="0" borderId="0" xfId="2" applyAlignment="1">
      <alignment horizontal="left" vertical="center"/>
    </xf>
    <xf numFmtId="0" fontId="62" fillId="0" borderId="0" xfId="0" applyFont="1" applyAlignment="1">
      <alignment horizontal="left" vertical="center" wrapText="1"/>
    </xf>
    <xf numFmtId="0" fontId="63" fillId="0" borderId="0" xfId="0" applyFont="1" applyAlignment="1">
      <alignment horizontal="left" vertical="center"/>
    </xf>
    <xf numFmtId="0" fontId="19" fillId="12" borderId="1" xfId="0" applyFont="1" applyFill="1" applyBorder="1" applyAlignment="1">
      <alignment horizontal="center" vertical="center" wrapText="1"/>
    </xf>
    <xf numFmtId="0" fontId="20" fillId="0" borderId="0" xfId="0" applyFont="1" applyAlignment="1">
      <alignment horizontal="left" vertical="center" wrapText="1"/>
    </xf>
    <xf numFmtId="0" fontId="65" fillId="0" borderId="0" xfId="0" applyFont="1"/>
    <xf numFmtId="0" fontId="66" fillId="0" borderId="0" xfId="0" applyFont="1"/>
    <xf numFmtId="0" fontId="67" fillId="0" borderId="0" xfId="0" applyFont="1"/>
    <xf numFmtId="0" fontId="68" fillId="0" borderId="0" xfId="0" applyFont="1"/>
    <xf numFmtId="0" fontId="69" fillId="23" borderId="0" xfId="0" applyFont="1" applyFill="1"/>
    <xf numFmtId="0" fontId="69" fillId="24" borderId="0" xfId="0" applyFont="1" applyFill="1"/>
    <xf numFmtId="0" fontId="68" fillId="25" borderId="0" xfId="0" applyFont="1" applyFill="1"/>
    <xf numFmtId="0" fontId="9" fillId="4"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1" fontId="9" fillId="0" borderId="1" xfId="0" applyNumberFormat="1" applyFont="1" applyBorder="1" applyAlignment="1">
      <alignment horizontal="center" vertical="center"/>
    </xf>
    <xf numFmtId="0" fontId="43" fillId="4" borderId="1" xfId="0" applyFont="1" applyFill="1" applyBorder="1" applyAlignment="1">
      <alignment horizontal="left" vertical="center"/>
    </xf>
    <xf numFmtId="0" fontId="44" fillId="18" borderId="41" xfId="0" applyFont="1" applyFill="1" applyBorder="1" applyAlignment="1">
      <alignment vertical="top"/>
    </xf>
    <xf numFmtId="0" fontId="35" fillId="17" borderId="41" xfId="0" applyFont="1" applyFill="1" applyBorder="1"/>
    <xf numFmtId="0" fontId="55" fillId="0" borderId="41" xfId="0" applyFont="1" applyBorder="1"/>
    <xf numFmtId="0" fontId="52" fillId="0" borderId="41" xfId="0" applyFont="1" applyBorder="1"/>
    <xf numFmtId="0" fontId="10" fillId="17" borderId="53" xfId="0" applyFont="1" applyFill="1" applyBorder="1" applyAlignment="1">
      <alignment horizontal="center" vertical="center" wrapText="1"/>
    </xf>
    <xf numFmtId="0" fontId="23" fillId="5" borderId="53" xfId="0" applyFont="1" applyFill="1" applyBorder="1" applyAlignment="1">
      <alignment horizontal="center" vertical="center" wrapText="1"/>
    </xf>
    <xf numFmtId="0" fontId="9" fillId="0" borderId="53" xfId="0" applyFont="1" applyBorder="1" applyAlignment="1">
      <alignment horizontal="center" vertical="center" wrapText="1"/>
    </xf>
    <xf numFmtId="0" fontId="9" fillId="0" borderId="53" xfId="0" applyFont="1" applyBorder="1" applyAlignment="1">
      <alignment horizontal="left" vertical="center" wrapText="1"/>
    </xf>
    <xf numFmtId="0" fontId="23" fillId="4" borderId="53" xfId="0" applyFont="1" applyFill="1" applyBorder="1" applyAlignment="1">
      <alignment horizontal="center" vertical="center" wrapText="1"/>
    </xf>
    <xf numFmtId="0" fontId="4" fillId="0" borderId="53" xfId="0" applyFont="1" applyBorder="1" applyAlignment="1">
      <alignment wrapText="1"/>
    </xf>
    <xf numFmtId="0" fontId="18" fillId="0" borderId="53" xfId="0" applyFont="1" applyBorder="1" applyAlignment="1">
      <alignment horizontal="center" vertical="center" wrapText="1"/>
    </xf>
    <xf numFmtId="164" fontId="24" fillId="0" borderId="53" xfId="0" applyNumberFormat="1" applyFont="1" applyBorder="1" applyAlignment="1">
      <alignment horizontal="center" vertical="center" wrapText="1"/>
    </xf>
    <xf numFmtId="0" fontId="71" fillId="4" borderId="1" xfId="0" applyFont="1" applyFill="1" applyBorder="1" applyAlignment="1">
      <alignment horizontal="center" vertical="center"/>
    </xf>
    <xf numFmtId="0" fontId="11" fillId="16" borderId="53" xfId="0" applyFont="1" applyFill="1" applyBorder="1" applyAlignment="1">
      <alignment vertical="center" wrapText="1"/>
    </xf>
    <xf numFmtId="0" fontId="70" fillId="16" borderId="53" xfId="0" applyFont="1" applyFill="1" applyBorder="1" applyAlignment="1">
      <alignment vertical="center" wrapText="1"/>
    </xf>
    <xf numFmtId="0" fontId="11" fillId="16" borderId="53" xfId="0" applyFont="1" applyFill="1" applyBorder="1" applyAlignment="1">
      <alignment horizontal="left" vertical="center" wrapText="1"/>
    </xf>
    <xf numFmtId="0" fontId="11" fillId="9" borderId="2" xfId="0" applyFont="1" applyFill="1" applyBorder="1" applyAlignment="1">
      <alignment vertical="center"/>
    </xf>
    <xf numFmtId="0" fontId="56" fillId="0" borderId="0" xfId="2" applyAlignment="1"/>
    <xf numFmtId="0" fontId="41" fillId="0" borderId="0" xfId="0" applyFont="1" applyAlignment="1">
      <alignment wrapText="1"/>
    </xf>
    <xf numFmtId="0" fontId="19" fillId="12" borderId="1" xfId="0" applyFont="1" applyFill="1" applyBorder="1" applyAlignment="1">
      <alignment vertical="center" wrapText="1"/>
    </xf>
    <xf numFmtId="0" fontId="41" fillId="0" borderId="0" xfId="0" applyFont="1" applyAlignment="1">
      <alignment horizontal="left" wrapText="1"/>
    </xf>
    <xf numFmtId="1" fontId="52" fillId="0" borderId="41" xfId="0" applyNumberFormat="1" applyFont="1" applyBorder="1" applyAlignment="1">
      <alignment wrapText="1"/>
    </xf>
    <xf numFmtId="0" fontId="0" fillId="0" borderId="3" xfId="0" applyBorder="1" applyAlignment="1">
      <alignment horizontal="center" wrapText="1"/>
    </xf>
    <xf numFmtId="165" fontId="0" fillId="0" borderId="3" xfId="0" applyNumberFormat="1" applyBorder="1" applyAlignment="1">
      <alignment wrapText="1"/>
    </xf>
    <xf numFmtId="0" fontId="0" fillId="0" borderId="0" xfId="0" applyAlignment="1">
      <alignment wrapText="1"/>
    </xf>
    <xf numFmtId="0" fontId="34" fillId="15" borderId="0" xfId="0" applyFont="1" applyFill="1" applyAlignment="1">
      <alignment wrapText="1"/>
    </xf>
    <xf numFmtId="0" fontId="58" fillId="16" borderId="0" xfId="0" applyFont="1" applyFill="1" applyAlignment="1">
      <alignment wrapText="1"/>
    </xf>
    <xf numFmtId="0" fontId="57" fillId="0" borderId="0" xfId="0" applyFont="1" applyAlignment="1">
      <alignment wrapText="1"/>
    </xf>
    <xf numFmtId="164" fontId="57" fillId="0" borderId="0" xfId="0" applyNumberFormat="1" applyFont="1" applyAlignment="1">
      <alignment wrapText="1"/>
    </xf>
    <xf numFmtId="165" fontId="57" fillId="0" borderId="0" xfId="0" applyNumberFormat="1" applyFont="1" applyAlignment="1">
      <alignment wrapText="1"/>
    </xf>
    <xf numFmtId="164" fontId="34" fillId="15" borderId="0" xfId="0" applyNumberFormat="1" applyFont="1" applyFill="1" applyAlignment="1">
      <alignment wrapText="1"/>
    </xf>
    <xf numFmtId="164" fontId="41" fillId="0" borderId="0" xfId="0" applyNumberFormat="1" applyFont="1" applyAlignment="1">
      <alignment wrapText="1"/>
    </xf>
    <xf numFmtId="0" fontId="34" fillId="16" borderId="0" xfId="0" applyFont="1" applyFill="1" applyAlignment="1">
      <alignment wrapText="1"/>
    </xf>
    <xf numFmtId="165" fontId="41" fillId="0" borderId="0" xfId="0" applyNumberFormat="1" applyFont="1" applyAlignment="1">
      <alignment wrapText="1"/>
    </xf>
    <xf numFmtId="9" fontId="9" fillId="5" borderId="1" xfId="0" applyNumberFormat="1" applyFont="1" applyFill="1" applyBorder="1" applyAlignment="1">
      <alignment horizontal="center" vertical="center"/>
    </xf>
    <xf numFmtId="9" fontId="9" fillId="4" borderId="1" xfId="0" applyNumberFormat="1" applyFont="1" applyFill="1" applyBorder="1" applyAlignment="1">
      <alignment horizontal="center" vertical="center"/>
    </xf>
    <xf numFmtId="0" fontId="20" fillId="0" borderId="0" xfId="0" applyFont="1" applyAlignment="1">
      <alignment vertical="center" wrapText="1"/>
    </xf>
    <xf numFmtId="0" fontId="4" fillId="0" borderId="33" xfId="0" applyFont="1" applyBorder="1" applyAlignment="1">
      <alignment wrapText="1"/>
    </xf>
    <xf numFmtId="0" fontId="62" fillId="0" borderId="0" xfId="0" applyFont="1" applyAlignment="1">
      <alignment vertical="center"/>
    </xf>
    <xf numFmtId="0" fontId="4" fillId="0" borderId="33" xfId="0" applyFont="1" applyBorder="1"/>
    <xf numFmtId="0" fontId="19" fillId="12" borderId="1" xfId="0" applyFont="1" applyFill="1" applyBorder="1" applyAlignment="1">
      <alignment horizontal="left" vertical="center" wrapText="1"/>
    </xf>
    <xf numFmtId="0" fontId="4" fillId="0" borderId="0" xfId="0" applyFont="1" applyAlignment="1">
      <alignment horizontal="left" wrapText="1"/>
    </xf>
    <xf numFmtId="0" fontId="19" fillId="12" borderId="1" xfId="0" applyFont="1" applyFill="1" applyBorder="1" applyAlignment="1">
      <alignment horizontal="left" vertical="center"/>
    </xf>
    <xf numFmtId="0" fontId="4" fillId="0" borderId="0" xfId="0" applyFont="1" applyAlignment="1">
      <alignment horizontal="left"/>
    </xf>
    <xf numFmtId="0" fontId="62" fillId="0" borderId="0" xfId="0" applyFont="1" applyAlignment="1">
      <alignment horizontal="left" vertical="center"/>
    </xf>
    <xf numFmtId="0" fontId="8" fillId="0" borderId="0" xfId="0" applyFont="1" applyAlignment="1">
      <alignment horizontal="right"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9" fontId="4" fillId="4" borderId="1" xfId="0" applyNumberFormat="1" applyFont="1" applyFill="1" applyBorder="1" applyAlignment="1">
      <alignment horizontal="center" vertical="center"/>
    </xf>
    <xf numFmtId="9" fontId="4" fillId="5" borderId="1" xfId="0" applyNumberFormat="1" applyFont="1" applyFill="1" applyBorder="1" applyAlignment="1">
      <alignment horizontal="center" vertical="center"/>
    </xf>
    <xf numFmtId="0" fontId="9" fillId="4" borderId="0" xfId="0" applyFont="1" applyFill="1" applyAlignment="1">
      <alignment horizontal="left" vertical="center" wrapText="1"/>
    </xf>
    <xf numFmtId="0" fontId="9" fillId="4" borderId="0" xfId="0" applyFont="1" applyFill="1" applyAlignment="1">
      <alignment horizontal="center" vertical="center"/>
    </xf>
    <xf numFmtId="0" fontId="53"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9" fontId="9" fillId="5" borderId="1" xfId="0" applyNumberFormat="1" applyFont="1" applyFill="1" applyBorder="1" applyAlignment="1">
      <alignment horizontal="center" vertical="center" wrapText="1"/>
    </xf>
    <xf numFmtId="9" fontId="9" fillId="4" borderId="1" xfId="0" applyNumberFormat="1" applyFont="1" applyFill="1" applyBorder="1" applyAlignment="1">
      <alignment horizontal="center" vertical="center" wrapText="1"/>
    </xf>
    <xf numFmtId="0" fontId="4" fillId="4" borderId="1" xfId="0" applyFont="1" applyFill="1" applyBorder="1" applyAlignment="1">
      <alignment horizontal="left" vertical="center"/>
    </xf>
    <xf numFmtId="0" fontId="72" fillId="26" borderId="0" xfId="0" applyFont="1" applyFill="1"/>
    <xf numFmtId="0" fontId="17" fillId="5" borderId="0" xfId="0" applyFont="1" applyFill="1" applyAlignment="1">
      <alignment horizontal="center" vertical="center"/>
    </xf>
    <xf numFmtId="0" fontId="8" fillId="0" borderId="0" xfId="0" applyFont="1" applyAlignment="1">
      <alignment horizontal="right" vertical="center" wrapText="1"/>
    </xf>
    <xf numFmtId="0" fontId="73" fillId="0" borderId="0" xfId="0" applyFont="1"/>
    <xf numFmtId="0" fontId="71" fillId="5" borderId="1" xfId="0" applyFont="1" applyFill="1" applyBorder="1" applyAlignment="1">
      <alignment horizontal="center" vertical="center"/>
    </xf>
    <xf numFmtId="0" fontId="74" fillId="5" borderId="1" xfId="0" applyFont="1" applyFill="1" applyBorder="1" applyAlignment="1">
      <alignment horizontal="center" vertical="center"/>
    </xf>
    <xf numFmtId="0" fontId="75" fillId="0" borderId="0" xfId="0" applyFont="1"/>
    <xf numFmtId="0" fontId="30" fillId="0" borderId="0" xfId="0" applyFont="1" applyAlignment="1">
      <alignment horizontal="left" vertical="center" wrapText="1"/>
    </xf>
    <xf numFmtId="0" fontId="71" fillId="5" borderId="1" xfId="0" applyFont="1" applyFill="1" applyBorder="1" applyAlignment="1">
      <alignment horizontal="center" vertical="center" wrapText="1"/>
    </xf>
    <xf numFmtId="0" fontId="41" fillId="0" borderId="1" xfId="0" applyFont="1" applyBorder="1" applyAlignment="1">
      <alignment wrapText="1"/>
    </xf>
    <xf numFmtId="0" fontId="41" fillId="0" borderId="49" xfId="0" applyFont="1" applyBorder="1" applyAlignment="1">
      <alignment wrapText="1"/>
    </xf>
    <xf numFmtId="0" fontId="56" fillId="0" borderId="1" xfId="2" applyBorder="1" applyAlignment="1">
      <alignment wrapText="1"/>
    </xf>
    <xf numFmtId="0" fontId="41" fillId="0" borderId="60" xfId="0" applyFont="1" applyBorder="1" applyAlignment="1">
      <alignment wrapText="1"/>
    </xf>
    <xf numFmtId="0" fontId="9" fillId="0" borderId="37" xfId="0" applyFont="1" applyBorder="1" applyAlignment="1">
      <alignment horizontal="left" vertical="center" wrapText="1"/>
    </xf>
    <xf numFmtId="0" fontId="76" fillId="0" borderId="0" xfId="0" applyFont="1" applyAlignment="1">
      <alignment wrapText="1"/>
    </xf>
    <xf numFmtId="0" fontId="71" fillId="4" borderId="1" xfId="0" applyFont="1" applyFill="1" applyBorder="1" applyAlignment="1">
      <alignment horizontal="center" vertical="center" wrapText="1"/>
    </xf>
    <xf numFmtId="0" fontId="41" fillId="0" borderId="47" xfId="0" applyFont="1" applyBorder="1"/>
    <xf numFmtId="0" fontId="41" fillId="0" borderId="50" xfId="0" applyFont="1" applyBorder="1"/>
    <xf numFmtId="0" fontId="41" fillId="0" borderId="1" xfId="0" applyFont="1" applyBorder="1"/>
    <xf numFmtId="0" fontId="77" fillId="0" borderId="0" xfId="0" applyFont="1" applyAlignment="1">
      <alignment horizontal="left" vertical="center" wrapText="1"/>
    </xf>
    <xf numFmtId="0" fontId="33" fillId="4" borderId="1" xfId="0" applyFont="1" applyFill="1" applyBorder="1" applyAlignment="1">
      <alignment horizontal="center" vertical="center" wrapText="1"/>
    </xf>
    <xf numFmtId="0" fontId="33" fillId="5" borderId="1" xfId="0" applyFont="1" applyFill="1" applyBorder="1" applyAlignment="1">
      <alignment horizontal="center" vertical="center" wrapText="1"/>
    </xf>
    <xf numFmtId="0" fontId="30" fillId="27" borderId="1" xfId="0" applyFont="1" applyFill="1" applyBorder="1" applyAlignment="1">
      <alignment horizontal="left" vertical="center" wrapText="1"/>
    </xf>
    <xf numFmtId="0" fontId="30" fillId="27" borderId="0" xfId="0" applyFont="1" applyFill="1" applyAlignment="1">
      <alignment horizontal="left" vertical="center" wrapText="1"/>
    </xf>
    <xf numFmtId="0" fontId="19" fillId="0" borderId="1" xfId="0" applyFont="1" applyBorder="1" applyAlignment="1">
      <alignment vertical="center"/>
    </xf>
    <xf numFmtId="9" fontId="0" fillId="0" borderId="0" xfId="0" applyNumberFormat="1" applyAlignment="1">
      <alignment wrapText="1"/>
    </xf>
    <xf numFmtId="0" fontId="1" fillId="0" borderId="0" xfId="0" applyFont="1" applyAlignment="1">
      <alignment wrapText="1"/>
    </xf>
    <xf numFmtId="0" fontId="1" fillId="0" borderId="0" xfId="0" applyFont="1"/>
    <xf numFmtId="0" fontId="79" fillId="28" borderId="0" xfId="0" applyFont="1" applyFill="1" applyAlignment="1">
      <alignment horizontal="center" vertical="center" wrapText="1"/>
    </xf>
    <xf numFmtId="0" fontId="78" fillId="0" borderId="0" xfId="0" applyFont="1"/>
    <xf numFmtId="3" fontId="0" fillId="0" borderId="0" xfId="0" applyNumberFormat="1"/>
    <xf numFmtId="166" fontId="0" fillId="0" borderId="0" xfId="0" applyNumberFormat="1"/>
    <xf numFmtId="165" fontId="0" fillId="0" borderId="0" xfId="0" applyNumberFormat="1"/>
    <xf numFmtId="9" fontId="0" fillId="0" borderId="0" xfId="0" applyNumberFormat="1"/>
    <xf numFmtId="0" fontId="80" fillId="0" borderId="0" xfId="0" applyFont="1"/>
    <xf numFmtId="0" fontId="81" fillId="0" borderId="0" xfId="0" applyFont="1"/>
    <xf numFmtId="3" fontId="78" fillId="29" borderId="0" xfId="0" applyNumberFormat="1" applyFont="1" applyFill="1"/>
    <xf numFmtId="166" fontId="78" fillId="29" borderId="0" xfId="0" applyNumberFormat="1" applyFont="1" applyFill="1"/>
    <xf numFmtId="165" fontId="78" fillId="29" borderId="0" xfId="0" applyNumberFormat="1" applyFont="1" applyFill="1"/>
    <xf numFmtId="9" fontId="78" fillId="29" borderId="0" xfId="0" applyNumberFormat="1" applyFont="1" applyFill="1"/>
    <xf numFmtId="0" fontId="9" fillId="0" borderId="2" xfId="0" applyFont="1" applyBorder="1" applyAlignment="1">
      <alignment horizontal="left" vertical="center" wrapText="1"/>
    </xf>
    <xf numFmtId="0" fontId="41" fillId="0" borderId="1" xfId="0" applyFont="1" applyBorder="1" applyAlignment="1">
      <alignment wrapText="1"/>
    </xf>
    <xf numFmtId="0" fontId="41" fillId="0" borderId="60" xfId="0" applyFont="1" applyBorder="1" applyAlignment="1">
      <alignment wrapText="1"/>
    </xf>
    <xf numFmtId="0" fontId="44" fillId="18" borderId="41" xfId="0" applyFont="1" applyFill="1" applyBorder="1" applyAlignment="1">
      <alignment vertical="top" wrapText="1"/>
    </xf>
    <xf numFmtId="0" fontId="42" fillId="15" borderId="2" xfId="0" applyFont="1" applyFill="1" applyBorder="1" applyAlignment="1">
      <alignment horizontal="left" vertical="center"/>
    </xf>
    <xf numFmtId="0" fontId="54" fillId="18" borderId="2" xfId="0" applyFont="1" applyFill="1" applyBorder="1" applyAlignment="1">
      <alignment horizontal="left" vertical="center" wrapText="1"/>
    </xf>
    <xf numFmtId="0" fontId="54" fillId="18" borderId="37" xfId="0" applyFont="1" applyFill="1" applyBorder="1" applyAlignment="1">
      <alignment horizontal="left" vertical="center" wrapText="1"/>
    </xf>
    <xf numFmtId="0" fontId="11" fillId="15" borderId="2" xfId="0" applyFont="1" applyFill="1" applyBorder="1" applyAlignment="1">
      <alignment horizontal="left" vertical="center"/>
    </xf>
    <xf numFmtId="0" fontId="21" fillId="15" borderId="0" xfId="0" applyFont="1" applyFill="1" applyAlignment="1">
      <alignment horizontal="center" vertical="center"/>
    </xf>
    <xf numFmtId="0" fontId="11" fillId="2" borderId="2" xfId="0" applyFont="1" applyFill="1" applyBorder="1" applyAlignment="1">
      <alignment horizontal="left" vertical="center"/>
    </xf>
    <xf numFmtId="14" fontId="9" fillId="0" borderId="2" xfId="0" applyNumberFormat="1" applyFont="1" applyBorder="1" applyAlignment="1">
      <alignment horizontal="left" vertical="center" wrapText="1"/>
    </xf>
    <xf numFmtId="0" fontId="9" fillId="0" borderId="37" xfId="0" applyFont="1" applyBorder="1" applyAlignment="1">
      <alignment horizontal="left" vertical="center" wrapText="1"/>
    </xf>
    <xf numFmtId="14" fontId="9" fillId="0" borderId="2" xfId="0" applyNumberFormat="1" applyFont="1" applyBorder="1" applyAlignment="1">
      <alignment horizontal="left" vertical="center"/>
    </xf>
    <xf numFmtId="0" fontId="9" fillId="0" borderId="37" xfId="0" applyFont="1" applyBorder="1" applyAlignment="1">
      <alignment horizontal="left" vertical="center"/>
    </xf>
    <xf numFmtId="0" fontId="9" fillId="0" borderId="2" xfId="0" applyFont="1" applyBorder="1" applyAlignment="1">
      <alignment horizontal="left" vertical="center"/>
    </xf>
    <xf numFmtId="0" fontId="28" fillId="22" borderId="37" xfId="0" applyFont="1" applyFill="1" applyBorder="1" applyAlignment="1">
      <alignment horizontal="left" wrapText="1"/>
    </xf>
    <xf numFmtId="0" fontId="13" fillId="0" borderId="3" xfId="1" applyFont="1" applyBorder="1" applyAlignment="1">
      <alignment horizontal="left" vertical="center"/>
    </xf>
    <xf numFmtId="0" fontId="13" fillId="0" borderId="3" xfId="1" applyFont="1" applyBorder="1" applyAlignment="1">
      <alignment horizontal="left" vertical="center" wrapText="1"/>
    </xf>
    <xf numFmtId="0" fontId="13" fillId="0" borderId="14" xfId="1" applyFont="1" applyBorder="1" applyAlignment="1">
      <alignment horizontal="left" vertical="center" wrapText="1"/>
    </xf>
    <xf numFmtId="0" fontId="13" fillId="0" borderId="13" xfId="1" applyFont="1" applyBorder="1" applyAlignment="1">
      <alignment horizontal="left" vertical="center" wrapText="1"/>
    </xf>
    <xf numFmtId="14" fontId="13" fillId="0" borderId="12" xfId="1" applyNumberFormat="1" applyFont="1" applyBorder="1" applyAlignment="1">
      <alignment horizontal="center"/>
    </xf>
    <xf numFmtId="14" fontId="13" fillId="0" borderId="13" xfId="1" applyNumberFormat="1" applyFont="1" applyBorder="1" applyAlignment="1">
      <alignment horizontal="center"/>
    </xf>
    <xf numFmtId="0" fontId="12" fillId="14" borderId="3" xfId="1" applyFont="1" applyFill="1" applyBorder="1" applyAlignment="1">
      <alignment horizontal="center" vertical="center"/>
    </xf>
    <xf numFmtId="14" fontId="13" fillId="0" borderId="3" xfId="1" applyNumberFormat="1" applyFont="1" applyBorder="1" applyAlignment="1">
      <alignment horizontal="left" vertical="center"/>
    </xf>
    <xf numFmtId="0" fontId="13" fillId="0" borderId="3" xfId="1" applyFont="1" applyBorder="1" applyAlignment="1">
      <alignment horizontal="center" vertical="center" wrapText="1"/>
    </xf>
    <xf numFmtId="0" fontId="13" fillId="0" borderId="3" xfId="1" applyFont="1" applyBorder="1" applyAlignment="1">
      <alignment horizontal="center" vertical="center"/>
    </xf>
    <xf numFmtId="0" fontId="5" fillId="13" borderId="4" xfId="0" applyFont="1" applyFill="1" applyBorder="1" applyAlignment="1">
      <alignment horizontal="center" vertical="center"/>
    </xf>
    <xf numFmtId="0" fontId="5" fillId="13" borderId="5" xfId="0" applyFont="1" applyFill="1" applyBorder="1" applyAlignment="1">
      <alignment horizontal="center" vertical="center"/>
    </xf>
    <xf numFmtId="0" fontId="5" fillId="13" borderId="6" xfId="0" applyFont="1" applyFill="1" applyBorder="1" applyAlignment="1">
      <alignment horizontal="center" vertical="center"/>
    </xf>
    <xf numFmtId="0" fontId="5" fillId="13" borderId="7" xfId="0" applyFont="1" applyFill="1" applyBorder="1" applyAlignment="1">
      <alignment horizontal="center" vertical="center"/>
    </xf>
    <xf numFmtId="0" fontId="5" fillId="13" borderId="8" xfId="0" applyFont="1" applyFill="1" applyBorder="1" applyAlignment="1">
      <alignment horizontal="center" vertical="center"/>
    </xf>
    <xf numFmtId="0" fontId="5" fillId="13" borderId="9" xfId="0" applyFont="1" applyFill="1" applyBorder="1" applyAlignment="1">
      <alignment horizontal="center" vertical="center"/>
    </xf>
    <xf numFmtId="0" fontId="6" fillId="0" borderId="4" xfId="0" applyFont="1" applyBorder="1" applyAlignment="1">
      <alignment horizontal="center" vertical="center"/>
    </xf>
    <xf numFmtId="0" fontId="6" fillId="0" borderId="10" xfId="0" applyFont="1" applyBorder="1" applyAlignment="1">
      <alignment horizontal="center"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4" fillId="0" borderId="19" xfId="0" applyFont="1" applyBorder="1" applyAlignment="1">
      <alignment horizontal="center"/>
    </xf>
    <xf numFmtId="0" fontId="4" fillId="0" borderId="20" xfId="0" applyFont="1" applyBorder="1" applyAlignment="1">
      <alignment horizontal="center"/>
    </xf>
    <xf numFmtId="0" fontId="4" fillId="0" borderId="21" xfId="0" applyFont="1" applyBorder="1" applyAlignment="1">
      <alignment horizontal="center"/>
    </xf>
    <xf numFmtId="0" fontId="4" fillId="0" borderId="22" xfId="0" applyFont="1" applyBorder="1" applyAlignment="1">
      <alignment horizontal="center"/>
    </xf>
    <xf numFmtId="0" fontId="4" fillId="0" borderId="23" xfId="0" applyFont="1" applyBorder="1" applyAlignment="1">
      <alignment horizontal="center"/>
    </xf>
    <xf numFmtId="0" fontId="4" fillId="0" borderId="24" xfId="0" applyFont="1" applyBorder="1" applyAlignment="1">
      <alignment horizontal="center"/>
    </xf>
    <xf numFmtId="0" fontId="6" fillId="0" borderId="19" xfId="0" applyFont="1" applyBorder="1" applyAlignment="1">
      <alignment horizontal="center" vertical="center"/>
    </xf>
    <xf numFmtId="0" fontId="6" fillId="0" borderId="25" xfId="0" applyFont="1" applyBorder="1" applyAlignment="1">
      <alignment horizontal="center" vertical="center"/>
    </xf>
    <xf numFmtId="0" fontId="7" fillId="0" borderId="21" xfId="0" applyFont="1" applyBorder="1" applyAlignment="1">
      <alignment horizontal="center" vertical="center" wrapText="1"/>
    </xf>
    <xf numFmtId="0" fontId="7" fillId="0" borderId="0" xfId="0" applyFont="1" applyAlignment="1">
      <alignment horizontal="center" vertical="center" wrapText="1"/>
    </xf>
    <xf numFmtId="0" fontId="25" fillId="0" borderId="23" xfId="0" applyFont="1" applyBorder="1" applyAlignment="1">
      <alignment horizontal="center" vertical="center"/>
    </xf>
    <xf numFmtId="0" fontId="8" fillId="0" borderId="28" xfId="0" applyFont="1" applyBorder="1" applyAlignment="1">
      <alignment horizontal="center" vertical="center"/>
    </xf>
    <xf numFmtId="0" fontId="27" fillId="0" borderId="38" xfId="0" applyFont="1" applyBorder="1" applyAlignment="1">
      <alignment horizontal="left" vertical="center" wrapText="1"/>
    </xf>
    <xf numFmtId="0" fontId="27" fillId="0" borderId="39" xfId="0" applyFont="1" applyBorder="1" applyAlignment="1">
      <alignment horizontal="left" vertical="center" wrapText="1"/>
    </xf>
    <xf numFmtId="0" fontId="27" fillId="0" borderId="40" xfId="0" applyFont="1" applyBorder="1" applyAlignment="1">
      <alignment horizontal="left" vertical="center" wrapText="1"/>
    </xf>
    <xf numFmtId="0" fontId="59" fillId="16" borderId="0" xfId="0" applyFont="1" applyFill="1" applyAlignment="1">
      <alignment wrapText="1"/>
    </xf>
    <xf numFmtId="0" fontId="35" fillId="15" borderId="0" xfId="0" applyFont="1" applyFill="1" applyAlignment="1">
      <alignment wrapText="1"/>
    </xf>
    <xf numFmtId="0" fontId="50" fillId="0" borderId="23" xfId="0" applyFont="1" applyBorder="1" applyAlignment="1">
      <alignment horizontal="center" wrapText="1"/>
    </xf>
    <xf numFmtId="0" fontId="1" fillId="0" borderId="28" xfId="0" applyFont="1" applyBorder="1" applyAlignment="1">
      <alignment horizontal="center" wrapText="1"/>
    </xf>
    <xf numFmtId="0" fontId="1" fillId="0" borderId="24" xfId="0" applyFont="1" applyBorder="1" applyAlignment="1">
      <alignment horizontal="center" wrapText="1"/>
    </xf>
    <xf numFmtId="0" fontId="50" fillId="0" borderId="25" xfId="0" applyFont="1" applyBorder="1" applyAlignment="1">
      <alignment horizontal="center" wrapText="1"/>
    </xf>
    <xf numFmtId="0" fontId="1" fillId="0" borderId="20" xfId="0" applyFont="1" applyBorder="1" applyAlignment="1">
      <alignment horizontal="center" wrapText="1"/>
    </xf>
    <xf numFmtId="0" fontId="1" fillId="0" borderId="0" xfId="0" applyFont="1" applyAlignment="1">
      <alignment horizontal="center" wrapText="1"/>
    </xf>
    <xf numFmtId="0" fontId="1" fillId="0" borderId="22" xfId="0" applyFont="1" applyBorder="1" applyAlignment="1">
      <alignment horizontal="center" wrapText="1"/>
    </xf>
    <xf numFmtId="0" fontId="1" fillId="0" borderId="19" xfId="0" applyFont="1" applyBorder="1" applyAlignment="1">
      <alignment horizontal="center" wrapText="1"/>
    </xf>
    <xf numFmtId="0" fontId="1" fillId="0" borderId="21" xfId="0" applyFont="1" applyBorder="1" applyAlignment="1">
      <alignment horizontal="center" wrapText="1"/>
    </xf>
    <xf numFmtId="0" fontId="1" fillId="0" borderId="23" xfId="0" applyFont="1" applyBorder="1" applyAlignment="1">
      <alignment horizontal="center" wrapText="1"/>
    </xf>
    <xf numFmtId="0" fontId="49" fillId="0" borderId="19" xfId="0" applyFont="1" applyBorder="1" applyAlignment="1">
      <alignment horizontal="center" vertical="center" wrapText="1"/>
    </xf>
    <xf numFmtId="0" fontId="49" fillId="0" borderId="25" xfId="0" applyFont="1" applyBorder="1" applyAlignment="1">
      <alignment horizontal="center" vertical="center" wrapText="1"/>
    </xf>
    <xf numFmtId="0" fontId="49" fillId="0" borderId="20" xfId="0" applyFont="1" applyBorder="1" applyAlignment="1">
      <alignment horizontal="center" vertical="center" wrapText="1"/>
    </xf>
    <xf numFmtId="0" fontId="51" fillId="0" borderId="21" xfId="0" applyFont="1" applyBorder="1" applyAlignment="1">
      <alignment horizontal="center" wrapText="1"/>
    </xf>
    <xf numFmtId="0" fontId="51" fillId="0" borderId="0" xfId="0" applyFont="1" applyAlignment="1">
      <alignment horizontal="center" wrapText="1"/>
    </xf>
    <xf numFmtId="0" fontId="51" fillId="0" borderId="22" xfId="0" applyFont="1" applyBorder="1" applyAlignment="1">
      <alignment horizontal="center" wrapText="1"/>
    </xf>
    <xf numFmtId="0" fontId="48" fillId="16" borderId="0" xfId="0" applyFont="1" applyFill="1" applyAlignment="1">
      <alignment wrapText="1"/>
    </xf>
    <xf numFmtId="0" fontId="4" fillId="0" borderId="30" xfId="0" applyFont="1" applyBorder="1" applyAlignment="1">
      <alignment horizontal="center" wrapText="1"/>
    </xf>
    <xf numFmtId="0" fontId="4" fillId="0" borderId="31" xfId="0" applyFont="1" applyBorder="1" applyAlignment="1">
      <alignment horizontal="center" wrapText="1"/>
    </xf>
    <xf numFmtId="0" fontId="4" fillId="0" borderId="18" xfId="0" applyFont="1" applyBorder="1" applyAlignment="1">
      <alignment horizontal="center" wrapText="1"/>
    </xf>
    <xf numFmtId="0" fontId="4" fillId="0" borderId="0" xfId="0" applyFont="1" applyAlignment="1">
      <alignment horizontal="center" wrapText="1"/>
    </xf>
    <xf numFmtId="0" fontId="4" fillId="0" borderId="34" xfId="0" applyFont="1" applyBorder="1" applyAlignment="1">
      <alignment horizontal="center" wrapText="1"/>
    </xf>
    <xf numFmtId="0" fontId="4" fillId="0" borderId="35" xfId="0" applyFont="1" applyBorder="1" applyAlignment="1">
      <alignment horizontal="center" wrapText="1"/>
    </xf>
    <xf numFmtId="0" fontId="30" fillId="0" borderId="31" xfId="0" applyFont="1" applyBorder="1" applyAlignment="1">
      <alignment horizontal="center" wrapText="1"/>
    </xf>
    <xf numFmtId="0" fontId="4" fillId="0" borderId="32" xfId="0" applyFont="1" applyBorder="1" applyAlignment="1">
      <alignment horizontal="center" wrapText="1"/>
    </xf>
    <xf numFmtId="0" fontId="4" fillId="0" borderId="33" xfId="0" applyFont="1" applyBorder="1" applyAlignment="1">
      <alignment horizontal="center" wrapText="1"/>
    </xf>
    <xf numFmtId="0" fontId="4" fillId="0" borderId="36" xfId="0" applyFont="1" applyBorder="1" applyAlignment="1">
      <alignment horizont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32" xfId="0" applyFont="1" applyBorder="1" applyAlignment="1">
      <alignment horizontal="center" vertical="center" wrapText="1"/>
    </xf>
    <xf numFmtId="0" fontId="28" fillId="0" borderId="18" xfId="0" applyFont="1" applyBorder="1" applyAlignment="1">
      <alignment horizontal="center" wrapText="1"/>
    </xf>
    <xf numFmtId="0" fontId="28" fillId="0" borderId="0" xfId="0" applyFont="1" applyAlignment="1">
      <alignment horizontal="center" wrapText="1"/>
    </xf>
    <xf numFmtId="0" fontId="28" fillId="0" borderId="33" xfId="0" applyFont="1" applyBorder="1" applyAlignment="1">
      <alignment horizontal="center" wrapText="1"/>
    </xf>
    <xf numFmtId="0" fontId="30" fillId="0" borderId="34" xfId="0" applyFont="1" applyBorder="1" applyAlignment="1">
      <alignment horizontal="center" wrapText="1"/>
    </xf>
    <xf numFmtId="0" fontId="27" fillId="0" borderId="2" xfId="0" applyFont="1" applyBorder="1" applyAlignment="1">
      <alignment horizontal="left" vertical="center"/>
    </xf>
    <xf numFmtId="0" fontId="44" fillId="18" borderId="41" xfId="0" applyFont="1" applyFill="1" applyBorder="1" applyAlignment="1">
      <alignment vertical="top"/>
    </xf>
    <xf numFmtId="0" fontId="54" fillId="18" borderId="2" xfId="0" applyFont="1" applyFill="1" applyBorder="1" applyAlignment="1">
      <alignment horizontal="left" vertical="center"/>
    </xf>
    <xf numFmtId="0" fontId="54" fillId="18" borderId="37" xfId="0" applyFont="1" applyFill="1" applyBorder="1" applyAlignment="1">
      <alignment horizontal="left" vertical="center"/>
    </xf>
    <xf numFmtId="0" fontId="28" fillId="22" borderId="37" xfId="0" applyFont="1" applyFill="1" applyBorder="1" applyAlignment="1">
      <alignment horizontal="left"/>
    </xf>
    <xf numFmtId="0" fontId="11" fillId="15" borderId="2" xfId="0" applyFont="1" applyFill="1" applyBorder="1" applyAlignment="1">
      <alignment horizontal="left" vertical="center" wrapText="1"/>
    </xf>
    <xf numFmtId="0" fontId="11" fillId="15" borderId="46" xfId="0" applyFont="1" applyFill="1" applyBorder="1" applyAlignment="1">
      <alignment horizontal="left" vertical="center" wrapText="1"/>
    </xf>
    <xf numFmtId="0" fontId="11" fillId="2" borderId="53" xfId="0" applyFont="1" applyFill="1" applyBorder="1" applyAlignment="1">
      <alignment horizontal="left" vertical="center" wrapText="1"/>
    </xf>
    <xf numFmtId="0" fontId="56" fillId="0" borderId="2" xfId="2" applyBorder="1" applyAlignment="1">
      <alignment horizontal="left" vertical="center"/>
    </xf>
    <xf numFmtId="0" fontId="11" fillId="16" borderId="51" xfId="0" applyFont="1" applyFill="1" applyBorder="1" applyAlignment="1">
      <alignment horizontal="left" vertical="center" wrapText="1"/>
    </xf>
    <xf numFmtId="0" fontId="11" fillId="16" borderId="52" xfId="0" applyFont="1" applyFill="1" applyBorder="1" applyAlignment="1">
      <alignment horizontal="left" vertical="center" wrapText="1"/>
    </xf>
    <xf numFmtId="0" fontId="9" fillId="0" borderId="2" xfId="0" applyFont="1" applyBorder="1" applyAlignment="1">
      <alignment horizontal="center" vertical="center"/>
    </xf>
    <xf numFmtId="0" fontId="9" fillId="0" borderId="37" xfId="0" applyFont="1" applyBorder="1" applyAlignment="1">
      <alignment horizontal="center" vertical="center"/>
    </xf>
    <xf numFmtId="0" fontId="56" fillId="0" borderId="1" xfId="2" applyBorder="1" applyAlignment="1">
      <alignment wrapText="1"/>
    </xf>
    <xf numFmtId="0" fontId="11" fillId="15" borderId="37" xfId="0" applyFont="1" applyFill="1" applyBorder="1" applyAlignment="1">
      <alignment horizontal="left" vertical="center"/>
    </xf>
    <xf numFmtId="0" fontId="10" fillId="3" borderId="2" xfId="0" applyFont="1" applyFill="1" applyBorder="1" applyAlignment="1">
      <alignment horizontal="center" vertical="center" wrapText="1"/>
    </xf>
    <xf numFmtId="0" fontId="10" fillId="3" borderId="37" xfId="0" applyFont="1" applyFill="1" applyBorder="1" applyAlignment="1">
      <alignment horizontal="center" vertical="center" wrapText="1"/>
    </xf>
    <xf numFmtId="0" fontId="11" fillId="2" borderId="46" xfId="0" applyFont="1" applyFill="1" applyBorder="1" applyAlignment="1">
      <alignment horizontal="left" vertical="center"/>
    </xf>
    <xf numFmtId="2" fontId="41" fillId="0" borderId="1" xfId="0" applyNumberFormat="1" applyFont="1" applyBorder="1" applyAlignment="1">
      <alignment horizontal="left" wrapText="1"/>
    </xf>
    <xf numFmtId="2" fontId="41" fillId="0" borderId="60" xfId="0" applyNumberFormat="1" applyFont="1" applyBorder="1" applyAlignment="1">
      <alignment horizontal="left" wrapText="1"/>
    </xf>
    <xf numFmtId="0" fontId="44" fillId="18" borderId="54" xfId="0" applyFont="1" applyFill="1" applyBorder="1" applyAlignment="1">
      <alignment vertical="top" wrapText="1"/>
    </xf>
    <xf numFmtId="0" fontId="44" fillId="18" borderId="55" xfId="0" applyFont="1" applyFill="1" applyBorder="1" applyAlignment="1">
      <alignment vertical="top" wrapText="1"/>
    </xf>
    <xf numFmtId="0" fontId="44" fillId="18" borderId="56" xfId="0" applyFont="1" applyFill="1" applyBorder="1" applyAlignment="1">
      <alignment vertical="top" wrapText="1"/>
    </xf>
    <xf numFmtId="0" fontId="42" fillId="15" borderId="38" xfId="0" applyFont="1" applyFill="1" applyBorder="1" applyAlignment="1">
      <alignment horizontal="left" vertical="center"/>
    </xf>
    <xf numFmtId="0" fontId="42" fillId="15" borderId="39" xfId="0" applyFont="1" applyFill="1" applyBorder="1" applyAlignment="1">
      <alignment horizontal="left" vertical="center"/>
    </xf>
    <xf numFmtId="0" fontId="54" fillId="18" borderId="57" xfId="0" applyFont="1" applyFill="1" applyBorder="1" applyAlignment="1">
      <alignment horizontal="left" vertical="center" wrapText="1"/>
    </xf>
    <xf numFmtId="0" fontId="54" fillId="18" borderId="55" xfId="0" applyFont="1" applyFill="1" applyBorder="1" applyAlignment="1">
      <alignment horizontal="left" vertical="center" wrapText="1"/>
    </xf>
    <xf numFmtId="0" fontId="9" fillId="0" borderId="2" xfId="0" applyFont="1" applyBorder="1" applyAlignment="1">
      <alignment vertical="center" wrapText="1"/>
    </xf>
    <xf numFmtId="0" fontId="9" fillId="0" borderId="37" xfId="0" applyFont="1" applyBorder="1" applyAlignment="1">
      <alignment vertical="center" wrapText="1"/>
    </xf>
    <xf numFmtId="0" fontId="9" fillId="0" borderId="61" xfId="0" applyFont="1" applyBorder="1" applyAlignment="1">
      <alignment vertical="center" wrapText="1"/>
    </xf>
    <xf numFmtId="17" fontId="41" fillId="0" borderId="1" xfId="0" applyNumberFormat="1" applyFont="1" applyBorder="1" applyAlignment="1">
      <alignment wrapText="1"/>
    </xf>
    <xf numFmtId="0" fontId="31" fillId="15" borderId="0" xfId="0" applyFont="1" applyFill="1" applyAlignment="1">
      <alignment horizontal="center" vertical="center"/>
    </xf>
    <xf numFmtId="0" fontId="22" fillId="0" borderId="0" xfId="0" applyFont="1" applyAlignment="1">
      <alignment horizontal="center" vertical="center"/>
    </xf>
    <xf numFmtId="0" fontId="56" fillId="0" borderId="38" xfId="2" applyBorder="1" applyAlignment="1">
      <alignment horizontal="left" vertical="center"/>
    </xf>
    <xf numFmtId="0" fontId="9" fillId="0" borderId="61" xfId="0" applyFont="1" applyBorder="1" applyAlignment="1">
      <alignment horizontal="left" vertical="center"/>
    </xf>
    <xf numFmtId="14" fontId="64" fillId="0" borderId="1" xfId="0" applyNumberFormat="1" applyFont="1" applyBorder="1" applyAlignment="1">
      <alignment horizontal="left" vertical="center" wrapText="1"/>
    </xf>
    <xf numFmtId="14" fontId="64" fillId="0" borderId="2" xfId="0" applyNumberFormat="1" applyFont="1" applyBorder="1" applyAlignment="1">
      <alignment horizontal="left" vertical="center" wrapText="1"/>
    </xf>
    <xf numFmtId="0" fontId="64" fillId="0" borderId="1" xfId="0" applyFont="1" applyBorder="1" applyAlignment="1">
      <alignment vertical="center" wrapText="1"/>
    </xf>
    <xf numFmtId="0" fontId="64" fillId="0" borderId="60" xfId="0" applyFont="1" applyBorder="1" applyAlignment="1">
      <alignment vertical="center" wrapText="1"/>
    </xf>
    <xf numFmtId="0" fontId="41" fillId="0" borderId="1" xfId="0" applyFont="1" applyBorder="1" applyAlignment="1">
      <alignment horizontal="left" wrapText="1"/>
    </xf>
    <xf numFmtId="0" fontId="41" fillId="0" borderId="60" xfId="0" applyFont="1" applyBorder="1" applyAlignment="1">
      <alignment horizontal="left" wrapText="1"/>
    </xf>
    <xf numFmtId="0" fontId="41" fillId="0" borderId="49" xfId="0" applyFont="1" applyBorder="1" applyAlignment="1">
      <alignment horizontal="left" wrapText="1"/>
    </xf>
    <xf numFmtId="0" fontId="56" fillId="0" borderId="1" xfId="2" applyBorder="1" applyAlignment="1">
      <alignment horizontal="left" wrapText="1"/>
    </xf>
    <xf numFmtId="0" fontId="41" fillId="0" borderId="48" xfId="0" applyFont="1" applyBorder="1" applyAlignment="1">
      <alignment horizontal="left" wrapText="1"/>
    </xf>
    <xf numFmtId="0" fontId="41" fillId="0" borderId="58" xfId="0" applyFont="1" applyBorder="1" applyAlignment="1">
      <alignment horizontal="left" wrapText="1"/>
    </xf>
    <xf numFmtId="0" fontId="41" fillId="0" borderId="59" xfId="0" applyFont="1" applyBorder="1" applyAlignment="1">
      <alignment horizontal="left" wrapText="1"/>
    </xf>
    <xf numFmtId="0" fontId="11" fillId="15" borderId="38" xfId="0" applyFont="1" applyFill="1" applyBorder="1" applyAlignment="1">
      <alignment horizontal="left" vertical="center"/>
    </xf>
    <xf numFmtId="14" fontId="64" fillId="0" borderId="49" xfId="0" applyNumberFormat="1" applyFont="1" applyBorder="1" applyAlignment="1">
      <alignment horizontal="left" vertical="center" wrapText="1"/>
    </xf>
    <xf numFmtId="0" fontId="64" fillId="0" borderId="1" xfId="0" applyFont="1" applyBorder="1" applyAlignment="1">
      <alignment horizontal="left" vertical="center" wrapText="1"/>
    </xf>
    <xf numFmtId="0" fontId="64" fillId="0" borderId="49" xfId="0" applyFont="1" applyBorder="1" applyAlignment="1">
      <alignment horizontal="left" vertical="center" wrapText="1"/>
    </xf>
    <xf numFmtId="0" fontId="9" fillId="0" borderId="2" xfId="0" applyFont="1" applyBorder="1" applyAlignment="1">
      <alignment horizontal="center" vertical="center" wrapText="1"/>
    </xf>
    <xf numFmtId="0" fontId="9" fillId="0" borderId="37" xfId="0" applyFont="1" applyBorder="1" applyAlignment="1">
      <alignment horizontal="center" vertical="center" wrapText="1"/>
    </xf>
    <xf numFmtId="0" fontId="41" fillId="0" borderId="49" xfId="0" applyFont="1" applyBorder="1" applyAlignment="1">
      <alignment wrapText="1"/>
    </xf>
    <xf numFmtId="0" fontId="41" fillId="0" borderId="48" xfId="0" applyFont="1" applyBorder="1" applyAlignment="1">
      <alignment wrapText="1"/>
    </xf>
    <xf numFmtId="0" fontId="41" fillId="0" borderId="58" xfId="0" applyFont="1" applyBorder="1" applyAlignment="1">
      <alignment wrapText="1"/>
    </xf>
    <xf numFmtId="0" fontId="41" fillId="0" borderId="59" xfId="0" applyFont="1" applyBorder="1" applyAlignment="1">
      <alignment wrapText="1"/>
    </xf>
    <xf numFmtId="17" fontId="9" fillId="0" borderId="2" xfId="0" applyNumberFormat="1" applyFont="1" applyBorder="1" applyAlignment="1">
      <alignment horizontal="left" vertical="center" wrapText="1"/>
    </xf>
    <xf numFmtId="0" fontId="56" fillId="0" borderId="2" xfId="2" applyBorder="1" applyAlignment="1">
      <alignment horizontal="left" vertical="center" wrapText="1"/>
    </xf>
    <xf numFmtId="0" fontId="41" fillId="0" borderId="2" xfId="0" applyFont="1" applyBorder="1" applyAlignment="1">
      <alignment wrapText="1"/>
    </xf>
    <xf numFmtId="0" fontId="41" fillId="0" borderId="47" xfId="0" applyFont="1" applyBorder="1" applyAlignment="1">
      <alignment wrapText="1"/>
    </xf>
    <xf numFmtId="0" fontId="64" fillId="0" borderId="2" xfId="0" applyFont="1" applyBorder="1" applyAlignment="1">
      <alignment horizontal="left" vertical="center" wrapText="1"/>
    </xf>
    <xf numFmtId="0" fontId="41" fillId="0" borderId="2" xfId="0" applyFont="1" applyBorder="1" applyAlignment="1">
      <alignment horizontal="left" wrapText="1"/>
    </xf>
  </cellXfs>
  <cellStyles count="3">
    <cellStyle name="Hyperlink" xfId="2" xr:uid="{00000000-000B-0000-0000-000008000000}"/>
    <cellStyle name="Normal" xfId="0" builtinId="0"/>
    <cellStyle name="Normal 13" xfId="1" xr:uid="{E7444F27-1B4E-4DE7-8C59-EE058D2FBC89}"/>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17490"/>
      <rgbColor rgb="FFB3B3B3"/>
      <rgbColor rgb="FF888888"/>
      <rgbColor rgb="FF9999FF"/>
      <rgbColor rgb="FFA01780"/>
      <rgbColor rgb="FFF2F2F2"/>
      <rgbColor rgb="FFE8F0FB"/>
      <rgbColor rgb="FF660066"/>
      <rgbColor rgb="FFFF8080"/>
      <rgbColor rgb="FF0072BC"/>
      <rgbColor rgb="FFD9D9D9"/>
      <rgbColor rgb="FF000080"/>
      <rgbColor rgb="FFFF00FF"/>
      <rgbColor rgb="FFFFFF00"/>
      <rgbColor rgb="FF00FFFF"/>
      <rgbColor rgb="FF800080"/>
      <rgbColor rgb="FF800000"/>
      <rgbColor rgb="FF1F7A4D"/>
      <rgbColor rgb="FF0000FF"/>
      <rgbColor rgb="FF00CCFF"/>
      <rgbColor rgb="FFE8E8E8"/>
      <rgbColor rgb="FFCCFFCC"/>
      <rgbColor rgb="FFE8E880"/>
      <rgbColor rgb="FF99CCFF"/>
      <rgbColor rgb="FFFF99CC"/>
      <rgbColor rgb="FFCC99FF"/>
      <rgbColor rgb="FFFFCC99"/>
      <rgbColor rgb="FF3366FF"/>
      <rgbColor rgb="FF33CCCC"/>
      <rgbColor rgb="FF99CC00"/>
      <rgbColor rgb="FFFFCC00"/>
      <rgbColor rgb="FFD4A017"/>
      <rgbColor rgb="FFE07B26"/>
      <rgbColor rgb="FF666699"/>
      <rgbColor rgb="FF749080"/>
      <rgbColor rgb="FF132346"/>
      <rgbColor rgb="FF339966"/>
      <rgbColor rgb="FF003300"/>
      <rgbColor rgb="FF333300"/>
      <rgbColor rgb="FFC0392B"/>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Madurez actual vs Meta N3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ChartData!$L$2</c:f>
              <c:strCache>
                <c:ptCount val="1"/>
                <c:pt idx="0">
                  <c:v>Madurez</c:v>
                </c:pt>
              </c:strCache>
            </c:strRef>
          </c:tx>
          <c:spPr>
            <a:solidFill>
              <a:schemeClr val="accent1"/>
            </a:solidFill>
            <a:ln>
              <a:noFill/>
            </a:ln>
            <a:effectLst/>
          </c:spPr>
          <c:invertIfNegative val="0"/>
          <c:cat>
            <c:strRef>
              <c:f>ChartData!$K$3:$K$14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ChartData!$L$3:$L$14</c:f>
              <c:numCache>
                <c:formatCode>General</c:formatCode>
                <c:ptCount val="12"/>
                <c:pt idx="0">
                  <c:v>2</c:v>
                </c:pt>
                <c:pt idx="1">
                  <c:v>2</c:v>
                </c:pt>
                <c:pt idx="2">
                  <c:v>2</c:v>
                </c:pt>
                <c:pt idx="3">
                  <c:v>2</c:v>
                </c:pt>
                <c:pt idx="4">
                  <c:v>1</c:v>
                </c:pt>
                <c:pt idx="5">
                  <c:v>0</c:v>
                </c:pt>
                <c:pt idx="6">
                  <c:v>1</c:v>
                </c:pt>
                <c:pt idx="7">
                  <c:v>1</c:v>
                </c:pt>
                <c:pt idx="8">
                  <c:v>1</c:v>
                </c:pt>
                <c:pt idx="9">
                  <c:v>1</c:v>
                </c:pt>
                <c:pt idx="10">
                  <c:v>2</c:v>
                </c:pt>
                <c:pt idx="11">
                  <c:v>0</c:v>
                </c:pt>
              </c:numCache>
            </c:numRef>
          </c:val>
          <c:extLst>
            <c:ext xmlns:c16="http://schemas.microsoft.com/office/drawing/2014/chart" uri="{C3380CC4-5D6E-409C-BE32-E72D297353CC}">
              <c16:uniqueId val="{00000001-FA6E-48CB-AE95-C221FCA6F7A0}"/>
            </c:ext>
          </c:extLst>
        </c:ser>
        <c:ser>
          <c:idx val="1"/>
          <c:order val="1"/>
          <c:tx>
            <c:strRef>
              <c:f>ChartData!$M$2</c:f>
              <c:strCache>
                <c:ptCount val="1"/>
                <c:pt idx="0">
                  <c:v>Meta</c:v>
                </c:pt>
              </c:strCache>
            </c:strRef>
          </c:tx>
          <c:spPr>
            <a:solidFill>
              <a:schemeClr val="accent2"/>
            </a:solidFill>
            <a:ln>
              <a:noFill/>
            </a:ln>
            <a:effectLst/>
          </c:spPr>
          <c:invertIfNegative val="0"/>
          <c:cat>
            <c:strRef>
              <c:f>ChartData!$K$3:$K$14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ChartData!$M$3:$M$14</c:f>
              <c:numCache>
                <c:formatCode>General</c:formatCode>
                <c:ptCount val="12"/>
                <c:pt idx="0">
                  <c:v>3</c:v>
                </c:pt>
                <c:pt idx="1">
                  <c:v>3</c:v>
                </c:pt>
                <c:pt idx="2">
                  <c:v>3</c:v>
                </c:pt>
                <c:pt idx="3">
                  <c:v>3</c:v>
                </c:pt>
                <c:pt idx="4">
                  <c:v>3</c:v>
                </c:pt>
                <c:pt idx="5">
                  <c:v>3</c:v>
                </c:pt>
                <c:pt idx="6">
                  <c:v>3</c:v>
                </c:pt>
                <c:pt idx="7">
                  <c:v>3</c:v>
                </c:pt>
                <c:pt idx="8">
                  <c:v>3</c:v>
                </c:pt>
                <c:pt idx="9">
                  <c:v>3</c:v>
                </c:pt>
                <c:pt idx="10">
                  <c:v>3</c:v>
                </c:pt>
                <c:pt idx="11">
                  <c:v>3</c:v>
                </c:pt>
              </c:numCache>
            </c:numRef>
          </c:val>
          <c:extLst>
            <c:ext xmlns:c16="http://schemas.microsoft.com/office/drawing/2014/chart" uri="{C3380CC4-5D6E-409C-BE32-E72D297353CC}">
              <c16:uniqueId val="{00000003-FA6E-48CB-AE95-C221FCA6F7A0}"/>
            </c:ext>
          </c:extLst>
        </c:ser>
        <c:dLbls>
          <c:showLegendKey val="0"/>
          <c:showVal val="0"/>
          <c:showCatName val="0"/>
          <c:showSerName val="0"/>
          <c:showPercent val="0"/>
          <c:showBubbleSize val="0"/>
        </c:dLbls>
        <c:gapWidth val="219"/>
        <c:overlap val="-27"/>
        <c:axId val="728014343"/>
        <c:axId val="728028679"/>
      </c:barChart>
      <c:catAx>
        <c:axId val="728014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28679"/>
        <c:crosses val="autoZero"/>
        <c:auto val="1"/>
        <c:lblAlgn val="ctr"/>
        <c:lblOffset val="100"/>
        <c:noMultiLvlLbl val="0"/>
      </c:catAx>
      <c:valAx>
        <c:axId val="728028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Nivel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14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Score global ITIL por mesa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ChartData!$U$16</c:f>
              <c:strCache>
                <c:ptCount val="1"/>
                <c:pt idx="0">
                  <c:v>Score Global</c:v>
                </c:pt>
              </c:strCache>
            </c:strRef>
          </c:tx>
          <c:spPr>
            <a:solidFill>
              <a:schemeClr val="accent1"/>
            </a:solidFill>
            <a:ln>
              <a:noFill/>
            </a:ln>
            <a:effectLst/>
          </c:spPr>
          <c:invertIfNegative val="0"/>
          <c:cat>
            <c:strRef>
              <c:f>ChartData!$T$17:$T$28</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ChartData!$U$17:$U$28</c:f>
              <c:numCache>
                <c:formatCode>0.0%</c:formatCode>
                <c:ptCount val="12"/>
                <c:pt idx="0">
                  <c:v>0.52941176470588236</c:v>
                </c:pt>
                <c:pt idx="1">
                  <c:v>0.55882352941176472</c:v>
                </c:pt>
                <c:pt idx="2">
                  <c:v>0.61764705882352944</c:v>
                </c:pt>
                <c:pt idx="3">
                  <c:v>0.58823529411764708</c:v>
                </c:pt>
                <c:pt idx="4">
                  <c:v>0.73529411764705888</c:v>
                </c:pt>
                <c:pt idx="5">
                  <c:v>0.73529411764705888</c:v>
                </c:pt>
                <c:pt idx="6">
                  <c:v>0.73529411764705888</c:v>
                </c:pt>
                <c:pt idx="7">
                  <c:v>0.73529411764705888</c:v>
                </c:pt>
                <c:pt idx="8">
                  <c:v>0.73529411764705888</c:v>
                </c:pt>
                <c:pt idx="9">
                  <c:v>0.29411764705882398</c:v>
                </c:pt>
                <c:pt idx="10">
                  <c:v>0.5</c:v>
                </c:pt>
                <c:pt idx="11" formatCode="General">
                  <c:v>0</c:v>
                </c:pt>
              </c:numCache>
            </c:numRef>
          </c:val>
          <c:extLst>
            <c:ext xmlns:c16="http://schemas.microsoft.com/office/drawing/2014/chart" uri="{C3380CC4-5D6E-409C-BE32-E72D297353CC}">
              <c16:uniqueId val="{00000001-B086-423C-9863-F187C409AC14}"/>
            </c:ext>
          </c:extLst>
        </c:ser>
        <c:dLbls>
          <c:showLegendKey val="0"/>
          <c:showVal val="0"/>
          <c:showCatName val="0"/>
          <c:showSerName val="0"/>
          <c:showPercent val="0"/>
          <c:showBubbleSize val="0"/>
        </c:dLbls>
        <c:gapWidth val="182"/>
        <c:axId val="846236679"/>
        <c:axId val="846238727"/>
      </c:barChart>
      <c:catAx>
        <c:axId val="8462366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238727"/>
        <c:crosses val="autoZero"/>
        <c:auto val="1"/>
        <c:lblAlgn val="ctr"/>
        <c:lblOffset val="100"/>
        <c:noMultiLvlLbl val="0"/>
      </c:catAx>
      <c:valAx>
        <c:axId val="8462387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Score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236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Dolores activos por mesa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ChartData!$O$31</c:f>
              <c:strCache>
                <c:ptCount val="1"/>
                <c:pt idx="0">
                  <c:v>Total dolores D1-D23</c:v>
                </c:pt>
              </c:strCache>
            </c:strRef>
          </c:tx>
          <c:spPr>
            <a:solidFill>
              <a:schemeClr val="accent1"/>
            </a:solidFill>
            <a:ln>
              <a:noFill/>
            </a:ln>
            <a:effectLst/>
          </c:spPr>
          <c:invertIfNegative val="0"/>
          <c:cat>
            <c:strRef>
              <c:f>ChartData!$N$32:$N$43</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ChartData!$O$32:$O$43</c:f>
              <c:numCache>
                <c:formatCode>0.0</c:formatCode>
                <c:ptCount val="12"/>
                <c:pt idx="0">
                  <c:v>13</c:v>
                </c:pt>
                <c:pt idx="1">
                  <c:v>12.5</c:v>
                </c:pt>
                <c:pt idx="2">
                  <c:v>11</c:v>
                </c:pt>
                <c:pt idx="3">
                  <c:v>13</c:v>
                </c:pt>
                <c:pt idx="4">
                  <c:v>9.5</c:v>
                </c:pt>
                <c:pt idx="5">
                  <c:v>9.5</c:v>
                </c:pt>
                <c:pt idx="6">
                  <c:v>9</c:v>
                </c:pt>
                <c:pt idx="7">
                  <c:v>9.5</c:v>
                </c:pt>
                <c:pt idx="8">
                  <c:v>2</c:v>
                </c:pt>
                <c:pt idx="9">
                  <c:v>7</c:v>
                </c:pt>
                <c:pt idx="10">
                  <c:v>16</c:v>
                </c:pt>
                <c:pt idx="11" formatCode="General">
                  <c:v>1</c:v>
                </c:pt>
              </c:numCache>
            </c:numRef>
          </c:val>
          <c:extLst>
            <c:ext xmlns:c16="http://schemas.microsoft.com/office/drawing/2014/chart" uri="{C3380CC4-5D6E-409C-BE32-E72D297353CC}">
              <c16:uniqueId val="{00000001-A27E-447E-A388-01A3B413FC47}"/>
            </c:ext>
          </c:extLst>
        </c:ser>
        <c:dLbls>
          <c:showLegendKey val="0"/>
          <c:showVal val="0"/>
          <c:showCatName val="0"/>
          <c:showSerName val="0"/>
          <c:showPercent val="0"/>
          <c:showBubbleSize val="0"/>
        </c:dLbls>
        <c:gapWidth val="219"/>
        <c:overlap val="-27"/>
        <c:axId val="846554119"/>
        <c:axId val="846556167"/>
      </c:barChart>
      <c:catAx>
        <c:axId val="846554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556167"/>
        <c:crosses val="autoZero"/>
        <c:auto val="1"/>
        <c:lblAlgn val="ctr"/>
        <c:lblOffset val="100"/>
        <c:noMultiLvlLbl val="0"/>
      </c:catAx>
      <c:valAx>
        <c:axId val="846556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Cantidad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554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Benchmark vs promedio mesas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ChartData!$B$52</c:f>
              <c:strCache>
                <c:ptCount val="1"/>
                <c:pt idx="0">
                  <c:v>Benchmark Industria</c:v>
                </c:pt>
              </c:strCache>
            </c:strRef>
          </c:tx>
          <c:spPr>
            <a:solidFill>
              <a:schemeClr val="accent1"/>
            </a:solidFill>
            <a:ln>
              <a:noFill/>
            </a:ln>
            <a:effectLst/>
          </c:spPr>
          <c:invertIfNegative val="0"/>
          <c:cat>
            <c:strRef>
              <c:f>ChartData!$A$53:$A$58</c:f>
              <c:strCache>
                <c:ptCount val="6"/>
                <c:pt idx="0">
                  <c:v>FCR (%)</c:v>
                </c:pt>
                <c:pt idx="1">
                  <c:v>SLA Cumplimiento (%)</c:v>
                </c:pt>
                <c:pt idx="2">
                  <c:v>NPS</c:v>
                </c:pt>
                <c:pt idx="3">
                  <c:v>Rotación anual (%)</c:v>
                </c:pt>
                <c:pt idx="4">
                  <c:v>% Autoservicio</c:v>
                </c:pt>
                <c:pt idx="5">
                  <c:v>Costo/ticket (USD)</c:v>
                </c:pt>
              </c:strCache>
            </c:strRef>
          </c:cat>
          <c:val>
            <c:numRef>
              <c:f>ChartData!$B$53:$B$58</c:f>
              <c:numCache>
                <c:formatCode>0.0%</c:formatCode>
                <c:ptCount val="6"/>
                <c:pt idx="0">
                  <c:v>0.75</c:v>
                </c:pt>
                <c:pt idx="1">
                  <c:v>0.95</c:v>
                </c:pt>
                <c:pt idx="2" formatCode="General">
                  <c:v>45</c:v>
                </c:pt>
                <c:pt idx="3">
                  <c:v>0.15</c:v>
                </c:pt>
                <c:pt idx="4">
                  <c:v>0.2</c:v>
                </c:pt>
                <c:pt idx="5" formatCode="General">
                  <c:v>15</c:v>
                </c:pt>
              </c:numCache>
            </c:numRef>
          </c:val>
          <c:extLst>
            <c:ext xmlns:c16="http://schemas.microsoft.com/office/drawing/2014/chart" uri="{C3380CC4-5D6E-409C-BE32-E72D297353CC}">
              <c16:uniqueId val="{00000001-29B8-4965-91F8-748951455BFC}"/>
            </c:ext>
          </c:extLst>
        </c:ser>
        <c:ser>
          <c:idx val="1"/>
          <c:order val="1"/>
          <c:tx>
            <c:strRef>
              <c:f>ChartData!$C$52</c:f>
              <c:strCache>
                <c:ptCount val="1"/>
                <c:pt idx="0">
                  <c:v>Objetivo Gen Next</c:v>
                </c:pt>
              </c:strCache>
            </c:strRef>
          </c:tx>
          <c:spPr>
            <a:solidFill>
              <a:schemeClr val="accent2"/>
            </a:solidFill>
            <a:ln>
              <a:noFill/>
            </a:ln>
            <a:effectLst/>
          </c:spPr>
          <c:invertIfNegative val="0"/>
          <c:cat>
            <c:strRef>
              <c:f>ChartData!$A$53:$A$58</c:f>
              <c:strCache>
                <c:ptCount val="6"/>
                <c:pt idx="0">
                  <c:v>FCR (%)</c:v>
                </c:pt>
                <c:pt idx="1">
                  <c:v>SLA Cumplimiento (%)</c:v>
                </c:pt>
                <c:pt idx="2">
                  <c:v>NPS</c:v>
                </c:pt>
                <c:pt idx="3">
                  <c:v>Rotación anual (%)</c:v>
                </c:pt>
                <c:pt idx="4">
                  <c:v>% Autoservicio</c:v>
                </c:pt>
                <c:pt idx="5">
                  <c:v>Costo/ticket (USD)</c:v>
                </c:pt>
              </c:strCache>
            </c:strRef>
          </c:cat>
          <c:val>
            <c:numRef>
              <c:f>ChartData!$C$53:$C$58</c:f>
              <c:numCache>
                <c:formatCode>0.0%</c:formatCode>
                <c:ptCount val="6"/>
                <c:pt idx="0">
                  <c:v>0.85</c:v>
                </c:pt>
                <c:pt idx="1">
                  <c:v>0.98</c:v>
                </c:pt>
                <c:pt idx="2" formatCode="General">
                  <c:v>65</c:v>
                </c:pt>
                <c:pt idx="3">
                  <c:v>0.08</c:v>
                </c:pt>
                <c:pt idx="4">
                  <c:v>0.4</c:v>
                </c:pt>
                <c:pt idx="5" formatCode="General">
                  <c:v>8</c:v>
                </c:pt>
              </c:numCache>
            </c:numRef>
          </c:val>
          <c:extLst>
            <c:ext xmlns:c16="http://schemas.microsoft.com/office/drawing/2014/chart" uri="{C3380CC4-5D6E-409C-BE32-E72D297353CC}">
              <c16:uniqueId val="{00000003-29B8-4965-91F8-748951455BFC}"/>
            </c:ext>
          </c:extLst>
        </c:ser>
        <c:ser>
          <c:idx val="2"/>
          <c:order val="2"/>
          <c:tx>
            <c:strRef>
              <c:f>ChartData!$D$52</c:f>
              <c:strCache>
                <c:ptCount val="1"/>
                <c:pt idx="0">
                  <c:v>Promedio Mesas Actuales</c:v>
                </c:pt>
              </c:strCache>
            </c:strRef>
          </c:tx>
          <c:spPr>
            <a:solidFill>
              <a:schemeClr val="accent3"/>
            </a:solidFill>
            <a:ln>
              <a:noFill/>
            </a:ln>
            <a:effectLst/>
          </c:spPr>
          <c:invertIfNegative val="0"/>
          <c:cat>
            <c:strRef>
              <c:f>ChartData!$A$53:$A$58</c:f>
              <c:strCache>
                <c:ptCount val="6"/>
                <c:pt idx="0">
                  <c:v>FCR (%)</c:v>
                </c:pt>
                <c:pt idx="1">
                  <c:v>SLA Cumplimiento (%)</c:v>
                </c:pt>
                <c:pt idx="2">
                  <c:v>NPS</c:v>
                </c:pt>
                <c:pt idx="3">
                  <c:v>Rotación anual (%)</c:v>
                </c:pt>
                <c:pt idx="4">
                  <c:v>% Autoservicio</c:v>
                </c:pt>
                <c:pt idx="5">
                  <c:v>Costo/ticket (USD)</c:v>
                </c:pt>
              </c:strCache>
            </c:strRef>
          </c:cat>
          <c:val>
            <c:numRef>
              <c:f>ChartData!$D$53:$D$58</c:f>
              <c:numCache>
                <c:formatCode>0.0%</c:formatCode>
                <c:ptCount val="6"/>
                <c:pt idx="0">
                  <c:v>0.68</c:v>
                </c:pt>
                <c:pt idx="1">
                  <c:v>0.80599999999999983</c:v>
                </c:pt>
                <c:pt idx="2" formatCode="General">
                  <c:v>0</c:v>
                </c:pt>
                <c:pt idx="3">
                  <c:v>0</c:v>
                </c:pt>
                <c:pt idx="4">
                  <c:v>1.3333333333333334E-2</c:v>
                </c:pt>
                <c:pt idx="5" formatCode="General">
                  <c:v>0</c:v>
                </c:pt>
              </c:numCache>
            </c:numRef>
          </c:val>
          <c:extLst>
            <c:ext xmlns:c16="http://schemas.microsoft.com/office/drawing/2014/chart" uri="{C3380CC4-5D6E-409C-BE32-E72D297353CC}">
              <c16:uniqueId val="{00000005-29B8-4965-91F8-748951455BFC}"/>
            </c:ext>
          </c:extLst>
        </c:ser>
        <c:dLbls>
          <c:showLegendKey val="0"/>
          <c:showVal val="0"/>
          <c:showCatName val="0"/>
          <c:showSerName val="0"/>
          <c:showPercent val="0"/>
          <c:showBubbleSize val="0"/>
        </c:dLbls>
        <c:gapWidth val="219"/>
        <c:overlap val="-27"/>
        <c:axId val="846876167"/>
        <c:axId val="846886407"/>
      </c:barChart>
      <c:catAx>
        <c:axId val="846876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886407"/>
        <c:crosses val="autoZero"/>
        <c:auto val="1"/>
        <c:lblAlgn val="ctr"/>
        <c:lblOffset val="100"/>
        <c:noMultiLvlLbl val="0"/>
      </c:catAx>
      <c:valAx>
        <c:axId val="846886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876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Cobertura promedio por dimensión / bloque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ChartData!$BL$2</c:f>
              <c:strCache>
                <c:ptCount val="1"/>
                <c:pt idx="0">
                  <c:v>Promedio</c:v>
                </c:pt>
              </c:strCache>
            </c:strRef>
          </c:tx>
          <c:spPr>
            <a:solidFill>
              <a:schemeClr val="accent1"/>
            </a:solidFill>
            <a:ln>
              <a:noFill/>
            </a:ln>
            <a:effectLst/>
          </c:spPr>
          <c:invertIfNegative val="0"/>
          <c:cat>
            <c:strRef>
              <c:f>ChartData!$BK$3:$BK$14</c:f>
              <c:strCache>
                <c:ptCount val="12"/>
                <c:pt idx="0">
                  <c:v>① Identificación general</c:v>
                </c:pt>
                <c:pt idx="1">
                  <c:v>② Madurez (normalizada)</c:v>
                </c:pt>
                <c:pt idx="2">
                  <c:v>③ ITIL</c:v>
                </c:pt>
                <c:pt idx="3">
                  <c:v>④ KPIs FCR/SLA</c:v>
                </c:pt>
                <c:pt idx="4">
                  <c:v>④b Incidentes categorizados</c:v>
                </c:pt>
                <c:pt idx="5">
                  <c:v>⑤ XLA/DEX NPS</c:v>
                </c:pt>
                <c:pt idx="6">
                  <c:v>⑥ Dolores activos</c:v>
                </c:pt>
                <c:pt idx="7">
                  <c:v>⑦ Talento</c:v>
                </c:pt>
                <c:pt idx="8">
                  <c:v>⑧ Tecnología</c:v>
                </c:pt>
                <c:pt idx="9">
                  <c:v>⑨ Económico</c:v>
                </c:pt>
                <c:pt idx="10">
                  <c:v>⑩ Visión</c:v>
                </c:pt>
                <c:pt idx="11">
                  <c:v>⑪ Casos éxito</c:v>
                </c:pt>
              </c:strCache>
            </c:strRef>
          </c:cat>
          <c:val>
            <c:numRef>
              <c:f>ChartData!$BL$3:$BL$14</c:f>
              <c:numCache>
                <c:formatCode>0.0%</c:formatCode>
                <c:ptCount val="12"/>
                <c:pt idx="0">
                  <c:v>1.1454545454545455</c:v>
                </c:pt>
                <c:pt idx="1">
                  <c:v>0.27272727272727271</c:v>
                </c:pt>
                <c:pt idx="2">
                  <c:v>0.61497326203208569</c:v>
                </c:pt>
                <c:pt idx="3">
                  <c:v>0.28545454545454541</c:v>
                </c:pt>
                <c:pt idx="4">
                  <c:v>0</c:v>
                </c:pt>
                <c:pt idx="5">
                  <c:v>0</c:v>
                </c:pt>
                <c:pt idx="6">
                  <c:v>1.4545454545454546</c:v>
                </c:pt>
                <c:pt idx="7">
                  <c:v>0.45454545454545453</c:v>
                </c:pt>
                <c:pt idx="8">
                  <c:v>0.34545454545454546</c:v>
                </c:pt>
                <c:pt idx="9">
                  <c:v>0.70129870129870131</c:v>
                </c:pt>
                <c:pt idx="10">
                  <c:v>0.81818181818181823</c:v>
                </c:pt>
                <c:pt idx="11">
                  <c:v>9.9999999999999992E-2</c:v>
                </c:pt>
              </c:numCache>
            </c:numRef>
          </c:val>
          <c:extLst>
            <c:ext xmlns:c16="http://schemas.microsoft.com/office/drawing/2014/chart" uri="{C3380CC4-5D6E-409C-BE32-E72D297353CC}">
              <c16:uniqueId val="{00000001-9FA9-4C89-9830-7549832ADA4E}"/>
            </c:ext>
          </c:extLst>
        </c:ser>
        <c:dLbls>
          <c:showLegendKey val="0"/>
          <c:showVal val="0"/>
          <c:showCatName val="0"/>
          <c:showSerName val="0"/>
          <c:showPercent val="0"/>
          <c:showBubbleSize val="0"/>
        </c:dLbls>
        <c:gapWidth val="182"/>
        <c:axId val="1191789576"/>
        <c:axId val="1191791624"/>
      </c:barChart>
      <c:catAx>
        <c:axId val="11917895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Dimensión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91624"/>
        <c:crosses val="autoZero"/>
        <c:auto val="1"/>
        <c:lblAlgn val="ctr"/>
        <c:lblOffset val="100"/>
        <c:noMultiLvlLbl val="0"/>
      </c:catAx>
      <c:valAx>
        <c:axId val="11917916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 índice normalizado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89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① Identificación general — completitud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ChartData!$Y$2</c:f>
              <c:strCache>
                <c:ptCount val="1"/>
                <c:pt idx="0">
                  <c:v>Completitud</c:v>
                </c:pt>
              </c:strCache>
            </c:strRef>
          </c:tx>
          <c:spPr>
            <a:solidFill>
              <a:schemeClr val="accent1"/>
            </a:solidFill>
            <a:ln>
              <a:noFill/>
            </a:ln>
            <a:effectLst/>
          </c:spPr>
          <c:invertIfNegative val="0"/>
          <c:cat>
            <c:strRef>
              <c:f>ChartData!$X$3:$X$14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ChartData!$Y$3:$Y$14</c:f>
              <c:numCache>
                <c:formatCode>0.0%</c:formatCode>
                <c:ptCount val="12"/>
                <c:pt idx="0">
                  <c:v>1.2666666666666666</c:v>
                </c:pt>
                <c:pt idx="1">
                  <c:v>1.2</c:v>
                </c:pt>
                <c:pt idx="2">
                  <c:v>1.2</c:v>
                </c:pt>
                <c:pt idx="3">
                  <c:v>1.2</c:v>
                </c:pt>
                <c:pt idx="4">
                  <c:v>1</c:v>
                </c:pt>
                <c:pt idx="5">
                  <c:v>1</c:v>
                </c:pt>
                <c:pt idx="6">
                  <c:v>1.0666666666666667</c:v>
                </c:pt>
                <c:pt idx="7">
                  <c:v>1</c:v>
                </c:pt>
                <c:pt idx="8">
                  <c:v>1</c:v>
                </c:pt>
                <c:pt idx="9">
                  <c:v>1.3333333333333333</c:v>
                </c:pt>
                <c:pt idx="10">
                  <c:v>1.3333333333333333</c:v>
                </c:pt>
                <c:pt idx="11" formatCode="General">
                  <c:v>0.33333333333333331</c:v>
                </c:pt>
              </c:numCache>
            </c:numRef>
          </c:val>
          <c:extLst>
            <c:ext xmlns:c16="http://schemas.microsoft.com/office/drawing/2014/chart" uri="{C3380CC4-5D6E-409C-BE32-E72D297353CC}">
              <c16:uniqueId val="{00000001-2AB5-431B-B492-574E26EB929E}"/>
            </c:ext>
          </c:extLst>
        </c:ser>
        <c:dLbls>
          <c:showLegendKey val="0"/>
          <c:showVal val="0"/>
          <c:showCatName val="0"/>
          <c:showSerName val="0"/>
          <c:showPercent val="0"/>
          <c:showBubbleSize val="0"/>
        </c:dLbls>
        <c:gapWidth val="182"/>
        <c:axId val="1193957384"/>
        <c:axId val="1193963528"/>
      </c:barChart>
      <c:catAx>
        <c:axId val="11939573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963528"/>
        <c:crosses val="autoZero"/>
        <c:auto val="1"/>
        <c:lblAlgn val="ctr"/>
        <c:lblOffset val="100"/>
        <c:noMultiLvlLbl val="0"/>
      </c:catAx>
      <c:valAx>
        <c:axId val="11939635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completitud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957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② Nivel de madurez actual vs meta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ChartData!$AB$2</c:f>
              <c:strCache>
                <c:ptCount val="1"/>
                <c:pt idx="0">
                  <c:v>Madurez</c:v>
                </c:pt>
              </c:strCache>
            </c:strRef>
          </c:tx>
          <c:spPr>
            <a:solidFill>
              <a:schemeClr val="accent1"/>
            </a:solidFill>
            <a:ln>
              <a:noFill/>
            </a:ln>
            <a:effectLst/>
          </c:spPr>
          <c:invertIfNegative val="0"/>
          <c:cat>
            <c:strRef>
              <c:f>ChartData!$AA$3:$AA$14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ChartData!$AB$3:$AB$14</c:f>
              <c:numCache>
                <c:formatCode>0.0</c:formatCode>
                <c:ptCount val="12"/>
                <c:pt idx="0">
                  <c:v>2</c:v>
                </c:pt>
                <c:pt idx="1">
                  <c:v>2</c:v>
                </c:pt>
                <c:pt idx="2">
                  <c:v>2</c:v>
                </c:pt>
                <c:pt idx="3">
                  <c:v>2</c:v>
                </c:pt>
                <c:pt idx="4">
                  <c:v>1</c:v>
                </c:pt>
                <c:pt idx="5">
                  <c:v>0</c:v>
                </c:pt>
                <c:pt idx="6">
                  <c:v>1</c:v>
                </c:pt>
                <c:pt idx="7">
                  <c:v>1</c:v>
                </c:pt>
                <c:pt idx="8">
                  <c:v>1</c:v>
                </c:pt>
                <c:pt idx="9">
                  <c:v>1</c:v>
                </c:pt>
                <c:pt idx="10">
                  <c:v>2</c:v>
                </c:pt>
                <c:pt idx="11" formatCode="General">
                  <c:v>0</c:v>
                </c:pt>
              </c:numCache>
            </c:numRef>
          </c:val>
          <c:extLst>
            <c:ext xmlns:c16="http://schemas.microsoft.com/office/drawing/2014/chart" uri="{C3380CC4-5D6E-409C-BE32-E72D297353CC}">
              <c16:uniqueId val="{00000001-BA0E-4A0A-B01B-901E415900BC}"/>
            </c:ext>
          </c:extLst>
        </c:ser>
        <c:ser>
          <c:idx val="1"/>
          <c:order val="1"/>
          <c:tx>
            <c:strRef>
              <c:f>ChartData!$AC$2</c:f>
              <c:strCache>
                <c:ptCount val="1"/>
                <c:pt idx="0">
                  <c:v>Meta N3</c:v>
                </c:pt>
              </c:strCache>
            </c:strRef>
          </c:tx>
          <c:spPr>
            <a:solidFill>
              <a:schemeClr val="accent2"/>
            </a:solidFill>
            <a:ln>
              <a:noFill/>
            </a:ln>
            <a:effectLst/>
          </c:spPr>
          <c:invertIfNegative val="0"/>
          <c:cat>
            <c:strRef>
              <c:f>ChartData!$AA$3:$AA$14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ChartData!$AC$3:$AC$14</c:f>
              <c:numCache>
                <c:formatCode>0.0</c:formatCode>
                <c:ptCount val="12"/>
                <c:pt idx="0">
                  <c:v>3</c:v>
                </c:pt>
                <c:pt idx="1">
                  <c:v>3</c:v>
                </c:pt>
                <c:pt idx="2">
                  <c:v>3</c:v>
                </c:pt>
                <c:pt idx="3">
                  <c:v>3</c:v>
                </c:pt>
                <c:pt idx="4">
                  <c:v>3</c:v>
                </c:pt>
                <c:pt idx="5">
                  <c:v>3</c:v>
                </c:pt>
                <c:pt idx="6">
                  <c:v>3</c:v>
                </c:pt>
                <c:pt idx="7">
                  <c:v>3</c:v>
                </c:pt>
                <c:pt idx="8">
                  <c:v>3</c:v>
                </c:pt>
                <c:pt idx="9">
                  <c:v>3</c:v>
                </c:pt>
                <c:pt idx="10">
                  <c:v>3</c:v>
                </c:pt>
                <c:pt idx="11" formatCode="General">
                  <c:v>3</c:v>
                </c:pt>
              </c:numCache>
            </c:numRef>
          </c:val>
          <c:extLst>
            <c:ext xmlns:c16="http://schemas.microsoft.com/office/drawing/2014/chart" uri="{C3380CC4-5D6E-409C-BE32-E72D297353CC}">
              <c16:uniqueId val="{00000003-BA0E-4A0A-B01B-901E415900BC}"/>
            </c:ext>
          </c:extLst>
        </c:ser>
        <c:dLbls>
          <c:showLegendKey val="0"/>
          <c:showVal val="0"/>
          <c:showCatName val="0"/>
          <c:showSerName val="0"/>
          <c:showPercent val="0"/>
          <c:showBubbleSize val="0"/>
        </c:dLbls>
        <c:gapWidth val="219"/>
        <c:overlap val="-27"/>
        <c:axId val="1201481736"/>
        <c:axId val="1201483784"/>
      </c:barChart>
      <c:catAx>
        <c:axId val="1201481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83784"/>
        <c:crosses val="autoZero"/>
        <c:auto val="1"/>
        <c:lblAlgn val="ctr"/>
        <c:lblOffset val="100"/>
        <c:noMultiLvlLbl val="0"/>
      </c:catAx>
      <c:valAx>
        <c:axId val="1201483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Nivel N0-N5</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481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③ Prácticas ITIL — score global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ChartData!$AF$2</c:f>
              <c:strCache>
                <c:ptCount val="1"/>
                <c:pt idx="0">
                  <c:v>Score ITIL</c:v>
                </c:pt>
              </c:strCache>
            </c:strRef>
          </c:tx>
          <c:spPr>
            <a:solidFill>
              <a:schemeClr val="accent1"/>
            </a:solidFill>
            <a:ln>
              <a:noFill/>
            </a:ln>
            <a:effectLst/>
          </c:spPr>
          <c:invertIfNegative val="0"/>
          <c:cat>
            <c:strRef>
              <c:f>ChartData!$AE$3:$AE$14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ChartData!$AF$3:$AF$14</c:f>
              <c:numCache>
                <c:formatCode>0.0%</c:formatCode>
                <c:ptCount val="12"/>
                <c:pt idx="0">
                  <c:v>0.52941176470588236</c:v>
                </c:pt>
                <c:pt idx="1">
                  <c:v>0.55882352941176472</c:v>
                </c:pt>
                <c:pt idx="2">
                  <c:v>0.61764705882352944</c:v>
                </c:pt>
                <c:pt idx="3">
                  <c:v>0.58823529411764708</c:v>
                </c:pt>
                <c:pt idx="4">
                  <c:v>0.73529411764705888</c:v>
                </c:pt>
                <c:pt idx="5">
                  <c:v>0.73529411764705888</c:v>
                </c:pt>
                <c:pt idx="6">
                  <c:v>0.73529411764705888</c:v>
                </c:pt>
                <c:pt idx="7">
                  <c:v>0.73529411764705888</c:v>
                </c:pt>
                <c:pt idx="8">
                  <c:v>0.73529411764705888</c:v>
                </c:pt>
                <c:pt idx="9">
                  <c:v>0.29411764705882398</c:v>
                </c:pt>
                <c:pt idx="10">
                  <c:v>0.5</c:v>
                </c:pt>
                <c:pt idx="11" formatCode="General">
                  <c:v>0</c:v>
                </c:pt>
              </c:numCache>
            </c:numRef>
          </c:val>
          <c:extLst>
            <c:ext xmlns:c16="http://schemas.microsoft.com/office/drawing/2014/chart" uri="{C3380CC4-5D6E-409C-BE32-E72D297353CC}">
              <c16:uniqueId val="{00000001-62A9-4BFE-BBBA-0D46856D34B6}"/>
            </c:ext>
          </c:extLst>
        </c:ser>
        <c:dLbls>
          <c:showLegendKey val="0"/>
          <c:showVal val="0"/>
          <c:showCatName val="0"/>
          <c:showSerName val="0"/>
          <c:showPercent val="0"/>
          <c:showBubbleSize val="0"/>
        </c:dLbls>
        <c:gapWidth val="182"/>
        <c:axId val="1199673864"/>
        <c:axId val="1199675912"/>
      </c:barChart>
      <c:catAx>
        <c:axId val="11996738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675912"/>
        <c:crosses val="autoZero"/>
        <c:auto val="1"/>
        <c:lblAlgn val="ctr"/>
        <c:lblOffset val="100"/>
        <c:noMultiLvlLbl val="0"/>
      </c:catAx>
      <c:valAx>
        <c:axId val="11996759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Score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673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④ KPIs operativos — FCR y SLA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ChartData!$AI$2:$AI$11</c:f>
              <c:strCache>
                <c:ptCount val="10"/>
                <c:pt idx="0">
                  <c:v>FCR</c:v>
                </c:pt>
                <c:pt idx="1">
                  <c:v>N/D</c:v>
                </c:pt>
                <c:pt idx="2">
                  <c:v>N/D</c:v>
                </c:pt>
                <c:pt idx="3">
                  <c:v>N/D</c:v>
                </c:pt>
                <c:pt idx="4">
                  <c:v>0.0%</c:v>
                </c:pt>
                <c:pt idx="5">
                  <c:v>Pendiente revisar líderes técnicos</c:v>
                </c:pt>
                <c:pt idx="6">
                  <c:v>Pendiente revisar líderes técnicos</c:v>
                </c:pt>
                <c:pt idx="7">
                  <c:v>Pendiente revisar líderes técnicos</c:v>
                </c:pt>
                <c:pt idx="8">
                  <c:v>0.0%</c:v>
                </c:pt>
                <c:pt idx="9">
                  <c:v>0.0%</c:v>
                </c:pt>
              </c:strCache>
            </c:strRef>
          </c:tx>
          <c:spPr>
            <a:solidFill>
              <a:schemeClr val="accent1"/>
            </a:solidFill>
            <a:ln>
              <a:noFill/>
            </a:ln>
            <a:effectLst/>
          </c:spPr>
          <c:invertIfNegative val="0"/>
          <c:cat>
            <c:strRef>
              <c:f>ChartData!$AH$12:$AH$14</c:f>
              <c:strCache>
                <c:ptCount val="3"/>
                <c:pt idx="0">
                  <c:v>AES</c:v>
                </c:pt>
                <c:pt idx="1">
                  <c:v>XM</c:v>
                </c:pt>
                <c:pt idx="2">
                  <c:v>MEDICARTE</c:v>
                </c:pt>
              </c:strCache>
            </c:strRef>
          </c:cat>
          <c:val>
            <c:numRef>
              <c:f>ChartData!$AI$12:$AI$14</c:f>
              <c:numCache>
                <c:formatCode>0.0%</c:formatCode>
                <c:ptCount val="3"/>
                <c:pt idx="0">
                  <c:v>0</c:v>
                </c:pt>
                <c:pt idx="1">
                  <c:v>0</c:v>
                </c:pt>
                <c:pt idx="2" formatCode="General">
                  <c:v>0</c:v>
                </c:pt>
              </c:numCache>
            </c:numRef>
          </c:val>
          <c:extLst>
            <c:ext xmlns:c16="http://schemas.microsoft.com/office/drawing/2014/chart" uri="{C3380CC4-5D6E-409C-BE32-E72D297353CC}">
              <c16:uniqueId val="{00000001-E0F8-4B3B-A2B3-B2C8A78597EA}"/>
            </c:ext>
          </c:extLst>
        </c:ser>
        <c:ser>
          <c:idx val="1"/>
          <c:order val="1"/>
          <c:tx>
            <c:strRef>
              <c:f>ChartData!$AJ$2:$AJ$11</c:f>
              <c:strCache>
                <c:ptCount val="10"/>
                <c:pt idx="0">
                  <c:v>SLA</c:v>
                </c:pt>
                <c:pt idx="1">
                  <c:v>70.0%</c:v>
                </c:pt>
                <c:pt idx="2">
                  <c:v>74.0%</c:v>
                </c:pt>
                <c:pt idx="3">
                  <c:v>98.0%</c:v>
                </c:pt>
                <c:pt idx="4">
                  <c:v>72.0%</c:v>
                </c:pt>
                <c:pt idx="5">
                  <c:v>No aplica SLA- ANS del Banco y de COES</c:v>
                </c:pt>
                <c:pt idx="6">
                  <c:v>No aplica SLA- ANS del Banco y de COES</c:v>
                </c:pt>
                <c:pt idx="7">
                  <c:v>No aplica SLA- ANS del Banco y de COES</c:v>
                </c:pt>
                <c:pt idx="8">
                  <c:v>No aplica SLA- ANS del Banco y de COES</c:v>
                </c:pt>
                <c:pt idx="9">
                  <c:v>No aplica SLA- ANS del Banco y de COES</c:v>
                </c:pt>
              </c:strCache>
            </c:strRef>
          </c:tx>
          <c:spPr>
            <a:solidFill>
              <a:schemeClr val="accent2"/>
            </a:solidFill>
            <a:ln>
              <a:noFill/>
            </a:ln>
            <a:effectLst/>
          </c:spPr>
          <c:invertIfNegative val="0"/>
          <c:cat>
            <c:strRef>
              <c:f>ChartData!$AH$12:$AH$14</c:f>
              <c:strCache>
                <c:ptCount val="3"/>
                <c:pt idx="0">
                  <c:v>AES</c:v>
                </c:pt>
                <c:pt idx="1">
                  <c:v>XM</c:v>
                </c:pt>
                <c:pt idx="2">
                  <c:v>MEDICARTE</c:v>
                </c:pt>
              </c:strCache>
            </c:strRef>
          </c:cat>
          <c:val>
            <c:numRef>
              <c:f>ChartData!$AJ$12:$AJ$14</c:f>
              <c:numCache>
                <c:formatCode>0.0%</c:formatCode>
                <c:ptCount val="3"/>
                <c:pt idx="0">
                  <c:v>0</c:v>
                </c:pt>
                <c:pt idx="1">
                  <c:v>0</c:v>
                </c:pt>
                <c:pt idx="2" formatCode="General">
                  <c:v>0.68</c:v>
                </c:pt>
              </c:numCache>
            </c:numRef>
          </c:val>
          <c:extLst>
            <c:ext xmlns:c16="http://schemas.microsoft.com/office/drawing/2014/chart" uri="{C3380CC4-5D6E-409C-BE32-E72D297353CC}">
              <c16:uniqueId val="{00000003-E0F8-4B3B-A2B3-B2C8A78597EA}"/>
            </c:ext>
          </c:extLst>
        </c:ser>
        <c:dLbls>
          <c:showLegendKey val="0"/>
          <c:showVal val="0"/>
          <c:showCatName val="0"/>
          <c:showSerName val="0"/>
          <c:showPercent val="0"/>
          <c:showBubbleSize val="0"/>
        </c:dLbls>
        <c:gapWidth val="219"/>
        <c:overlap val="-27"/>
        <c:axId val="1202307080"/>
        <c:axId val="1202309128"/>
      </c:barChart>
      <c:catAx>
        <c:axId val="1202307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309128"/>
        <c:crosses val="autoZero"/>
        <c:auto val="1"/>
        <c:lblAlgn val="ctr"/>
        <c:lblOffset val="100"/>
        <c:noMultiLvlLbl val="0"/>
      </c:catAx>
      <c:valAx>
        <c:axId val="1202309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307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④b Incidentes categorizados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ChartData!$AN$2:$AN$10</c:f>
              <c:strCache>
                <c:ptCount val="9"/>
                <c:pt idx="0">
                  <c:v>Tickets categorizados</c:v>
                </c:pt>
                <c:pt idx="1">
                  <c:v>0.0</c:v>
                </c:pt>
                <c:pt idx="2">
                  <c:v>0.0</c:v>
                </c:pt>
                <c:pt idx="3">
                  <c:v>0.0</c:v>
                </c:pt>
                <c:pt idx="4">
                  <c:v>0.0</c:v>
                </c:pt>
                <c:pt idx="5">
                  <c:v>700 a 3.000</c:v>
                </c:pt>
                <c:pt idx="6">
                  <c:v>700 a 3.000</c:v>
                </c:pt>
                <c:pt idx="7">
                  <c:v>700 a 3.000</c:v>
                </c:pt>
                <c:pt idx="8">
                  <c:v>700 a 3.000</c:v>
                </c:pt>
              </c:strCache>
            </c:strRef>
          </c:tx>
          <c:spPr>
            <a:solidFill>
              <a:schemeClr val="accent1"/>
            </a:solidFill>
            <a:ln>
              <a:noFill/>
            </a:ln>
            <a:effectLst/>
          </c:spPr>
          <c:invertIfNegative val="0"/>
          <c:cat>
            <c:strRef>
              <c:f>ChartData!$AM$11:$AM$14</c:f>
              <c:strCache>
                <c:ptCount val="4"/>
                <c:pt idx="0">
                  <c:v>BCO Emma Iseries</c:v>
                </c:pt>
                <c:pt idx="1">
                  <c:v>AES</c:v>
                </c:pt>
                <c:pt idx="2">
                  <c:v>XM</c:v>
                </c:pt>
                <c:pt idx="3">
                  <c:v>MEDICARTE</c:v>
                </c:pt>
              </c:strCache>
            </c:strRef>
          </c:cat>
          <c:val>
            <c:numRef>
              <c:f>ChartData!$AN$11:$AN$14</c:f>
              <c:numCache>
                <c:formatCode>0.0</c:formatCode>
                <c:ptCount val="4"/>
                <c:pt idx="0">
                  <c:v>0</c:v>
                </c:pt>
                <c:pt idx="1">
                  <c:v>0</c:v>
                </c:pt>
                <c:pt idx="2">
                  <c:v>0</c:v>
                </c:pt>
                <c:pt idx="3" formatCode="General">
                  <c:v>0</c:v>
                </c:pt>
              </c:numCache>
            </c:numRef>
          </c:val>
          <c:extLst>
            <c:ext xmlns:c16="http://schemas.microsoft.com/office/drawing/2014/chart" uri="{C3380CC4-5D6E-409C-BE32-E72D297353CC}">
              <c16:uniqueId val="{00000001-E471-4C69-8B53-3E767D7FE24A}"/>
            </c:ext>
          </c:extLst>
        </c:ser>
        <c:dLbls>
          <c:showLegendKey val="0"/>
          <c:showVal val="0"/>
          <c:showCatName val="0"/>
          <c:showSerName val="0"/>
          <c:showPercent val="0"/>
          <c:showBubbleSize val="0"/>
        </c:dLbls>
        <c:gapWidth val="219"/>
        <c:overlap val="-27"/>
        <c:axId val="1187733000"/>
        <c:axId val="1187735048"/>
      </c:barChart>
      <c:catAx>
        <c:axId val="1187733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735048"/>
        <c:crosses val="autoZero"/>
        <c:auto val="1"/>
        <c:lblAlgn val="ctr"/>
        <c:lblOffset val="100"/>
        <c:noMultiLvlLbl val="0"/>
      </c:catAx>
      <c:valAx>
        <c:axId val="1187735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Tickets/mes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733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⑤ Experiencia usuario — NPS XLA/DEX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ChartData!$AQ$2:$AQ$6</c:f>
              <c:strCache>
                <c:ptCount val="5"/>
                <c:pt idx="0">
                  <c:v>NPS</c:v>
                </c:pt>
                <c:pt idx="1">
                  <c:v>0.0</c:v>
                </c:pt>
                <c:pt idx="2">
                  <c:v>Valor Actual</c:v>
                </c:pt>
                <c:pt idx="3">
                  <c:v>Valor Actual</c:v>
                </c:pt>
                <c:pt idx="4">
                  <c:v>Valor Actual</c:v>
                </c:pt>
              </c:strCache>
            </c:strRef>
          </c:tx>
          <c:spPr>
            <a:solidFill>
              <a:schemeClr val="accent1"/>
            </a:solidFill>
            <a:ln>
              <a:noFill/>
            </a:ln>
            <a:effectLst/>
          </c:spPr>
          <c:invertIfNegative val="0"/>
          <c:cat>
            <c:strRef>
              <c:f>ChartData!$AP$7:$AP$14</c:f>
              <c:strCache>
                <c:ptCount val="8"/>
                <c:pt idx="0">
                  <c:v>BCO COES Integracion</c:v>
                </c:pt>
                <c:pt idx="1">
                  <c:v>BCO COES Datos</c:v>
                </c:pt>
                <c:pt idx="2">
                  <c:v>BCO Soporte</c:v>
                </c:pt>
                <c:pt idx="3">
                  <c:v>BCO COES Emma</c:v>
                </c:pt>
                <c:pt idx="4">
                  <c:v>BCO Emma Iseries</c:v>
                </c:pt>
                <c:pt idx="5">
                  <c:v>AES</c:v>
                </c:pt>
                <c:pt idx="6">
                  <c:v>XM</c:v>
                </c:pt>
                <c:pt idx="7">
                  <c:v>MEDICARTE</c:v>
                </c:pt>
              </c:strCache>
            </c:strRef>
          </c:cat>
          <c:val>
            <c:numRef>
              <c:f>ChartData!$AQ$7:$AQ$14</c:f>
              <c:numCache>
                <c:formatCode>0.0</c:formatCode>
                <c:ptCount val="8"/>
                <c:pt idx="0">
                  <c:v>0</c:v>
                </c:pt>
                <c:pt idx="1">
                  <c:v>0</c:v>
                </c:pt>
                <c:pt idx="2">
                  <c:v>0</c:v>
                </c:pt>
                <c:pt idx="3">
                  <c:v>0</c:v>
                </c:pt>
                <c:pt idx="4">
                  <c:v>0</c:v>
                </c:pt>
                <c:pt idx="5">
                  <c:v>0</c:v>
                </c:pt>
                <c:pt idx="6">
                  <c:v>0</c:v>
                </c:pt>
                <c:pt idx="7" formatCode="General">
                  <c:v>0</c:v>
                </c:pt>
              </c:numCache>
            </c:numRef>
          </c:val>
          <c:extLst>
            <c:ext xmlns:c16="http://schemas.microsoft.com/office/drawing/2014/chart" uri="{C3380CC4-5D6E-409C-BE32-E72D297353CC}">
              <c16:uniqueId val="{00000001-6F63-4E95-BB15-AF78CC67948E}"/>
            </c:ext>
          </c:extLst>
        </c:ser>
        <c:dLbls>
          <c:showLegendKey val="0"/>
          <c:showVal val="0"/>
          <c:showCatName val="0"/>
          <c:showSerName val="0"/>
          <c:showPercent val="0"/>
          <c:showBubbleSize val="0"/>
        </c:dLbls>
        <c:gapWidth val="182"/>
        <c:axId val="136333832"/>
        <c:axId val="136335880"/>
      </c:barChart>
      <c:catAx>
        <c:axId val="136333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5880"/>
        <c:crosses val="autoZero"/>
        <c:auto val="1"/>
        <c:lblAlgn val="ctr"/>
        <c:lblOffset val="100"/>
        <c:noMultiLvlLbl val="0"/>
      </c:catAx>
      <c:valAx>
        <c:axId val="1363358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NPS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33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⑥ Dolores críticos activos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ChartData!$AT$2</c:f>
              <c:strCache>
                <c:ptCount val="1"/>
                <c:pt idx="0">
                  <c:v>Dolores activos D1–D23</c:v>
                </c:pt>
              </c:strCache>
            </c:strRef>
          </c:tx>
          <c:spPr>
            <a:solidFill>
              <a:schemeClr val="accent1"/>
            </a:solidFill>
            <a:ln>
              <a:noFill/>
            </a:ln>
            <a:effectLst/>
          </c:spPr>
          <c:invertIfNegative val="0"/>
          <c:cat>
            <c:strRef>
              <c:f>ChartData!$AS$3:$AS$14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ChartData!$AT$3:$AT$14</c:f>
              <c:numCache>
                <c:formatCode>General</c:formatCode>
                <c:ptCount val="12"/>
                <c:pt idx="0">
                  <c:v>13</c:v>
                </c:pt>
                <c:pt idx="1">
                  <c:v>12.5</c:v>
                </c:pt>
                <c:pt idx="2">
                  <c:v>11</c:v>
                </c:pt>
                <c:pt idx="3">
                  <c:v>13</c:v>
                </c:pt>
                <c:pt idx="4">
                  <c:v>9.5</c:v>
                </c:pt>
                <c:pt idx="5">
                  <c:v>9.5</c:v>
                </c:pt>
                <c:pt idx="6">
                  <c:v>9</c:v>
                </c:pt>
                <c:pt idx="7">
                  <c:v>9.5</c:v>
                </c:pt>
                <c:pt idx="8">
                  <c:v>2</c:v>
                </c:pt>
                <c:pt idx="9">
                  <c:v>7</c:v>
                </c:pt>
                <c:pt idx="10">
                  <c:v>16</c:v>
                </c:pt>
                <c:pt idx="11">
                  <c:v>1</c:v>
                </c:pt>
              </c:numCache>
            </c:numRef>
          </c:val>
          <c:extLst>
            <c:ext xmlns:c16="http://schemas.microsoft.com/office/drawing/2014/chart" uri="{C3380CC4-5D6E-409C-BE32-E72D297353CC}">
              <c16:uniqueId val="{00000001-52F3-4FD1-826E-AC429A760931}"/>
            </c:ext>
          </c:extLst>
        </c:ser>
        <c:dLbls>
          <c:showLegendKey val="0"/>
          <c:showVal val="0"/>
          <c:showCatName val="0"/>
          <c:showSerName val="0"/>
          <c:showPercent val="0"/>
          <c:showBubbleSize val="0"/>
        </c:dLbls>
        <c:gapWidth val="219"/>
        <c:overlap val="-27"/>
        <c:axId val="1188779016"/>
        <c:axId val="1188781064"/>
      </c:barChart>
      <c:catAx>
        <c:axId val="1188779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781064"/>
        <c:crosses val="autoZero"/>
        <c:auto val="1"/>
        <c:lblAlgn val="ctr"/>
        <c:lblOffset val="100"/>
        <c:noMultiLvlLbl val="0"/>
      </c:catAx>
      <c:valAx>
        <c:axId val="1188781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Cantidad ponderada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779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⑦ Rotación y talento — completitud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ChartData!$AW$2</c:f>
              <c:strCache>
                <c:ptCount val="1"/>
                <c:pt idx="0">
                  <c:v>Completitud</c:v>
                </c:pt>
              </c:strCache>
            </c:strRef>
          </c:tx>
          <c:spPr>
            <a:solidFill>
              <a:schemeClr val="accent1"/>
            </a:solidFill>
            <a:ln>
              <a:noFill/>
            </a:ln>
            <a:effectLst/>
          </c:spPr>
          <c:invertIfNegative val="0"/>
          <c:cat>
            <c:strRef>
              <c:f>ChartData!$AV$3:$AV$14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ChartData!$AW$3:$AW$14</c:f>
              <c:numCache>
                <c:formatCode>0.0%</c:formatCode>
                <c:ptCount val="12"/>
                <c:pt idx="0">
                  <c:v>0.375</c:v>
                </c:pt>
                <c:pt idx="1">
                  <c:v>0.375</c:v>
                </c:pt>
                <c:pt idx="2">
                  <c:v>0.375</c:v>
                </c:pt>
                <c:pt idx="3">
                  <c:v>0.375</c:v>
                </c:pt>
                <c:pt idx="4">
                  <c:v>0.625</c:v>
                </c:pt>
                <c:pt idx="5">
                  <c:v>0.75</c:v>
                </c:pt>
                <c:pt idx="6">
                  <c:v>0.75</c:v>
                </c:pt>
                <c:pt idx="7">
                  <c:v>0.75</c:v>
                </c:pt>
                <c:pt idx="8">
                  <c:v>0</c:v>
                </c:pt>
                <c:pt idx="9">
                  <c:v>0.125</c:v>
                </c:pt>
                <c:pt idx="10">
                  <c:v>0.5</c:v>
                </c:pt>
                <c:pt idx="11" formatCode="General">
                  <c:v>0</c:v>
                </c:pt>
              </c:numCache>
            </c:numRef>
          </c:val>
          <c:extLst>
            <c:ext xmlns:c16="http://schemas.microsoft.com/office/drawing/2014/chart" uri="{C3380CC4-5D6E-409C-BE32-E72D297353CC}">
              <c16:uniqueId val="{00000001-3A9B-4C94-91B5-C4FF8D88CF8E}"/>
            </c:ext>
          </c:extLst>
        </c:ser>
        <c:dLbls>
          <c:showLegendKey val="0"/>
          <c:showVal val="0"/>
          <c:showCatName val="0"/>
          <c:showSerName val="0"/>
          <c:showPercent val="0"/>
          <c:showBubbleSize val="0"/>
        </c:dLbls>
        <c:gapWidth val="182"/>
        <c:axId val="1189102088"/>
        <c:axId val="1189104136"/>
      </c:barChart>
      <c:catAx>
        <c:axId val="11891020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104136"/>
        <c:crosses val="autoZero"/>
        <c:auto val="1"/>
        <c:lblAlgn val="ctr"/>
        <c:lblOffset val="100"/>
        <c:noMultiLvlLbl val="0"/>
      </c:catAx>
      <c:valAx>
        <c:axId val="1189104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completitud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102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⑧ Tecnología y herramientas registradas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ChartData!$AZ$2</c:f>
              <c:strCache>
                <c:ptCount val="1"/>
                <c:pt idx="0">
                  <c:v>Herramientas registradas</c:v>
                </c:pt>
              </c:strCache>
            </c:strRef>
          </c:tx>
          <c:spPr>
            <a:solidFill>
              <a:schemeClr val="accent1"/>
            </a:solidFill>
            <a:ln>
              <a:noFill/>
            </a:ln>
            <a:effectLst/>
          </c:spPr>
          <c:invertIfNegative val="0"/>
          <c:cat>
            <c:strRef>
              <c:f>ChartData!$AY$3:$AY$14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ChartData!$AZ$3:$AZ$14</c:f>
              <c:numCache>
                <c:formatCode>0.0</c:formatCode>
                <c:ptCount val="12"/>
                <c:pt idx="0">
                  <c:v>3</c:v>
                </c:pt>
                <c:pt idx="1">
                  <c:v>3</c:v>
                </c:pt>
                <c:pt idx="2">
                  <c:v>5</c:v>
                </c:pt>
                <c:pt idx="3">
                  <c:v>4</c:v>
                </c:pt>
                <c:pt idx="4">
                  <c:v>3</c:v>
                </c:pt>
                <c:pt idx="5">
                  <c:v>3</c:v>
                </c:pt>
                <c:pt idx="6">
                  <c:v>4</c:v>
                </c:pt>
                <c:pt idx="7">
                  <c:v>3</c:v>
                </c:pt>
                <c:pt idx="8">
                  <c:v>1</c:v>
                </c:pt>
                <c:pt idx="9">
                  <c:v>2</c:v>
                </c:pt>
                <c:pt idx="10">
                  <c:v>7</c:v>
                </c:pt>
                <c:pt idx="11" formatCode="General">
                  <c:v>0</c:v>
                </c:pt>
              </c:numCache>
            </c:numRef>
          </c:val>
          <c:extLst>
            <c:ext xmlns:c16="http://schemas.microsoft.com/office/drawing/2014/chart" uri="{C3380CC4-5D6E-409C-BE32-E72D297353CC}">
              <c16:uniqueId val="{00000001-6F2D-421A-9E9C-1CD420F2289E}"/>
            </c:ext>
          </c:extLst>
        </c:ser>
        <c:dLbls>
          <c:showLegendKey val="0"/>
          <c:showVal val="0"/>
          <c:showCatName val="0"/>
          <c:showSerName val="0"/>
          <c:showPercent val="0"/>
          <c:showBubbleSize val="0"/>
        </c:dLbls>
        <c:gapWidth val="219"/>
        <c:overlap val="-27"/>
        <c:axId val="1189493256"/>
        <c:axId val="1189495304"/>
      </c:barChart>
      <c:catAx>
        <c:axId val="1189493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495304"/>
        <c:crosses val="autoZero"/>
        <c:auto val="1"/>
        <c:lblAlgn val="ctr"/>
        <c:lblOffset val="100"/>
        <c:noMultiLvlLbl val="0"/>
      </c:catAx>
      <c:valAx>
        <c:axId val="1189495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Cantidad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493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⑨ Modelo económico — completitud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ChartData!$BC$2</c:f>
              <c:strCache>
                <c:ptCount val="1"/>
                <c:pt idx="0">
                  <c:v>Completitud</c:v>
                </c:pt>
              </c:strCache>
            </c:strRef>
          </c:tx>
          <c:spPr>
            <a:solidFill>
              <a:schemeClr val="accent1"/>
            </a:solidFill>
            <a:ln>
              <a:noFill/>
            </a:ln>
            <a:effectLst/>
          </c:spPr>
          <c:invertIfNegative val="0"/>
          <c:cat>
            <c:strRef>
              <c:f>ChartData!$BB$3:$BB$14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ChartData!$BC$3:$BC$14</c:f>
              <c:numCache>
                <c:formatCode>0.0%</c:formatCode>
                <c:ptCount val="12"/>
                <c:pt idx="0">
                  <c:v>0.8571428571428571</c:v>
                </c:pt>
                <c:pt idx="1">
                  <c:v>0.8571428571428571</c:v>
                </c:pt>
                <c:pt idx="2">
                  <c:v>0.8571428571428571</c:v>
                </c:pt>
                <c:pt idx="3">
                  <c:v>0.8571428571428571</c:v>
                </c:pt>
                <c:pt idx="4">
                  <c:v>0.42857142857142855</c:v>
                </c:pt>
                <c:pt idx="5">
                  <c:v>1</c:v>
                </c:pt>
                <c:pt idx="6">
                  <c:v>1</c:v>
                </c:pt>
                <c:pt idx="7">
                  <c:v>1</c:v>
                </c:pt>
                <c:pt idx="8">
                  <c:v>0</c:v>
                </c:pt>
                <c:pt idx="9">
                  <c:v>0.42857142857142855</c:v>
                </c:pt>
                <c:pt idx="10">
                  <c:v>0.42857142857142855</c:v>
                </c:pt>
                <c:pt idx="11" formatCode="General">
                  <c:v>0</c:v>
                </c:pt>
              </c:numCache>
            </c:numRef>
          </c:val>
          <c:extLst>
            <c:ext xmlns:c16="http://schemas.microsoft.com/office/drawing/2014/chart" uri="{C3380CC4-5D6E-409C-BE32-E72D297353CC}">
              <c16:uniqueId val="{00000001-5ECF-48E6-B1F8-32F07A6BF3F1}"/>
            </c:ext>
          </c:extLst>
        </c:ser>
        <c:dLbls>
          <c:showLegendKey val="0"/>
          <c:showVal val="0"/>
          <c:showCatName val="0"/>
          <c:showSerName val="0"/>
          <c:showPercent val="0"/>
          <c:showBubbleSize val="0"/>
        </c:dLbls>
        <c:gapWidth val="182"/>
        <c:axId val="1190409736"/>
        <c:axId val="1190411784"/>
      </c:barChart>
      <c:catAx>
        <c:axId val="11904097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411784"/>
        <c:crosses val="autoZero"/>
        <c:auto val="1"/>
        <c:lblAlgn val="ctr"/>
        <c:lblOffset val="100"/>
        <c:noMultiLvlLbl val="0"/>
      </c:catAx>
      <c:valAx>
        <c:axId val="1190411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completitud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409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⑩ Visión nuevo servicio — completitud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ChartData!$BF$2</c:f>
              <c:strCache>
                <c:ptCount val="1"/>
                <c:pt idx="0">
                  <c:v>Completitud</c:v>
                </c:pt>
              </c:strCache>
            </c:strRef>
          </c:tx>
          <c:spPr>
            <a:solidFill>
              <a:schemeClr val="accent1"/>
            </a:solidFill>
            <a:ln>
              <a:noFill/>
            </a:ln>
            <a:effectLst/>
          </c:spPr>
          <c:invertIfNegative val="0"/>
          <c:cat>
            <c:strRef>
              <c:f>ChartData!$BE$3:$BE$14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ChartData!$BF$3:$BF$14</c:f>
              <c:numCache>
                <c:formatCode>0.0%</c:formatCode>
                <c:ptCount val="12"/>
                <c:pt idx="0">
                  <c:v>0.88888888888888884</c:v>
                </c:pt>
                <c:pt idx="1">
                  <c:v>0.88888888888888884</c:v>
                </c:pt>
                <c:pt idx="2">
                  <c:v>0.88888888888888884</c:v>
                </c:pt>
                <c:pt idx="3">
                  <c:v>0.88888888888888884</c:v>
                </c:pt>
                <c:pt idx="4">
                  <c:v>1</c:v>
                </c:pt>
                <c:pt idx="5">
                  <c:v>1</c:v>
                </c:pt>
                <c:pt idx="6">
                  <c:v>0.88888888888888884</c:v>
                </c:pt>
                <c:pt idx="7">
                  <c:v>1</c:v>
                </c:pt>
                <c:pt idx="8">
                  <c:v>0.1111111111111111</c:v>
                </c:pt>
                <c:pt idx="9">
                  <c:v>0.55555555555555558</c:v>
                </c:pt>
                <c:pt idx="10">
                  <c:v>0.88888888888888884</c:v>
                </c:pt>
                <c:pt idx="11" formatCode="General">
                  <c:v>0.1111111111111111</c:v>
                </c:pt>
              </c:numCache>
            </c:numRef>
          </c:val>
          <c:extLst>
            <c:ext xmlns:c16="http://schemas.microsoft.com/office/drawing/2014/chart" uri="{C3380CC4-5D6E-409C-BE32-E72D297353CC}">
              <c16:uniqueId val="{00000001-6F56-4C18-840F-854339E39975}"/>
            </c:ext>
          </c:extLst>
        </c:ser>
        <c:dLbls>
          <c:showLegendKey val="0"/>
          <c:showVal val="0"/>
          <c:showCatName val="0"/>
          <c:showSerName val="0"/>
          <c:showPercent val="0"/>
          <c:showBubbleSize val="0"/>
        </c:dLbls>
        <c:gapWidth val="182"/>
        <c:axId val="1191124488"/>
        <c:axId val="1191130632"/>
      </c:barChart>
      <c:catAx>
        <c:axId val="11911244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130632"/>
        <c:crosses val="autoZero"/>
        <c:auto val="1"/>
        <c:lblAlgn val="ctr"/>
        <c:lblOffset val="100"/>
        <c:noMultiLvlLbl val="0"/>
      </c:catAx>
      <c:valAx>
        <c:axId val="1191130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completitud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124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⑪ Casos de éxito — completitud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ChartData!$BI$2</c:f>
              <c:strCache>
                <c:ptCount val="1"/>
                <c:pt idx="0">
                  <c:v>Completitud</c:v>
                </c:pt>
              </c:strCache>
            </c:strRef>
          </c:tx>
          <c:spPr>
            <a:solidFill>
              <a:schemeClr val="accent1"/>
            </a:solidFill>
            <a:ln>
              <a:noFill/>
            </a:ln>
            <a:effectLst/>
          </c:spPr>
          <c:invertIfNegative val="0"/>
          <c:cat>
            <c:strRef>
              <c:f>ChartData!$BH$3:$BH$14</c:f>
              <c:strCache>
                <c:ptCount val="12"/>
                <c:pt idx="0">
                  <c:v>SURA Cotizadores</c:v>
                </c:pt>
                <c:pt idx="1">
                  <c:v>SURA Digital Venta</c:v>
                </c:pt>
                <c:pt idx="2">
                  <c:v>SURA Automatizacion</c:v>
                </c:pt>
                <c:pt idx="3">
                  <c:v>SURA Canales Masivos</c:v>
                </c:pt>
                <c:pt idx="4">
                  <c:v>BCO COES Integracion</c:v>
                </c:pt>
                <c:pt idx="5">
                  <c:v>BCO COES Datos</c:v>
                </c:pt>
                <c:pt idx="6">
                  <c:v>BCO Soporte</c:v>
                </c:pt>
                <c:pt idx="7">
                  <c:v>BCO COES Emma</c:v>
                </c:pt>
                <c:pt idx="8">
                  <c:v>BCO Emma Iseries</c:v>
                </c:pt>
                <c:pt idx="9">
                  <c:v>AES</c:v>
                </c:pt>
                <c:pt idx="10">
                  <c:v>XM</c:v>
                </c:pt>
                <c:pt idx="11">
                  <c:v>MEDICARTE</c:v>
                </c:pt>
              </c:strCache>
            </c:strRef>
          </c:cat>
          <c:val>
            <c:numRef>
              <c:f>ChartData!$BI$3:$BI$14</c:f>
              <c:numCache>
                <c:formatCode>0.0%</c:formatCode>
                <c:ptCount val="12"/>
                <c:pt idx="0">
                  <c:v>0.1</c:v>
                </c:pt>
                <c:pt idx="1">
                  <c:v>0.1</c:v>
                </c:pt>
                <c:pt idx="2">
                  <c:v>0.1</c:v>
                </c:pt>
                <c:pt idx="3">
                  <c:v>0.1</c:v>
                </c:pt>
                <c:pt idx="4">
                  <c:v>0.1</c:v>
                </c:pt>
                <c:pt idx="5">
                  <c:v>0.1</c:v>
                </c:pt>
                <c:pt idx="6">
                  <c:v>0.1</c:v>
                </c:pt>
                <c:pt idx="7">
                  <c:v>0.1</c:v>
                </c:pt>
                <c:pt idx="8">
                  <c:v>0.1</c:v>
                </c:pt>
                <c:pt idx="9">
                  <c:v>0.1</c:v>
                </c:pt>
                <c:pt idx="10">
                  <c:v>0.1</c:v>
                </c:pt>
                <c:pt idx="11" formatCode="General">
                  <c:v>0.1</c:v>
                </c:pt>
              </c:numCache>
            </c:numRef>
          </c:val>
          <c:extLst>
            <c:ext xmlns:c16="http://schemas.microsoft.com/office/drawing/2014/chart" uri="{C3380CC4-5D6E-409C-BE32-E72D297353CC}">
              <c16:uniqueId val="{00000001-002B-49E4-82DC-5E6A1510B679}"/>
            </c:ext>
          </c:extLst>
        </c:ser>
        <c:dLbls>
          <c:showLegendKey val="0"/>
          <c:showVal val="0"/>
          <c:showCatName val="0"/>
          <c:showSerName val="0"/>
          <c:showPercent val="0"/>
          <c:showBubbleSize val="0"/>
        </c:dLbls>
        <c:gapWidth val="182"/>
        <c:axId val="1191442952"/>
        <c:axId val="1191449096"/>
      </c:barChart>
      <c:catAx>
        <c:axId val="11914429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449096"/>
        <c:crosses val="autoZero"/>
        <c:auto val="1"/>
        <c:lblAlgn val="ctr"/>
        <c:lblOffset val="100"/>
        <c:noMultiLvlLbl val="0"/>
      </c:catAx>
      <c:valAx>
        <c:axId val="11914490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completitud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442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spcFirstLastPara="1" vertOverflow="ellipsis" vert="horz" wrap="square" anchor="ctr" anchorCtr="1"/>
          <a:lstStyle/>
          <a:p>
            <a:pPr>
              <a:defRPr sz="1200" b="1">
                <a:solidFill>
                  <a:srgbClr val="132346"/>
                </a:solidFill>
                <a:latin typeface="Calibri"/>
              </a:defRPr>
            </a:pPr>
            <a:r>
              <a:rPr lang="es-ES" sz="1200" b="1">
                <a:solidFill>
                  <a:srgbClr val="132346"/>
                </a:solidFill>
                <a:latin typeface="Calibri"/>
              </a:rPr>
              <a:t>Mapa de Dolores — Mesas Afectadas por Categoría (11 mesas)</a:t>
            </a:r>
          </a:p>
        </c:rich>
      </c:tx>
      <c:overlay val="0"/>
    </c:title>
    <c:autoTitleDeleted val="0"/>
    <c:plotArea>
      <c:layout/>
      <c:barChart>
        <c:barDir val="bar"/>
        <c:grouping val="stacked"/>
        <c:varyColors val="0"/>
        <c:ser>
          <c:idx val="0"/>
          <c:order val="0"/>
          <c:spPr>
            <a:solidFill>
              <a:srgbClr val="132346"/>
            </a:solidFill>
            <a:ln>
              <a:noFill/>
            </a:ln>
          </c:spPr>
          <c:invertIfNegative val="0"/>
          <c:cat>
            <c:strRef>
              <c:f>'Analisis de FTE, Tickets, MTTR'!$C$66:$C$80</c:f>
              <c:strCache>
                <c:ptCount val="15"/>
                <c:pt idx="0">
                  <c:v>Gobierno — Sin RACI ni roles definidos</c:v>
                </c:pt>
                <c:pt idx="1">
                  <c:v>Gobierno — Sin gobierno — sin ANS formales</c:v>
                </c:pt>
                <c:pt idx="2">
                  <c:v>Gobierno — Catálogo de servicios desactualizado</c:v>
                </c:pt>
                <c:pt idx="3">
                  <c:v>Operación — Postura 100% reactiva</c:v>
                </c:pt>
                <c:pt idx="4">
                  <c:v>Operación — Sin autoservicio — todo por call</c:v>
                </c:pt>
                <c:pt idx="5">
                  <c:v>Operación — Scope creep — alcance no controlado</c:v>
                </c:pt>
                <c:pt idx="6">
                  <c:v>Operación — SLAs incumplidos / penalizaciones</c:v>
                </c:pt>
                <c:pt idx="7">
                  <c:v>Métricas — Sin métricas ni KPIs</c:v>
                </c:pt>
                <c:pt idx="8">
                  <c:v>Métricas — Sin dashboard ejecutivo</c:v>
                </c:pt>
                <c:pt idx="9">
                  <c:v>Talento — Rotación — pérdida de conocimiento</c:v>
                </c:pt>
                <c:pt idx="10">
                  <c:v>Talento — Asignación sin modelo de demanda</c:v>
                </c:pt>
                <c:pt idx="11">
                  <c:v>Talento — Penalización de la eficiencia</c:v>
                </c:pt>
                <c:pt idx="12">
                  <c:v>Comercial — Brechas vendido vs ejecutado</c:v>
                </c:pt>
                <c:pt idx="13">
                  <c:v>Comercial — Sin KEDB — gestión informal</c:v>
                </c:pt>
                <c:pt idx="14">
                  <c:v>Comercial — Herramientas fragmentadas</c:v>
                </c:pt>
              </c:strCache>
            </c:strRef>
          </c:cat>
          <c:val>
            <c:numRef>
              <c:f>'Analisis de FTE, Tickets, MTTR'!$D$66:$D$80</c:f>
              <c:numCache>
                <c:formatCode>#,##0</c:formatCode>
                <c:ptCount val="15"/>
                <c:pt idx="0">
                  <c:v>11</c:v>
                </c:pt>
                <c:pt idx="1">
                  <c:v>7</c:v>
                </c:pt>
                <c:pt idx="2">
                  <c:v>0</c:v>
                </c:pt>
                <c:pt idx="3">
                  <c:v>9</c:v>
                </c:pt>
                <c:pt idx="4">
                  <c:v>11</c:v>
                </c:pt>
                <c:pt idx="5">
                  <c:v>4</c:v>
                </c:pt>
                <c:pt idx="6">
                  <c:v>3</c:v>
                </c:pt>
                <c:pt idx="7">
                  <c:v>8</c:v>
                </c:pt>
                <c:pt idx="8">
                  <c:v>3</c:v>
                </c:pt>
                <c:pt idx="9">
                  <c:v>0</c:v>
                </c:pt>
                <c:pt idx="10">
                  <c:v>11</c:v>
                </c:pt>
                <c:pt idx="11">
                  <c:v>2</c:v>
                </c:pt>
                <c:pt idx="12">
                  <c:v>11</c:v>
                </c:pt>
                <c:pt idx="13">
                  <c:v>1</c:v>
                </c:pt>
                <c:pt idx="14">
                  <c:v>1</c:v>
                </c:pt>
              </c:numCache>
            </c:numRef>
          </c:val>
          <c:extLst>
            <c:ext xmlns:c15="http://schemas.microsoft.com/office/drawing/2012/chart" uri="{02D57815-91ED-43cb-92C2-25804820EDAC}">
              <c15:filteredSeriesTitle>
                <c15:tx>
                  <c:strRef>
                    <c:extLst>
                      <c:ext uri="{02D57815-91ED-43cb-92C2-25804820EDAC}">
                        <c15:formulaRef>
                          <c15:sqref>s</c15:sqref>
                        </c15:formulaRef>
                      </c:ext>
                    </c:extLst>
                    <c:strCache>
                      <c:ptCount val="1"/>
                      <c:pt idx="0">
                        <c:v>Confirmado (●)</c:v>
                      </c:pt>
                    </c:strCache>
                  </c:strRef>
                </c15:tx>
              </c15:filteredSeriesTitle>
            </c:ext>
            <c:ext xmlns:c16="http://schemas.microsoft.com/office/drawing/2014/chart" uri="{C3380CC4-5D6E-409C-BE32-E72D297353CC}">
              <c16:uniqueId val="{00000000-DA1A-4D67-8D5F-EDC12AF2E75E}"/>
            </c:ext>
          </c:extLst>
        </c:ser>
        <c:ser>
          <c:idx val="1"/>
          <c:order val="1"/>
          <c:spPr>
            <a:solidFill>
              <a:srgbClr val="94A3B8"/>
            </a:solidFill>
            <a:ln>
              <a:noFill/>
            </a:ln>
          </c:spPr>
          <c:invertIfNegative val="0"/>
          <c:cat>
            <c:strRef>
              <c:f>'Analisis de FTE, Tickets, MTTR'!$C$66:$C$80</c:f>
              <c:strCache>
                <c:ptCount val="15"/>
                <c:pt idx="0">
                  <c:v>Gobierno — Sin RACI ni roles definidos</c:v>
                </c:pt>
                <c:pt idx="1">
                  <c:v>Gobierno — Sin gobierno — sin ANS formales</c:v>
                </c:pt>
                <c:pt idx="2">
                  <c:v>Gobierno — Catálogo de servicios desactualizado</c:v>
                </c:pt>
                <c:pt idx="3">
                  <c:v>Operación — Postura 100% reactiva</c:v>
                </c:pt>
                <c:pt idx="4">
                  <c:v>Operación — Sin autoservicio — todo por call</c:v>
                </c:pt>
                <c:pt idx="5">
                  <c:v>Operación — Scope creep — alcance no controlado</c:v>
                </c:pt>
                <c:pt idx="6">
                  <c:v>Operación — SLAs incumplidos / penalizaciones</c:v>
                </c:pt>
                <c:pt idx="7">
                  <c:v>Métricas — Sin métricas ni KPIs</c:v>
                </c:pt>
                <c:pt idx="8">
                  <c:v>Métricas — Sin dashboard ejecutivo</c:v>
                </c:pt>
                <c:pt idx="9">
                  <c:v>Talento — Rotación — pérdida de conocimiento</c:v>
                </c:pt>
                <c:pt idx="10">
                  <c:v>Talento — Asignación sin modelo de demanda</c:v>
                </c:pt>
                <c:pt idx="11">
                  <c:v>Talento — Penalización de la eficiencia</c:v>
                </c:pt>
                <c:pt idx="12">
                  <c:v>Comercial — Brechas vendido vs ejecutado</c:v>
                </c:pt>
                <c:pt idx="13">
                  <c:v>Comercial — Sin KEDB — gestión informal</c:v>
                </c:pt>
                <c:pt idx="14">
                  <c:v>Comercial — Herramientas fragmentadas</c:v>
                </c:pt>
              </c:strCache>
            </c:strRef>
          </c:cat>
          <c:val>
            <c:numRef>
              <c:f>'Analisis de FTE, Tickets, MTTR'!$E$66:$E$80</c:f>
              <c:numCache>
                <c:formatCode>#,##0</c:formatCode>
                <c:ptCount val="15"/>
                <c:pt idx="0">
                  <c:v>0</c:v>
                </c:pt>
                <c:pt idx="1">
                  <c:v>4</c:v>
                </c:pt>
                <c:pt idx="2">
                  <c:v>11</c:v>
                </c:pt>
                <c:pt idx="3">
                  <c:v>2</c:v>
                </c:pt>
                <c:pt idx="4">
                  <c:v>0</c:v>
                </c:pt>
                <c:pt idx="5">
                  <c:v>7</c:v>
                </c:pt>
                <c:pt idx="6">
                  <c:v>0</c:v>
                </c:pt>
                <c:pt idx="7">
                  <c:v>3</c:v>
                </c:pt>
                <c:pt idx="8">
                  <c:v>7</c:v>
                </c:pt>
                <c:pt idx="9">
                  <c:v>11</c:v>
                </c:pt>
                <c:pt idx="10">
                  <c:v>0</c:v>
                </c:pt>
                <c:pt idx="11">
                  <c:v>8</c:v>
                </c:pt>
                <c:pt idx="12">
                  <c:v>0</c:v>
                </c:pt>
                <c:pt idx="13">
                  <c:v>0</c:v>
                </c:pt>
                <c:pt idx="14">
                  <c:v>10</c:v>
                </c:pt>
              </c:numCache>
            </c:numRef>
          </c:val>
          <c:extLst>
            <c:ext xmlns:c15="http://schemas.microsoft.com/office/drawing/2012/chart" uri="{02D57815-91ED-43cb-92C2-25804820EDAC}">
              <c15:filteredSeriesTitle>
                <c15:tx>
                  <c:strRef>
                    <c:extLst>
                      <c:ext uri="{02D57815-91ED-43cb-92C2-25804820EDAC}">
                        <c15:formulaRef>
                          <c15:sqref>s</c15:sqref>
                        </c15:formulaRef>
                      </c:ext>
                    </c:extLst>
                    <c:strCache>
                      <c:ptCount val="1"/>
                      <c:pt idx="0">
                        <c:v>Parcial (◐)</c:v>
                      </c:pt>
                    </c:strCache>
                  </c:strRef>
                </c15:tx>
              </c15:filteredSeriesTitle>
            </c:ext>
            <c:ext xmlns:c16="http://schemas.microsoft.com/office/drawing/2014/chart" uri="{C3380CC4-5D6E-409C-BE32-E72D297353CC}">
              <c16:uniqueId val="{00000001-DA1A-4D67-8D5F-EDC12AF2E75E}"/>
            </c:ext>
          </c:extLst>
        </c:ser>
        <c:dLbls>
          <c:showLegendKey val="0"/>
          <c:showVal val="0"/>
          <c:showCatName val="0"/>
          <c:showSerName val="0"/>
          <c:showPercent val="0"/>
          <c:showBubbleSize val="0"/>
        </c:dLbls>
        <c:gapWidth val="40"/>
        <c:overlap val="100"/>
        <c:axId val="111111111"/>
        <c:axId val="222222222"/>
      </c:barChart>
      <c:catAx>
        <c:axId val="111111111"/>
        <c:scaling>
          <c:orientation val="maxMin"/>
        </c:scaling>
        <c:delete val="0"/>
        <c:axPos val="l"/>
        <c:numFmt formatCode="General" sourceLinked="0"/>
        <c:majorTickMark val="cross"/>
        <c:minorTickMark val="cross"/>
        <c:tickLblPos val="nextTo"/>
        <c:txPr>
          <a:bodyPr/>
          <a:lstStyle/>
          <a:p>
            <a:pPr>
              <a:defRPr sz="850"/>
            </a:pPr>
            <a:endParaRPr lang="es-ES"/>
          </a:p>
        </c:txPr>
        <c:crossAx val="222222222"/>
        <c:crosses val="autoZero"/>
        <c:auto val="1"/>
        <c:lblAlgn val="ctr"/>
        <c:lblOffset val="100"/>
        <c:noMultiLvlLbl val="1"/>
      </c:catAx>
      <c:valAx>
        <c:axId val="222222222"/>
        <c:scaling>
          <c:orientation val="minMax"/>
        </c:scaling>
        <c:delete val="0"/>
        <c:axPos val="t"/>
        <c:majorGridlines/>
        <c:numFmt formatCode="#,##0" sourceLinked="1"/>
        <c:majorTickMark val="out"/>
        <c:minorTickMark val="none"/>
        <c:tickLblPos val="nextTo"/>
        <c:crossAx val="111111111"/>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spcFirstLastPara="1" vertOverflow="ellipsis" vert="horz" wrap="square" anchor="ctr" anchorCtr="1"/>
          <a:lstStyle/>
          <a:p>
            <a:pPr>
              <a:defRPr sz="1200" b="1">
                <a:solidFill>
                  <a:srgbClr val="132346"/>
                </a:solidFill>
                <a:latin typeface="Calibri"/>
              </a:defRPr>
            </a:pPr>
            <a:r>
              <a:rPr lang="es-ES" sz="1200" b="1">
                <a:solidFill>
                  <a:srgbClr val="132346"/>
                </a:solidFill>
                <a:latin typeface="Calibri"/>
              </a:rPr>
              <a:t>FTE por Mesa (57 FTE totales)</a:t>
            </a:r>
          </a:p>
        </c:rich>
      </c:tx>
      <c:overlay val="0"/>
    </c:title>
    <c:autoTitleDeleted val="0"/>
    <c:plotArea>
      <c:layout/>
      <c:barChart>
        <c:barDir val="bar"/>
        <c:grouping val="clustered"/>
        <c:varyColors val="0"/>
        <c:ser>
          <c:idx val="0"/>
          <c:order val="0"/>
          <c:spPr>
            <a:solidFill>
              <a:srgbClr val="21B0F0"/>
            </a:solidFill>
            <a:ln>
              <a:noFill/>
            </a:ln>
          </c:spPr>
          <c:invertIfNegative val="0"/>
          <c:dPt>
            <c:idx val="0"/>
            <c:invertIfNegative val="0"/>
            <c:bubble3D val="0"/>
            <c:spPr>
              <a:solidFill>
                <a:srgbClr val="34D399"/>
              </a:solidFill>
              <a:ln>
                <a:noFill/>
              </a:ln>
            </c:spPr>
            <c:extLst>
              <c:ext xmlns:c16="http://schemas.microsoft.com/office/drawing/2014/chart" uri="{C3380CC4-5D6E-409C-BE32-E72D297353CC}">
                <c16:uniqueId val="{00000001-DCCA-4C7A-9712-0AD1B85CD2DD}"/>
              </c:ext>
            </c:extLst>
          </c:dPt>
          <c:dPt>
            <c:idx val="1"/>
            <c:invertIfNegative val="0"/>
            <c:bubble3D val="0"/>
            <c:spPr>
              <a:solidFill>
                <a:srgbClr val="34D399"/>
              </a:solidFill>
              <a:ln>
                <a:noFill/>
              </a:ln>
            </c:spPr>
            <c:extLst>
              <c:ext xmlns:c16="http://schemas.microsoft.com/office/drawing/2014/chart" uri="{C3380CC4-5D6E-409C-BE32-E72D297353CC}">
                <c16:uniqueId val="{00000003-DCCA-4C7A-9712-0AD1B85CD2DD}"/>
              </c:ext>
            </c:extLst>
          </c:dPt>
          <c:dPt>
            <c:idx val="2"/>
            <c:invertIfNegative val="0"/>
            <c:bubble3D val="0"/>
            <c:spPr>
              <a:solidFill>
                <a:srgbClr val="34D399"/>
              </a:solidFill>
              <a:ln>
                <a:noFill/>
              </a:ln>
            </c:spPr>
            <c:extLst>
              <c:ext xmlns:c16="http://schemas.microsoft.com/office/drawing/2014/chart" uri="{C3380CC4-5D6E-409C-BE32-E72D297353CC}">
                <c16:uniqueId val="{00000005-DCCA-4C7A-9712-0AD1B85CD2DD}"/>
              </c:ext>
            </c:extLst>
          </c:dPt>
          <c:dPt>
            <c:idx val="3"/>
            <c:invertIfNegative val="0"/>
            <c:bubble3D val="0"/>
            <c:spPr>
              <a:solidFill>
                <a:srgbClr val="34D399"/>
              </a:solidFill>
              <a:ln>
                <a:noFill/>
              </a:ln>
            </c:spPr>
            <c:extLst>
              <c:ext xmlns:c16="http://schemas.microsoft.com/office/drawing/2014/chart" uri="{C3380CC4-5D6E-409C-BE32-E72D297353CC}">
                <c16:uniqueId val="{00000007-DCCA-4C7A-9712-0AD1B85CD2DD}"/>
              </c:ext>
            </c:extLst>
          </c:dPt>
          <c:dPt>
            <c:idx val="4"/>
            <c:invertIfNegative val="0"/>
            <c:bubble3D val="0"/>
            <c:spPr>
              <a:solidFill>
                <a:srgbClr val="FBBF24"/>
              </a:solidFill>
              <a:ln>
                <a:noFill/>
              </a:ln>
            </c:spPr>
            <c:extLst>
              <c:ext xmlns:c16="http://schemas.microsoft.com/office/drawing/2014/chart" uri="{C3380CC4-5D6E-409C-BE32-E72D297353CC}">
                <c16:uniqueId val="{00000009-DCCA-4C7A-9712-0AD1B85CD2DD}"/>
              </c:ext>
            </c:extLst>
          </c:dPt>
          <c:dPt>
            <c:idx val="5"/>
            <c:invertIfNegative val="0"/>
            <c:bubble3D val="0"/>
            <c:spPr>
              <a:solidFill>
                <a:srgbClr val="F87171"/>
              </a:solidFill>
              <a:ln>
                <a:noFill/>
              </a:ln>
            </c:spPr>
            <c:extLst>
              <c:ext xmlns:c16="http://schemas.microsoft.com/office/drawing/2014/chart" uri="{C3380CC4-5D6E-409C-BE32-E72D297353CC}">
                <c16:uniqueId val="{0000000B-DCCA-4C7A-9712-0AD1B85CD2DD}"/>
              </c:ext>
            </c:extLst>
          </c:dPt>
          <c:dPt>
            <c:idx val="6"/>
            <c:invertIfNegative val="0"/>
            <c:bubble3D val="0"/>
            <c:spPr>
              <a:solidFill>
                <a:srgbClr val="38BDF8"/>
              </a:solidFill>
              <a:ln>
                <a:noFill/>
              </a:ln>
            </c:spPr>
            <c:extLst>
              <c:ext xmlns:c16="http://schemas.microsoft.com/office/drawing/2014/chart" uri="{C3380CC4-5D6E-409C-BE32-E72D297353CC}">
                <c16:uniqueId val="{0000000D-DCCA-4C7A-9712-0AD1B85CD2DD}"/>
              </c:ext>
            </c:extLst>
          </c:dPt>
          <c:dPt>
            <c:idx val="7"/>
            <c:invertIfNegative val="0"/>
            <c:bubble3D val="0"/>
            <c:spPr>
              <a:solidFill>
                <a:srgbClr val="38BDF8"/>
              </a:solidFill>
              <a:ln>
                <a:noFill/>
              </a:ln>
            </c:spPr>
            <c:extLst>
              <c:ext xmlns:c16="http://schemas.microsoft.com/office/drawing/2014/chart" uri="{C3380CC4-5D6E-409C-BE32-E72D297353CC}">
                <c16:uniqueId val="{0000000F-DCCA-4C7A-9712-0AD1B85CD2DD}"/>
              </c:ext>
            </c:extLst>
          </c:dPt>
          <c:dPt>
            <c:idx val="8"/>
            <c:invertIfNegative val="0"/>
            <c:bubble3D val="0"/>
            <c:spPr>
              <a:solidFill>
                <a:srgbClr val="38BDF8"/>
              </a:solidFill>
              <a:ln>
                <a:noFill/>
              </a:ln>
            </c:spPr>
            <c:extLst>
              <c:ext xmlns:c16="http://schemas.microsoft.com/office/drawing/2014/chart" uri="{C3380CC4-5D6E-409C-BE32-E72D297353CC}">
                <c16:uniqueId val="{00000011-DCCA-4C7A-9712-0AD1B85CD2DD}"/>
              </c:ext>
            </c:extLst>
          </c:dPt>
          <c:dPt>
            <c:idx val="9"/>
            <c:invertIfNegative val="0"/>
            <c:bubble3D val="0"/>
            <c:spPr>
              <a:solidFill>
                <a:srgbClr val="38BDF8"/>
              </a:solidFill>
              <a:ln>
                <a:noFill/>
              </a:ln>
            </c:spPr>
            <c:extLst>
              <c:ext xmlns:c16="http://schemas.microsoft.com/office/drawing/2014/chart" uri="{C3380CC4-5D6E-409C-BE32-E72D297353CC}">
                <c16:uniqueId val="{00000013-DCCA-4C7A-9712-0AD1B85CD2DD}"/>
              </c:ext>
            </c:extLst>
          </c:dPt>
          <c:dPt>
            <c:idx val="10"/>
            <c:invertIfNegative val="0"/>
            <c:bubble3D val="0"/>
            <c:spPr>
              <a:solidFill>
                <a:srgbClr val="38BDF8"/>
              </a:solidFill>
              <a:ln>
                <a:noFill/>
              </a:ln>
            </c:spPr>
            <c:extLst>
              <c:ext xmlns:c16="http://schemas.microsoft.com/office/drawing/2014/chart" uri="{C3380CC4-5D6E-409C-BE32-E72D297353CC}">
                <c16:uniqueId val="{00000015-DCCA-4C7A-9712-0AD1B85CD2DD}"/>
              </c:ext>
            </c:extLst>
          </c:dPt>
          <c:dLbls>
            <c:spPr>
              <a:noFill/>
              <a:ln>
                <a:noFill/>
              </a:ln>
            </c:spPr>
            <c:txPr>
              <a:bodyPr/>
              <a:lstStyle/>
              <a:p>
                <a:pPr>
                  <a:defRPr sz="900" b="1"/>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'Analisis de FTE, Tickets, MTTR'!$A$12:$A$22</c:f>
              <c:strCache>
                <c:ptCount val="11"/>
                <c:pt idx="0">
                  <c:v>SURA Cotizadores</c:v>
                </c:pt>
                <c:pt idx="1">
                  <c:v>SURA Venta Digital</c:v>
                </c:pt>
                <c:pt idx="2">
                  <c:v>SURA Automatización</c:v>
                </c:pt>
                <c:pt idx="3">
                  <c:v>SURA Canales Masivos</c:v>
                </c:pt>
                <c:pt idx="4">
                  <c:v>XM Apps Críticas</c:v>
                </c:pt>
                <c:pt idx="5">
                  <c:v>AES Soporte IT/OT</c:v>
                </c:pt>
                <c:pt idx="6">
                  <c:v>BCO COES Integración</c:v>
                </c:pt>
                <c:pt idx="7">
                  <c:v>BCO COES Datos</c:v>
                </c:pt>
                <c:pt idx="8">
                  <c:v>BCO COES Soporte</c:v>
                </c:pt>
                <c:pt idx="9">
                  <c:v>BCO COES Emma</c:v>
                </c:pt>
                <c:pt idx="10">
                  <c:v>BCO Emma iSeries</c:v>
                </c:pt>
              </c:strCache>
            </c:strRef>
          </c:cat>
          <c:val>
            <c:numRef>
              <c:f>'Analisis de FTE, Tickets, MTTR'!$D$12:$D$22</c:f>
              <c:numCache>
                <c:formatCode>#,##0</c:formatCode>
                <c:ptCount val="11"/>
                <c:pt idx="0">
                  <c:v>8</c:v>
                </c:pt>
                <c:pt idx="1">
                  <c:v>2</c:v>
                </c:pt>
                <c:pt idx="2">
                  <c:v>6</c:v>
                </c:pt>
                <c:pt idx="3">
                  <c:v>1</c:v>
                </c:pt>
                <c:pt idx="4">
                  <c:v>4</c:v>
                </c:pt>
                <c:pt idx="5">
                  <c:v>4</c:v>
                </c:pt>
                <c:pt idx="6">
                  <c:v>7</c:v>
                </c:pt>
                <c:pt idx="7">
                  <c:v>7</c:v>
                </c:pt>
                <c:pt idx="8">
                  <c:v>13</c:v>
                </c:pt>
                <c:pt idx="9">
                  <c:v>4</c:v>
                </c:pt>
                <c:pt idx="10">
                  <c:v>1</c:v>
                </c:pt>
              </c:numCache>
            </c:numRef>
          </c:val>
          <c:extLst>
            <c:ext xmlns:c15="http://schemas.microsoft.com/office/drawing/2012/chart" uri="{02D57815-91ED-43cb-92C2-25804820EDAC}">
              <c15:filteredSeriesTitle>
                <c15:tx>
                  <c:strRef>
                    <c:extLst>
                      <c:ext uri="{02D57815-91ED-43cb-92C2-25804820EDAC}">
                        <c15:formulaRef>
                          <c15:sqref>Serie</c15:sqref>
                        </c15:formulaRef>
                      </c:ext>
                    </c:extLst>
                    <c:strCache>
                      <c:ptCount val="1"/>
                      <c:pt idx="0">
                        <c:v>FTE por Mesa (57 FTE totales)</c:v>
                      </c:pt>
                    </c:strCache>
                  </c:strRef>
                </c15:tx>
              </c15:filteredSeriesTitle>
            </c:ext>
            <c:ext xmlns:c16="http://schemas.microsoft.com/office/drawing/2014/chart" uri="{C3380CC4-5D6E-409C-BE32-E72D297353CC}">
              <c16:uniqueId val="{00000016-DCCA-4C7A-9712-0AD1B85CD2DD}"/>
            </c:ext>
          </c:extLst>
        </c:ser>
        <c:dLbls>
          <c:showLegendKey val="0"/>
          <c:showVal val="1"/>
          <c:showCatName val="0"/>
          <c:showSerName val="0"/>
          <c:showPercent val="0"/>
          <c:showBubbleSize val="0"/>
        </c:dLbls>
        <c:gapWidth val="60"/>
        <c:axId val="111111111"/>
        <c:axId val="222222222"/>
      </c:barChart>
      <c:catAx>
        <c:axId val="111111111"/>
        <c:scaling>
          <c:orientation val="maxMin"/>
        </c:scaling>
        <c:delete val="0"/>
        <c:axPos val="l"/>
        <c:numFmt formatCode="General" sourceLinked="0"/>
        <c:majorTickMark val="cross"/>
        <c:minorTickMark val="cross"/>
        <c:tickLblPos val="nextTo"/>
        <c:txPr>
          <a:bodyPr/>
          <a:lstStyle/>
          <a:p>
            <a:pPr>
              <a:defRPr sz="900"/>
            </a:pPr>
            <a:endParaRPr lang="es-ES"/>
          </a:p>
        </c:txPr>
        <c:crossAx val="222222222"/>
        <c:crosses val="autoZero"/>
        <c:auto val="1"/>
        <c:lblAlgn val="ctr"/>
        <c:lblOffset val="100"/>
        <c:noMultiLvlLbl val="1"/>
      </c:catAx>
      <c:valAx>
        <c:axId val="222222222"/>
        <c:scaling>
          <c:orientation val="minMax"/>
        </c:scaling>
        <c:delete val="0"/>
        <c:axPos val="t"/>
        <c:majorGridlines/>
        <c:numFmt formatCode="General" sourceLinked="0"/>
        <c:majorTickMark val="out"/>
        <c:minorTickMark val="none"/>
        <c:tickLblPos val="nextTo"/>
        <c:crossAx val="111111111"/>
        <c:crosses val="autoZero"/>
        <c:crossBetween val="between"/>
      </c:valAx>
    </c:plotArea>
    <c:plotVisOnly val="1"/>
    <c:dispBlanksAs val="gap"/>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spcFirstLastPara="1" vertOverflow="ellipsis" vert="horz" wrap="square" anchor="ctr" anchorCtr="1"/>
          <a:lstStyle/>
          <a:p>
            <a:pPr>
              <a:defRPr sz="1200" b="1">
                <a:solidFill>
                  <a:srgbClr val="132346"/>
                </a:solidFill>
                <a:latin typeface="Calibri"/>
              </a:defRPr>
            </a:pPr>
            <a:r>
              <a:rPr lang="es-ES" sz="1200" b="1">
                <a:solidFill>
                  <a:srgbClr val="132346"/>
                </a:solidFill>
                <a:latin typeface="Calibri"/>
              </a:rPr>
              <a:t>Tickets por Mesa al Mes (BCO: rango 700–3.000)</a:t>
            </a:r>
          </a:p>
        </c:rich>
      </c:tx>
      <c:overlay val="0"/>
    </c:title>
    <c:autoTitleDeleted val="0"/>
    <c:plotArea>
      <c:layout/>
      <c:barChart>
        <c:barDir val="bar"/>
        <c:grouping val="stacked"/>
        <c:varyColors val="0"/>
        <c:ser>
          <c:idx val="0"/>
          <c:order val="0"/>
          <c:spPr>
            <a:solidFill>
              <a:srgbClr val="34D399"/>
            </a:solidFill>
            <a:ln>
              <a:noFill/>
            </a:ln>
          </c:spPr>
          <c:invertIfNegative val="0"/>
          <c:dPt>
            <c:idx val="0"/>
            <c:invertIfNegative val="0"/>
            <c:bubble3D val="0"/>
            <c:extLst>
              <c:ext xmlns:c16="http://schemas.microsoft.com/office/drawing/2014/chart" uri="{C3380CC4-5D6E-409C-BE32-E72D297353CC}">
                <c16:uniqueId val="{00000001-9373-4CC4-8880-B9D8D7730804}"/>
              </c:ext>
            </c:extLst>
          </c:dPt>
          <c:dPt>
            <c:idx val="1"/>
            <c:invertIfNegative val="0"/>
            <c:bubble3D val="0"/>
            <c:extLst>
              <c:ext xmlns:c16="http://schemas.microsoft.com/office/drawing/2014/chart" uri="{C3380CC4-5D6E-409C-BE32-E72D297353CC}">
                <c16:uniqueId val="{00000003-9373-4CC4-8880-B9D8D7730804}"/>
              </c:ext>
            </c:extLst>
          </c:dPt>
          <c:dPt>
            <c:idx val="2"/>
            <c:invertIfNegative val="0"/>
            <c:bubble3D val="0"/>
            <c:extLst>
              <c:ext xmlns:c16="http://schemas.microsoft.com/office/drawing/2014/chart" uri="{C3380CC4-5D6E-409C-BE32-E72D297353CC}">
                <c16:uniqueId val="{00000005-9373-4CC4-8880-B9D8D7730804}"/>
              </c:ext>
            </c:extLst>
          </c:dPt>
          <c:dPt>
            <c:idx val="3"/>
            <c:invertIfNegative val="0"/>
            <c:bubble3D val="0"/>
            <c:extLst>
              <c:ext xmlns:c16="http://schemas.microsoft.com/office/drawing/2014/chart" uri="{C3380CC4-5D6E-409C-BE32-E72D297353CC}">
                <c16:uniqueId val="{00000007-9373-4CC4-8880-B9D8D7730804}"/>
              </c:ext>
            </c:extLst>
          </c:dPt>
          <c:dPt>
            <c:idx val="4"/>
            <c:invertIfNegative val="0"/>
            <c:bubble3D val="0"/>
            <c:spPr>
              <a:solidFill>
                <a:srgbClr val="FBBF24"/>
              </a:solidFill>
              <a:ln>
                <a:noFill/>
              </a:ln>
            </c:spPr>
            <c:extLst>
              <c:ext xmlns:c16="http://schemas.microsoft.com/office/drawing/2014/chart" uri="{C3380CC4-5D6E-409C-BE32-E72D297353CC}">
                <c16:uniqueId val="{00000009-9373-4CC4-8880-B9D8D7730804}"/>
              </c:ext>
            </c:extLst>
          </c:dPt>
          <c:dLbls>
            <c:spPr>
              <a:noFill/>
              <a:ln>
                <a:noFill/>
              </a:ln>
              <a:effectLst/>
            </c:spPr>
            <c:txPr>
              <a:bodyPr/>
              <a:lstStyle/>
              <a:p>
                <a:pPr>
                  <a:defRPr sz="900" b="1"/>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'Analisis de FTE, Tickets, MTTR'!$F$35:$F$44</c:f>
              <c:strCache>
                <c:ptCount val="10"/>
                <c:pt idx="0">
                  <c:v>SURA Cotizadores</c:v>
                </c:pt>
                <c:pt idx="1">
                  <c:v>SURA Venta Digital</c:v>
                </c:pt>
                <c:pt idx="2">
                  <c:v>SURA Automatización</c:v>
                </c:pt>
                <c:pt idx="3">
                  <c:v>SURA Canales Masivos</c:v>
                </c:pt>
                <c:pt idx="4">
                  <c:v>XM Apps Críticas</c:v>
                </c:pt>
                <c:pt idx="5">
                  <c:v>BCO COES Integración</c:v>
                </c:pt>
                <c:pt idx="6">
                  <c:v>BCO COES Datos</c:v>
                </c:pt>
                <c:pt idx="7">
                  <c:v>BCO COES Soporte</c:v>
                </c:pt>
                <c:pt idx="8">
                  <c:v>BCO COES Emma</c:v>
                </c:pt>
                <c:pt idx="9">
                  <c:v>BCO Emma iSeries</c:v>
                </c:pt>
              </c:strCache>
            </c:strRef>
          </c:cat>
          <c:val>
            <c:numRef>
              <c:f>'Analisis de FTE, Tickets, MTTR'!$G$35:$G$44</c:f>
              <c:numCache>
                <c:formatCode>#,##0</c:formatCode>
                <c:ptCount val="10"/>
                <c:pt idx="0">
                  <c:v>668</c:v>
                </c:pt>
                <c:pt idx="1">
                  <c:v>174</c:v>
                </c:pt>
                <c:pt idx="2">
                  <c:v>512</c:v>
                </c:pt>
                <c:pt idx="3">
                  <c:v>171</c:v>
                </c:pt>
                <c:pt idx="4">
                  <c:v>90</c:v>
                </c:pt>
              </c:numCache>
            </c:numRef>
          </c:val>
          <c:extLst>
            <c:ext xmlns:c15="http://schemas.microsoft.com/office/drawing/2012/chart" uri="{02D57815-91ED-43cb-92C2-25804820EDAC}">
              <c15:filteredSeriesTitle>
                <c15:tx>
                  <c:strRef>
                    <c:extLst>
                      <c:ext uri="{02D57815-91ED-43cb-92C2-25804820EDAC}">
                        <c15:formulaRef>
                          <c15:sqref>s</c15:sqref>
                        </c15:formulaRef>
                      </c:ext>
                    </c:extLst>
                    <c:strCache>
                      <c:ptCount val="1"/>
                      <c:pt idx="0">
                        <c:v>Tickets/mes (registro)</c:v>
                      </c:pt>
                    </c:strCache>
                  </c:strRef>
                </c15:tx>
              </c15:filteredSeriesTitle>
            </c:ext>
            <c:ext xmlns:c16="http://schemas.microsoft.com/office/drawing/2014/chart" uri="{C3380CC4-5D6E-409C-BE32-E72D297353CC}">
              <c16:uniqueId val="{0000000A-9373-4CC4-8880-B9D8D7730804}"/>
            </c:ext>
          </c:extLst>
        </c:ser>
        <c:ser>
          <c:idx val="1"/>
          <c:order val="1"/>
          <c:spPr>
            <a:noFill/>
            <a:ln>
              <a:noFill/>
            </a:ln>
          </c:spPr>
          <c:invertIfNegative val="0"/>
          <c:cat>
            <c:strRef>
              <c:f>'Analisis de FTE, Tickets, MTTR'!$F$35:$F$44</c:f>
              <c:strCache>
                <c:ptCount val="10"/>
                <c:pt idx="0">
                  <c:v>SURA Cotizadores</c:v>
                </c:pt>
                <c:pt idx="1">
                  <c:v>SURA Venta Digital</c:v>
                </c:pt>
                <c:pt idx="2">
                  <c:v>SURA Automatización</c:v>
                </c:pt>
                <c:pt idx="3">
                  <c:v>SURA Canales Masivos</c:v>
                </c:pt>
                <c:pt idx="4">
                  <c:v>XM Apps Críticas</c:v>
                </c:pt>
                <c:pt idx="5">
                  <c:v>BCO COES Integración</c:v>
                </c:pt>
                <c:pt idx="6">
                  <c:v>BCO COES Datos</c:v>
                </c:pt>
                <c:pt idx="7">
                  <c:v>BCO COES Soporte</c:v>
                </c:pt>
                <c:pt idx="8">
                  <c:v>BCO COES Emma</c:v>
                </c:pt>
                <c:pt idx="9">
                  <c:v>BCO Emma iSeries</c:v>
                </c:pt>
              </c:strCache>
            </c:strRef>
          </c:cat>
          <c:val>
            <c:numRef>
              <c:f>'Analisis de FTE, Tickets, MTTR'!$H$35:$H$44</c:f>
              <c:numCache>
                <c:formatCode>General</c:formatCode>
                <c:ptCount val="10"/>
                <c:pt idx="5" formatCode="#,##0">
                  <c:v>700</c:v>
                </c:pt>
                <c:pt idx="6" formatCode="#,##0">
                  <c:v>700</c:v>
                </c:pt>
                <c:pt idx="7" formatCode="#,##0">
                  <c:v>700</c:v>
                </c:pt>
                <c:pt idx="8" formatCode="#,##0">
                  <c:v>700</c:v>
                </c:pt>
                <c:pt idx="9" formatCode="#,##0">
                  <c:v>700</c:v>
                </c:pt>
              </c:numCache>
            </c:numRef>
          </c:val>
          <c:extLst>
            <c:ext xmlns:c15="http://schemas.microsoft.com/office/drawing/2012/chart" uri="{02D57815-91ED-43cb-92C2-25804820EDAC}">
              <c15:filteredSeriesTitle>
                <c15:tx>
                  <c:strRef>
                    <c:extLst>
                      <c:ext uri="{02D57815-91ED-43cb-92C2-25804820EDAC}">
                        <c15:formulaRef>
                          <c15:sqref>s</c15:sqref>
                        </c15:formulaRef>
                      </c:ext>
                    </c:extLst>
                    <c:strCache>
                      <c:ptCount val="1"/>
                      <c:pt idx="0">
                        <c:v>(base rango)</c:v>
                      </c:pt>
                    </c:strCache>
                  </c:strRef>
                </c15:tx>
              </c15:filteredSeriesTitle>
            </c:ext>
            <c:ext xmlns:c16="http://schemas.microsoft.com/office/drawing/2014/chart" uri="{C3380CC4-5D6E-409C-BE32-E72D297353CC}">
              <c16:uniqueId val="{0000000B-9373-4CC4-8880-B9D8D7730804}"/>
            </c:ext>
          </c:extLst>
        </c:ser>
        <c:ser>
          <c:idx val="2"/>
          <c:order val="2"/>
          <c:spPr>
            <a:solidFill>
              <a:srgbClr val="38BDF8"/>
            </a:solidFill>
            <a:ln>
              <a:noFill/>
            </a:ln>
          </c:spPr>
          <c:invertIfNegative val="0"/>
          <c:cat>
            <c:strRef>
              <c:f>'Analisis de FTE, Tickets, MTTR'!$F$35:$F$44</c:f>
              <c:strCache>
                <c:ptCount val="10"/>
                <c:pt idx="0">
                  <c:v>SURA Cotizadores</c:v>
                </c:pt>
                <c:pt idx="1">
                  <c:v>SURA Venta Digital</c:v>
                </c:pt>
                <c:pt idx="2">
                  <c:v>SURA Automatización</c:v>
                </c:pt>
                <c:pt idx="3">
                  <c:v>SURA Canales Masivos</c:v>
                </c:pt>
                <c:pt idx="4">
                  <c:v>XM Apps Críticas</c:v>
                </c:pt>
                <c:pt idx="5">
                  <c:v>BCO COES Integración</c:v>
                </c:pt>
                <c:pt idx="6">
                  <c:v>BCO COES Datos</c:v>
                </c:pt>
                <c:pt idx="7">
                  <c:v>BCO COES Soporte</c:v>
                </c:pt>
                <c:pt idx="8">
                  <c:v>BCO COES Emma</c:v>
                </c:pt>
                <c:pt idx="9">
                  <c:v>BCO Emma iSeries</c:v>
                </c:pt>
              </c:strCache>
            </c:strRef>
          </c:cat>
          <c:val>
            <c:numRef>
              <c:f>'Analisis de FTE, Tickets, MTTR'!$I$35:$I$44</c:f>
              <c:numCache>
                <c:formatCode>General</c:formatCode>
                <c:ptCount val="10"/>
                <c:pt idx="5" formatCode="#,##0">
                  <c:v>2300</c:v>
                </c:pt>
                <c:pt idx="6" formatCode="#,##0">
                  <c:v>2300</c:v>
                </c:pt>
                <c:pt idx="7" formatCode="#,##0">
                  <c:v>2300</c:v>
                </c:pt>
                <c:pt idx="8" formatCode="#,##0">
                  <c:v>2300</c:v>
                </c:pt>
                <c:pt idx="9" formatCode="#,##0">
                  <c:v>2300</c:v>
                </c:pt>
              </c:numCache>
            </c:numRef>
          </c:val>
          <c:extLst>
            <c:ext xmlns:c15="http://schemas.microsoft.com/office/drawing/2012/chart" uri="{02D57815-91ED-43cb-92C2-25804820EDAC}">
              <c15:filteredSeriesTitle>
                <c15:tx>
                  <c:strRef>
                    <c:extLst>
                      <c:ext uri="{02D57815-91ED-43cb-92C2-25804820EDAC}">
                        <c15:formulaRef>
                          <c15:sqref>s</c15:sqref>
                        </c15:formulaRef>
                      </c:ext>
                    </c:extLst>
                    <c:strCache>
                      <c:ptCount val="1"/>
                      <c:pt idx="0">
                        <c:v>BCO rango 700–3.000</c:v>
                      </c:pt>
                    </c:strCache>
                  </c:strRef>
                </c15:tx>
              </c15:filteredSeriesTitle>
            </c:ext>
            <c:ext xmlns:c16="http://schemas.microsoft.com/office/drawing/2014/chart" uri="{C3380CC4-5D6E-409C-BE32-E72D297353CC}">
              <c16:uniqueId val="{0000000C-9373-4CC4-8880-B9D8D7730804}"/>
            </c:ext>
          </c:extLst>
        </c:ser>
        <c:dLbls>
          <c:showLegendKey val="0"/>
          <c:showVal val="0"/>
          <c:showCatName val="0"/>
          <c:showSerName val="0"/>
          <c:showPercent val="0"/>
          <c:showBubbleSize val="0"/>
        </c:dLbls>
        <c:gapWidth val="60"/>
        <c:overlap val="100"/>
        <c:axId val="111111111"/>
        <c:axId val="222222222"/>
      </c:barChart>
      <c:catAx>
        <c:axId val="111111111"/>
        <c:scaling>
          <c:orientation val="maxMin"/>
        </c:scaling>
        <c:delete val="0"/>
        <c:axPos val="l"/>
        <c:numFmt formatCode="General" sourceLinked="0"/>
        <c:majorTickMark val="cross"/>
        <c:minorTickMark val="cross"/>
        <c:tickLblPos val="nextTo"/>
        <c:txPr>
          <a:bodyPr/>
          <a:lstStyle/>
          <a:p>
            <a:pPr>
              <a:defRPr sz="900"/>
            </a:pPr>
            <a:endParaRPr lang="es-ES"/>
          </a:p>
        </c:txPr>
        <c:crossAx val="222222222"/>
        <c:crosses val="autoZero"/>
        <c:auto val="1"/>
        <c:lblAlgn val="ctr"/>
        <c:lblOffset val="100"/>
        <c:noMultiLvlLbl val="1"/>
      </c:catAx>
      <c:valAx>
        <c:axId val="222222222"/>
        <c:scaling>
          <c:orientation val="minMax"/>
        </c:scaling>
        <c:delete val="0"/>
        <c:axPos val="t"/>
        <c:majorGridlines/>
        <c:numFmt formatCode="#,##0" sourceLinked="0"/>
        <c:majorTickMark val="out"/>
        <c:minorTickMark val="none"/>
        <c:tickLblPos val="nextTo"/>
        <c:crossAx val="111111111"/>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spcFirstLastPara="1" vertOverflow="ellipsis" vert="horz" wrap="square" anchor="ctr" anchorCtr="1"/>
          <a:lstStyle/>
          <a:p>
            <a:pPr>
              <a:defRPr sz="1200" b="1">
                <a:solidFill>
                  <a:srgbClr val="132346"/>
                </a:solidFill>
                <a:latin typeface="Calibri"/>
              </a:defRPr>
            </a:pPr>
            <a:r>
              <a:rPr lang="es-ES" sz="1200" b="1">
                <a:solidFill>
                  <a:srgbClr val="132346"/>
                </a:solidFill>
                <a:latin typeface="Calibri"/>
              </a:rPr>
              <a:t>MTTR por Mesa (h) vs Benchmarks</a:t>
            </a:r>
          </a:p>
        </c:rich>
      </c:tx>
      <c:overlay val="0"/>
    </c:title>
    <c:autoTitleDeleted val="0"/>
    <c:plotArea>
      <c:layout/>
      <c:barChart>
        <c:barDir val="bar"/>
        <c:grouping val="clustered"/>
        <c:varyColors val="0"/>
        <c:ser>
          <c:idx val="0"/>
          <c:order val="0"/>
          <c:spPr>
            <a:solidFill>
              <a:srgbClr val="21B0F0"/>
            </a:solidFill>
            <a:ln>
              <a:noFill/>
            </a:ln>
          </c:spPr>
          <c:invertIfNegative val="0"/>
          <c:dPt>
            <c:idx val="0"/>
            <c:invertIfNegative val="0"/>
            <c:bubble3D val="0"/>
            <c:spPr>
              <a:solidFill>
                <a:srgbClr val="F76B6B"/>
              </a:solidFill>
              <a:ln>
                <a:noFill/>
              </a:ln>
            </c:spPr>
            <c:extLst>
              <c:ext xmlns:c16="http://schemas.microsoft.com/office/drawing/2014/chart" uri="{C3380CC4-5D6E-409C-BE32-E72D297353CC}">
                <c16:uniqueId val="{00000001-4BBD-4F8E-A27F-9343F0219283}"/>
              </c:ext>
            </c:extLst>
          </c:dPt>
          <c:dPt>
            <c:idx val="1"/>
            <c:invertIfNegative val="0"/>
            <c:bubble3D val="0"/>
            <c:spPr>
              <a:solidFill>
                <a:srgbClr val="F76B6B"/>
              </a:solidFill>
              <a:ln>
                <a:noFill/>
              </a:ln>
            </c:spPr>
            <c:extLst>
              <c:ext xmlns:c16="http://schemas.microsoft.com/office/drawing/2014/chart" uri="{C3380CC4-5D6E-409C-BE32-E72D297353CC}">
                <c16:uniqueId val="{00000003-4BBD-4F8E-A27F-9343F0219283}"/>
              </c:ext>
            </c:extLst>
          </c:dPt>
          <c:dPt>
            <c:idx val="2"/>
            <c:invertIfNegative val="0"/>
            <c:bubble3D val="0"/>
            <c:spPr>
              <a:solidFill>
                <a:srgbClr val="FBBF24"/>
              </a:solidFill>
              <a:ln>
                <a:noFill/>
              </a:ln>
            </c:spPr>
            <c:extLst>
              <c:ext xmlns:c16="http://schemas.microsoft.com/office/drawing/2014/chart" uri="{C3380CC4-5D6E-409C-BE32-E72D297353CC}">
                <c16:uniqueId val="{00000005-4BBD-4F8E-A27F-9343F0219283}"/>
              </c:ext>
            </c:extLst>
          </c:dPt>
          <c:dPt>
            <c:idx val="3"/>
            <c:invertIfNegative val="0"/>
            <c:bubble3D val="0"/>
            <c:spPr>
              <a:solidFill>
                <a:srgbClr val="8C9BB0"/>
              </a:solidFill>
              <a:ln>
                <a:noFill/>
              </a:ln>
            </c:spPr>
            <c:extLst>
              <c:ext xmlns:c16="http://schemas.microsoft.com/office/drawing/2014/chart" uri="{C3380CC4-5D6E-409C-BE32-E72D297353CC}">
                <c16:uniqueId val="{00000007-4BBD-4F8E-A27F-9343F0219283}"/>
              </c:ext>
            </c:extLst>
          </c:dPt>
          <c:dPt>
            <c:idx val="4"/>
            <c:invertIfNegative val="0"/>
            <c:bubble3D val="0"/>
            <c:spPr>
              <a:solidFill>
                <a:srgbClr val="8C9BB0"/>
              </a:solidFill>
              <a:ln>
                <a:noFill/>
              </a:ln>
            </c:spPr>
            <c:extLst>
              <c:ext xmlns:c16="http://schemas.microsoft.com/office/drawing/2014/chart" uri="{C3380CC4-5D6E-409C-BE32-E72D297353CC}">
                <c16:uniqueId val="{00000009-4BBD-4F8E-A27F-9343F0219283}"/>
              </c:ext>
            </c:extLst>
          </c:dPt>
          <c:dPt>
            <c:idx val="5"/>
            <c:invertIfNegative val="0"/>
            <c:bubble3D val="0"/>
            <c:spPr>
              <a:solidFill>
                <a:srgbClr val="25C88F"/>
              </a:solidFill>
              <a:ln>
                <a:noFill/>
              </a:ln>
            </c:spPr>
            <c:extLst>
              <c:ext xmlns:c16="http://schemas.microsoft.com/office/drawing/2014/chart" uri="{C3380CC4-5D6E-409C-BE32-E72D297353CC}">
                <c16:uniqueId val="{0000000B-4BBD-4F8E-A27F-9343F0219283}"/>
              </c:ext>
            </c:extLst>
          </c:dPt>
          <c:dPt>
            <c:idx val="6"/>
            <c:invertIfNegative val="0"/>
            <c:bubble3D val="0"/>
            <c:spPr>
              <a:solidFill>
                <a:srgbClr val="21B0F0"/>
              </a:solidFill>
              <a:ln>
                <a:noFill/>
              </a:ln>
            </c:spPr>
            <c:extLst>
              <c:ext xmlns:c16="http://schemas.microsoft.com/office/drawing/2014/chart" uri="{C3380CC4-5D6E-409C-BE32-E72D297353CC}">
                <c16:uniqueId val="{0000000D-4BBD-4F8E-A27F-9343F0219283}"/>
              </c:ext>
            </c:extLst>
          </c:dPt>
          <c:dPt>
            <c:idx val="7"/>
            <c:invertIfNegative val="0"/>
            <c:bubble3D val="0"/>
            <c:spPr>
              <a:solidFill>
                <a:srgbClr val="8C9BB0"/>
              </a:solidFill>
              <a:ln>
                <a:noFill/>
              </a:ln>
            </c:spPr>
            <c:extLst>
              <c:ext xmlns:c16="http://schemas.microsoft.com/office/drawing/2014/chart" uri="{C3380CC4-5D6E-409C-BE32-E72D297353CC}">
                <c16:uniqueId val="{0000000F-4BBD-4F8E-A27F-9343F0219283}"/>
              </c:ext>
            </c:extLst>
          </c:dPt>
          <c:dLbls>
            <c:spPr>
              <a:noFill/>
              <a:ln>
                <a:noFill/>
              </a:ln>
            </c:spPr>
            <c:txPr>
              <a:bodyPr/>
              <a:lstStyle/>
              <a:p>
                <a:pPr>
                  <a:defRPr sz="900" b="1"/>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'Analisis de FTE, Tickets, MTTR'!$A$34:$A$41</c:f>
              <c:strCache>
                <c:ptCount val="8"/>
                <c:pt idx="0">
                  <c:v>SURA Cotizadores</c:v>
                </c:pt>
                <c:pt idx="1">
                  <c:v>SURA Canales Masivos</c:v>
                </c:pt>
                <c:pt idx="2">
                  <c:v>SURA Venta Digital</c:v>
                </c:pt>
                <c:pt idx="3">
                  <c:v>Industria promedio</c:v>
                </c:pt>
                <c:pt idx="4">
                  <c:v>World-Class</c:v>
                </c:pt>
                <c:pt idx="5">
                  <c:v>SURA Automatización</c:v>
                </c:pt>
                <c:pt idx="6">
                  <c:v>BCO 5 COES (máx. rango)</c:v>
                </c:pt>
                <c:pt idx="7">
                  <c:v>MEDICARTE (preliminar)</c:v>
                </c:pt>
              </c:strCache>
            </c:strRef>
          </c:cat>
          <c:val>
            <c:numRef>
              <c:f>'Analisis de FTE, Tickets, MTTR'!$B$34:$B$41</c:f>
              <c:numCache>
                <c:formatCode>0.0</c:formatCode>
                <c:ptCount val="8"/>
                <c:pt idx="0">
                  <c:v>24.58</c:v>
                </c:pt>
                <c:pt idx="1">
                  <c:v>17.920000000000002</c:v>
                </c:pt>
                <c:pt idx="2">
                  <c:v>12.38</c:v>
                </c:pt>
                <c:pt idx="3">
                  <c:v>8.85</c:v>
                </c:pt>
                <c:pt idx="4">
                  <c:v>4</c:v>
                </c:pt>
                <c:pt idx="5">
                  <c:v>2.98</c:v>
                </c:pt>
                <c:pt idx="6">
                  <c:v>3</c:v>
                </c:pt>
                <c:pt idx="7">
                  <c:v>0.55000000000000004</c:v>
                </c:pt>
              </c:numCache>
            </c:numRef>
          </c:val>
          <c:extLst>
            <c:ext xmlns:c15="http://schemas.microsoft.com/office/drawing/2012/chart" uri="{02D57815-91ED-43cb-92C2-25804820EDAC}">
              <c15:filteredSeriesTitle>
                <c15:tx>
                  <c:strRef>
                    <c:extLst>
                      <c:ext uri="{02D57815-91ED-43cb-92C2-25804820EDAC}">
                        <c15:formulaRef>
                          <c15:sqref>Serie</c15:sqref>
                        </c15:formulaRef>
                      </c:ext>
                    </c:extLst>
                    <c:strCache>
                      <c:ptCount val="1"/>
                      <c:pt idx="0">
                        <c:v>MTTR por Mesa (h) vs Benchmarks</c:v>
                      </c:pt>
                    </c:strCache>
                  </c:strRef>
                </c15:tx>
              </c15:filteredSeriesTitle>
            </c:ext>
            <c:ext xmlns:c16="http://schemas.microsoft.com/office/drawing/2014/chart" uri="{C3380CC4-5D6E-409C-BE32-E72D297353CC}">
              <c16:uniqueId val="{00000010-4BBD-4F8E-A27F-9343F0219283}"/>
            </c:ext>
          </c:extLst>
        </c:ser>
        <c:dLbls>
          <c:showLegendKey val="0"/>
          <c:showVal val="1"/>
          <c:showCatName val="0"/>
          <c:showSerName val="0"/>
          <c:showPercent val="0"/>
          <c:showBubbleSize val="0"/>
        </c:dLbls>
        <c:gapWidth val="60"/>
        <c:axId val="111111111"/>
        <c:axId val="222222222"/>
      </c:barChart>
      <c:catAx>
        <c:axId val="111111111"/>
        <c:scaling>
          <c:orientation val="maxMin"/>
        </c:scaling>
        <c:delete val="0"/>
        <c:axPos val="l"/>
        <c:numFmt formatCode="General" sourceLinked="0"/>
        <c:majorTickMark val="cross"/>
        <c:minorTickMark val="cross"/>
        <c:tickLblPos val="nextTo"/>
        <c:txPr>
          <a:bodyPr/>
          <a:lstStyle/>
          <a:p>
            <a:pPr>
              <a:defRPr sz="900"/>
            </a:pPr>
            <a:endParaRPr lang="es-ES"/>
          </a:p>
        </c:txPr>
        <c:crossAx val="222222222"/>
        <c:crosses val="autoZero"/>
        <c:auto val="1"/>
        <c:lblAlgn val="ctr"/>
        <c:lblOffset val="100"/>
        <c:noMultiLvlLbl val="1"/>
      </c:catAx>
      <c:valAx>
        <c:axId val="222222222"/>
        <c:scaling>
          <c:orientation val="minMax"/>
        </c:scaling>
        <c:delete val="0"/>
        <c:axPos val="t"/>
        <c:majorGridlines/>
        <c:numFmt formatCode="General" sourceLinked="0"/>
        <c:majorTickMark val="out"/>
        <c:minorTickMark val="none"/>
        <c:tickLblPos val="nextTo"/>
        <c:crossAx val="111111111"/>
        <c:crosses val="autoZero"/>
        <c:crossBetween val="between"/>
      </c:valAx>
    </c:plotArea>
    <c:plotVisOnly val="1"/>
    <c:dispBlanksAs val="gap"/>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spcFirstLastPara="1" vertOverflow="ellipsis" vert="horz" wrap="square" anchor="ctr" anchorCtr="1"/>
          <a:lstStyle/>
          <a:p>
            <a:pPr>
              <a:defRPr sz="1200" b="1">
                <a:solidFill>
                  <a:srgbClr val="132346"/>
                </a:solidFill>
                <a:latin typeface="Calibri"/>
              </a:defRPr>
            </a:pPr>
            <a:r>
              <a:rPr lang="es-ES" sz="1200" b="1">
                <a:solidFill>
                  <a:srgbClr val="132346"/>
                </a:solidFill>
                <a:latin typeface="Calibri"/>
              </a:rPr>
              <a:t>Costo USD por Ticket vs Industria</a:t>
            </a:r>
          </a:p>
        </c:rich>
      </c:tx>
      <c:overlay val="0"/>
    </c:title>
    <c:autoTitleDeleted val="0"/>
    <c:plotArea>
      <c:layout/>
      <c:barChart>
        <c:barDir val="bar"/>
        <c:grouping val="clustered"/>
        <c:varyColors val="0"/>
        <c:ser>
          <c:idx val="0"/>
          <c:order val="0"/>
          <c:spPr>
            <a:solidFill>
              <a:srgbClr val="21B0F0"/>
            </a:solidFill>
            <a:ln>
              <a:noFill/>
            </a:ln>
          </c:spPr>
          <c:invertIfNegative val="0"/>
          <c:dPt>
            <c:idx val="0"/>
            <c:invertIfNegative val="0"/>
            <c:bubble3D val="0"/>
            <c:spPr>
              <a:solidFill>
                <a:srgbClr val="F76B6B"/>
              </a:solidFill>
              <a:ln>
                <a:noFill/>
              </a:ln>
            </c:spPr>
            <c:extLst>
              <c:ext xmlns:c16="http://schemas.microsoft.com/office/drawing/2014/chart" uri="{C3380CC4-5D6E-409C-BE32-E72D297353CC}">
                <c16:uniqueId val="{00000001-3D14-4238-84AB-BD88FDA78268}"/>
              </c:ext>
            </c:extLst>
          </c:dPt>
          <c:dPt>
            <c:idx val="1"/>
            <c:invertIfNegative val="0"/>
            <c:bubble3D val="0"/>
            <c:spPr>
              <a:solidFill>
                <a:srgbClr val="F76B6B"/>
              </a:solidFill>
              <a:ln>
                <a:noFill/>
              </a:ln>
            </c:spPr>
            <c:extLst>
              <c:ext xmlns:c16="http://schemas.microsoft.com/office/drawing/2014/chart" uri="{C3380CC4-5D6E-409C-BE32-E72D297353CC}">
                <c16:uniqueId val="{00000003-3D14-4238-84AB-BD88FDA78268}"/>
              </c:ext>
            </c:extLst>
          </c:dPt>
          <c:dPt>
            <c:idx val="2"/>
            <c:invertIfNegative val="0"/>
            <c:bubble3D val="0"/>
            <c:spPr>
              <a:solidFill>
                <a:srgbClr val="F76B6B"/>
              </a:solidFill>
              <a:ln>
                <a:noFill/>
              </a:ln>
            </c:spPr>
            <c:extLst>
              <c:ext xmlns:c16="http://schemas.microsoft.com/office/drawing/2014/chart" uri="{C3380CC4-5D6E-409C-BE32-E72D297353CC}">
                <c16:uniqueId val="{00000005-3D14-4238-84AB-BD88FDA78268}"/>
              </c:ext>
            </c:extLst>
          </c:dPt>
          <c:dPt>
            <c:idx val="3"/>
            <c:invertIfNegative val="0"/>
            <c:bubble3D val="0"/>
            <c:spPr>
              <a:solidFill>
                <a:srgbClr val="F76B6B"/>
              </a:solidFill>
              <a:ln>
                <a:noFill/>
              </a:ln>
            </c:spPr>
            <c:extLst>
              <c:ext xmlns:c16="http://schemas.microsoft.com/office/drawing/2014/chart" uri="{C3380CC4-5D6E-409C-BE32-E72D297353CC}">
                <c16:uniqueId val="{00000007-3D14-4238-84AB-BD88FDA78268}"/>
              </c:ext>
            </c:extLst>
          </c:dPt>
          <c:dPt>
            <c:idx val="4"/>
            <c:invertIfNegative val="0"/>
            <c:bubble3D val="0"/>
            <c:spPr>
              <a:solidFill>
                <a:srgbClr val="8C9BB0"/>
              </a:solidFill>
              <a:ln>
                <a:noFill/>
              </a:ln>
            </c:spPr>
            <c:extLst>
              <c:ext xmlns:c16="http://schemas.microsoft.com/office/drawing/2014/chart" uri="{C3380CC4-5D6E-409C-BE32-E72D297353CC}">
                <c16:uniqueId val="{00000009-3D14-4238-84AB-BD88FDA78268}"/>
              </c:ext>
            </c:extLst>
          </c:dPt>
          <c:dPt>
            <c:idx val="5"/>
            <c:invertIfNegative val="0"/>
            <c:bubble3D val="0"/>
            <c:spPr>
              <a:solidFill>
                <a:srgbClr val="25C88F"/>
              </a:solidFill>
              <a:ln>
                <a:noFill/>
              </a:ln>
            </c:spPr>
            <c:extLst>
              <c:ext xmlns:c16="http://schemas.microsoft.com/office/drawing/2014/chart" uri="{C3380CC4-5D6E-409C-BE32-E72D297353CC}">
                <c16:uniqueId val="{0000000B-3D14-4238-84AB-BD88FDA78268}"/>
              </c:ext>
            </c:extLst>
          </c:dPt>
          <c:dPt>
            <c:idx val="6"/>
            <c:invertIfNegative val="0"/>
            <c:bubble3D val="0"/>
            <c:extLst>
              <c:ext xmlns:c16="http://schemas.microsoft.com/office/drawing/2014/chart" uri="{C3380CC4-5D6E-409C-BE32-E72D297353CC}">
                <c16:uniqueId val="{0000000D-3D14-4238-84AB-BD88FDA78268}"/>
              </c:ext>
            </c:extLst>
          </c:dPt>
          <c:dLbls>
            <c:spPr>
              <a:noFill/>
              <a:ln>
                <a:noFill/>
              </a:ln>
            </c:spPr>
            <c:txPr>
              <a:bodyPr/>
              <a:lstStyle/>
              <a:p>
                <a:pPr>
                  <a:defRPr sz="900" b="1"/>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'Analisis de FTE, Tickets, MTTR'!$A$46:$A$52</c:f>
              <c:strCache>
                <c:ptCount val="7"/>
                <c:pt idx="0">
                  <c:v>XM Apps Críticas</c:v>
                </c:pt>
                <c:pt idx="1">
                  <c:v>SURA Cotizadores</c:v>
                </c:pt>
                <c:pt idx="2">
                  <c:v>SURA Automatización</c:v>
                </c:pt>
                <c:pt idx="3">
                  <c:v>SURA Venta Digital</c:v>
                </c:pt>
                <c:pt idx="4">
                  <c:v>Industria N1-N2</c:v>
                </c:pt>
                <c:pt idx="5">
                  <c:v>SURA Canales Masivos</c:v>
                </c:pt>
                <c:pt idx="6">
                  <c:v>Meta Gen Next N3</c:v>
                </c:pt>
              </c:strCache>
            </c:strRef>
          </c:cat>
          <c:val>
            <c:numRef>
              <c:f>'Analisis de FTE, Tickets, MTTR'!$B$46:$B$52</c:f>
              <c:numCache>
                <c:formatCode>"$"#,##0</c:formatCode>
                <c:ptCount val="7"/>
                <c:pt idx="0">
                  <c:v>148.99470899470899</c:v>
                </c:pt>
                <c:pt idx="1">
                  <c:v>40.148274878813801</c:v>
                </c:pt>
                <c:pt idx="2">
                  <c:v>39.285714285714285</c:v>
                </c:pt>
                <c:pt idx="3">
                  <c:v>38.533114395183361</c:v>
                </c:pt>
                <c:pt idx="4">
                  <c:v>35</c:v>
                </c:pt>
                <c:pt idx="5">
                  <c:v>19.604566972988025</c:v>
                </c:pt>
                <c:pt idx="6">
                  <c:v>15</c:v>
                </c:pt>
              </c:numCache>
            </c:numRef>
          </c:val>
          <c:extLst>
            <c:ext xmlns:c15="http://schemas.microsoft.com/office/drawing/2012/chart" uri="{02D57815-91ED-43cb-92C2-25804820EDAC}">
              <c15:filteredSeriesTitle>
                <c15:tx>
                  <c:strRef>
                    <c:extLst>
                      <c:ext uri="{02D57815-91ED-43cb-92C2-25804820EDAC}">
                        <c15:formulaRef>
                          <c15:sqref>Serie</c15:sqref>
                        </c15:formulaRef>
                      </c:ext>
                    </c:extLst>
                    <c:strCache>
                      <c:ptCount val="1"/>
                      <c:pt idx="0">
                        <c:v>Costo USD por Ticket vs Industria</c:v>
                      </c:pt>
                    </c:strCache>
                  </c:strRef>
                </c15:tx>
              </c15:filteredSeriesTitle>
            </c:ext>
            <c:ext xmlns:c16="http://schemas.microsoft.com/office/drawing/2014/chart" uri="{C3380CC4-5D6E-409C-BE32-E72D297353CC}">
              <c16:uniqueId val="{0000000E-3D14-4238-84AB-BD88FDA78268}"/>
            </c:ext>
          </c:extLst>
        </c:ser>
        <c:dLbls>
          <c:showLegendKey val="0"/>
          <c:showVal val="1"/>
          <c:showCatName val="0"/>
          <c:showSerName val="0"/>
          <c:showPercent val="0"/>
          <c:showBubbleSize val="0"/>
        </c:dLbls>
        <c:gapWidth val="60"/>
        <c:axId val="111111111"/>
        <c:axId val="222222222"/>
      </c:barChart>
      <c:catAx>
        <c:axId val="111111111"/>
        <c:scaling>
          <c:orientation val="maxMin"/>
        </c:scaling>
        <c:delete val="0"/>
        <c:axPos val="l"/>
        <c:numFmt formatCode="General" sourceLinked="0"/>
        <c:majorTickMark val="cross"/>
        <c:minorTickMark val="cross"/>
        <c:tickLblPos val="nextTo"/>
        <c:txPr>
          <a:bodyPr/>
          <a:lstStyle/>
          <a:p>
            <a:pPr>
              <a:defRPr sz="900"/>
            </a:pPr>
            <a:endParaRPr lang="es-ES"/>
          </a:p>
        </c:txPr>
        <c:crossAx val="222222222"/>
        <c:crosses val="autoZero"/>
        <c:auto val="1"/>
        <c:lblAlgn val="ctr"/>
        <c:lblOffset val="100"/>
        <c:noMultiLvlLbl val="1"/>
      </c:catAx>
      <c:valAx>
        <c:axId val="222222222"/>
        <c:scaling>
          <c:orientation val="minMax"/>
        </c:scaling>
        <c:delete val="0"/>
        <c:axPos val="t"/>
        <c:majorGridlines/>
        <c:numFmt formatCode="General" sourceLinked="0"/>
        <c:majorTickMark val="out"/>
        <c:minorTickMark val="none"/>
        <c:tickLblPos val="nextTo"/>
        <c:crossAx val="111111111"/>
        <c:crosses val="autoZero"/>
        <c:crossBetween val="between"/>
      </c:valAx>
    </c:plotArea>
    <c:plotVisOnly val="1"/>
    <c:dispBlanksAs val="gap"/>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spcFirstLastPara="1" vertOverflow="ellipsis" vert="horz" wrap="square" anchor="ctr" anchorCtr="1"/>
          <a:lstStyle/>
          <a:p>
            <a:pPr>
              <a:defRPr sz="1200" b="1">
                <a:solidFill>
                  <a:srgbClr val="132346"/>
                </a:solidFill>
                <a:latin typeface="Calibri"/>
              </a:defRPr>
            </a:pPr>
            <a:r>
              <a:rPr lang="es-ES" sz="1200" b="1">
                <a:solidFill>
                  <a:srgbClr val="132346"/>
                </a:solidFill>
                <a:latin typeface="Calibri"/>
              </a:rPr>
              <a:t>Distribución de Capacidad — FTE por Cliente (57 FTE)</a:t>
            </a:r>
          </a:p>
        </c:rich>
      </c:tx>
      <c:overlay val="0"/>
    </c:title>
    <c:autoTitleDeleted val="0"/>
    <c:plotArea>
      <c:layout/>
      <c:pieChart>
        <c:varyColors val="1"/>
        <c:ser>
          <c:idx val="0"/>
          <c:order val="0"/>
          <c:dPt>
            <c:idx val="0"/>
            <c:bubble3D val="0"/>
            <c:spPr>
              <a:solidFill>
                <a:srgbClr val="38BDF8"/>
              </a:solidFill>
              <a:ln>
                <a:noFill/>
              </a:ln>
            </c:spPr>
            <c:extLst>
              <c:ext xmlns:c16="http://schemas.microsoft.com/office/drawing/2014/chart" uri="{C3380CC4-5D6E-409C-BE32-E72D297353CC}">
                <c16:uniqueId val="{00000001-881D-41CC-91F4-7EE3DF3515D1}"/>
              </c:ext>
            </c:extLst>
          </c:dPt>
          <c:dPt>
            <c:idx val="1"/>
            <c:bubble3D val="0"/>
            <c:spPr>
              <a:solidFill>
                <a:srgbClr val="34D399"/>
              </a:solidFill>
              <a:ln>
                <a:noFill/>
              </a:ln>
            </c:spPr>
            <c:extLst>
              <c:ext xmlns:c16="http://schemas.microsoft.com/office/drawing/2014/chart" uri="{C3380CC4-5D6E-409C-BE32-E72D297353CC}">
                <c16:uniqueId val="{00000003-881D-41CC-91F4-7EE3DF3515D1}"/>
              </c:ext>
            </c:extLst>
          </c:dPt>
          <c:dPt>
            <c:idx val="2"/>
            <c:bubble3D val="0"/>
            <c:spPr>
              <a:solidFill>
                <a:srgbClr val="FBBF24"/>
              </a:solidFill>
              <a:ln>
                <a:noFill/>
              </a:ln>
            </c:spPr>
            <c:extLst>
              <c:ext xmlns:c16="http://schemas.microsoft.com/office/drawing/2014/chart" uri="{C3380CC4-5D6E-409C-BE32-E72D297353CC}">
                <c16:uniqueId val="{00000005-881D-41CC-91F4-7EE3DF3515D1}"/>
              </c:ext>
            </c:extLst>
          </c:dPt>
          <c:dPt>
            <c:idx val="3"/>
            <c:bubble3D val="0"/>
            <c:spPr>
              <a:solidFill>
                <a:srgbClr val="F87171"/>
              </a:solidFill>
              <a:ln>
                <a:noFill/>
              </a:ln>
            </c:spPr>
            <c:extLst>
              <c:ext xmlns:c16="http://schemas.microsoft.com/office/drawing/2014/chart" uri="{C3380CC4-5D6E-409C-BE32-E72D297353CC}">
                <c16:uniqueId val="{00000007-881D-41CC-91F4-7EE3DF3515D1}"/>
              </c:ext>
            </c:extLst>
          </c:dPt>
          <c:dLbls>
            <c:spPr>
              <a:noFill/>
              <a:ln>
                <a:noFill/>
              </a:ln>
              <a:effectLst/>
            </c:spPr>
            <c:txPr>
              <a:bodyPr/>
              <a:lstStyle/>
              <a:p>
                <a:pPr>
                  <a:defRPr sz="1000" b="1">
                    <a:solidFill>
                      <a:srgbClr val="FFFFFF"/>
                    </a:solidFill>
                  </a:defRPr>
                </a:pPr>
                <a:endParaRPr lang="es-ES"/>
              </a:p>
            </c:txPr>
            <c:showLegendKey val="0"/>
            <c:showVal val="1"/>
            <c:showCatName val="0"/>
            <c:showSerName val="0"/>
            <c:showPercent val="1"/>
            <c:showBubbleSize val="0"/>
            <c:separator> · </c:separator>
            <c:showLeaderLines val="1"/>
            <c:extLst>
              <c:ext xmlns:c15="http://schemas.microsoft.com/office/drawing/2012/chart" uri="{CE6537A1-D6FC-4f65-9D91-7224C49458BB}"/>
            </c:extLst>
          </c:dLbls>
          <c:cat>
            <c:strRef>
              <c:f>'Analisis de FTE, Tickets, MTTR'!$A$56:$A$59</c:f>
              <c:strCache>
                <c:ptCount val="4"/>
                <c:pt idx="0">
                  <c:v>Bancolombia</c:v>
                </c:pt>
                <c:pt idx="1">
                  <c:v>SURA</c:v>
                </c:pt>
                <c:pt idx="2">
                  <c:v>XM</c:v>
                </c:pt>
                <c:pt idx="3">
                  <c:v>AES</c:v>
                </c:pt>
              </c:strCache>
            </c:strRef>
          </c:cat>
          <c:val>
            <c:numRef>
              <c:f>'Analisis de FTE, Tickets, MTTR'!$B$56:$B$59</c:f>
              <c:numCache>
                <c:formatCode>#,##0</c:formatCode>
                <c:ptCount val="4"/>
                <c:pt idx="0">
                  <c:v>32</c:v>
                </c:pt>
                <c:pt idx="1">
                  <c:v>17</c:v>
                </c:pt>
                <c:pt idx="2">
                  <c:v>4</c:v>
                </c:pt>
                <c:pt idx="3">
                  <c:v>4</c:v>
                </c:pt>
              </c:numCache>
            </c:numRef>
          </c:val>
          <c:extLst>
            <c:ext xmlns:c15="http://schemas.microsoft.com/office/drawing/2012/chart" uri="{02D57815-91ED-43cb-92C2-25804820EDAC}">
              <c15:filteredSeriesTitle>
                <c15:tx>
                  <c:strRef>
                    <c:extLst>
                      <c:ext uri="{02D57815-91ED-43cb-92C2-25804820EDAC}">
                        <c15:formulaRef>
                          <c15:sqref>s</c15:sqref>
                        </c15:formulaRef>
                      </c:ext>
                    </c:extLst>
                    <c:strCache>
                      <c:ptCount val="1"/>
                      <c:pt idx="0">
                        <c:v>FTE</c:v>
                      </c:pt>
                    </c:strCache>
                  </c:strRef>
                </c15:tx>
              </c15:filteredSeriesTitle>
            </c:ext>
            <c:ext xmlns:c16="http://schemas.microsoft.com/office/drawing/2014/chart" uri="{C3380CC4-5D6E-409C-BE32-E72D297353CC}">
              <c16:uniqueId val="{00000008-881D-41CC-91F4-7EE3DF3515D1}"/>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spcFirstLastPara="1" vertOverflow="ellipsis" vert="horz" wrap="square" anchor="ctr" anchorCtr="1"/>
          <a:lstStyle/>
          <a:p>
            <a:pPr>
              <a:defRPr sz="1200" b="1">
                <a:solidFill>
                  <a:srgbClr val="132346"/>
                </a:solidFill>
                <a:latin typeface="Calibri"/>
              </a:defRPr>
            </a:pPr>
            <a:r>
              <a:rPr lang="es-ES" sz="1200" b="1">
                <a:solidFill>
                  <a:srgbClr val="132346"/>
                </a:solidFill>
                <a:latin typeface="Calibri"/>
              </a:rPr>
              <a:t>Costo USD/Ticket — XM y Bancolombia vs Industria</a:t>
            </a:r>
          </a:p>
        </c:rich>
      </c:tx>
      <c:overlay val="0"/>
    </c:title>
    <c:autoTitleDeleted val="0"/>
    <c:plotArea>
      <c:layout/>
      <c:barChart>
        <c:barDir val="bar"/>
        <c:grouping val="clustered"/>
        <c:varyColors val="0"/>
        <c:ser>
          <c:idx val="0"/>
          <c:order val="0"/>
          <c:spPr>
            <a:solidFill>
              <a:srgbClr val="21B0F0"/>
            </a:solidFill>
            <a:ln>
              <a:noFill/>
            </a:ln>
          </c:spPr>
          <c:invertIfNegative val="0"/>
          <c:dPt>
            <c:idx val="0"/>
            <c:invertIfNegative val="0"/>
            <c:bubble3D val="0"/>
            <c:spPr>
              <a:solidFill>
                <a:srgbClr val="F76B6B"/>
              </a:solidFill>
              <a:ln>
                <a:noFill/>
              </a:ln>
            </c:spPr>
            <c:extLst>
              <c:ext xmlns:c16="http://schemas.microsoft.com/office/drawing/2014/chart" uri="{C3380CC4-5D6E-409C-BE32-E72D297353CC}">
                <c16:uniqueId val="{00000001-3794-4BF2-9E1D-61A1361CCD5C}"/>
              </c:ext>
            </c:extLst>
          </c:dPt>
          <c:dPt>
            <c:idx val="1"/>
            <c:invertIfNegative val="0"/>
            <c:bubble3D val="0"/>
            <c:spPr>
              <a:solidFill>
                <a:srgbClr val="8C9BB0"/>
              </a:solidFill>
              <a:ln>
                <a:noFill/>
              </a:ln>
            </c:spPr>
            <c:extLst>
              <c:ext xmlns:c16="http://schemas.microsoft.com/office/drawing/2014/chart" uri="{C3380CC4-5D6E-409C-BE32-E72D297353CC}">
                <c16:uniqueId val="{00000003-3794-4BF2-9E1D-61A1361CCD5C}"/>
              </c:ext>
            </c:extLst>
          </c:dPt>
          <c:dPt>
            <c:idx val="2"/>
            <c:invertIfNegative val="0"/>
            <c:bubble3D val="0"/>
            <c:extLst>
              <c:ext xmlns:c16="http://schemas.microsoft.com/office/drawing/2014/chart" uri="{C3380CC4-5D6E-409C-BE32-E72D297353CC}">
                <c16:uniqueId val="{00000005-3794-4BF2-9E1D-61A1361CCD5C}"/>
              </c:ext>
            </c:extLst>
          </c:dPt>
          <c:dPt>
            <c:idx val="3"/>
            <c:invertIfNegative val="0"/>
            <c:bubble3D val="0"/>
            <c:spPr>
              <a:solidFill>
                <a:srgbClr val="7DD3FC"/>
              </a:solidFill>
              <a:ln>
                <a:noFill/>
              </a:ln>
            </c:spPr>
            <c:extLst>
              <c:ext xmlns:c16="http://schemas.microsoft.com/office/drawing/2014/chart" uri="{C3380CC4-5D6E-409C-BE32-E72D297353CC}">
                <c16:uniqueId val="{00000007-3794-4BF2-9E1D-61A1361CCD5C}"/>
              </c:ext>
            </c:extLst>
          </c:dPt>
          <c:dPt>
            <c:idx val="4"/>
            <c:invertIfNegative val="0"/>
            <c:bubble3D val="0"/>
            <c:spPr>
              <a:solidFill>
                <a:srgbClr val="25C88F"/>
              </a:solidFill>
              <a:ln>
                <a:noFill/>
              </a:ln>
            </c:spPr>
            <c:extLst>
              <c:ext xmlns:c16="http://schemas.microsoft.com/office/drawing/2014/chart" uri="{C3380CC4-5D6E-409C-BE32-E72D297353CC}">
                <c16:uniqueId val="{00000009-3794-4BF2-9E1D-61A1361CCD5C}"/>
              </c:ext>
            </c:extLst>
          </c:dPt>
          <c:dLbls>
            <c:spPr>
              <a:noFill/>
              <a:ln>
                <a:noFill/>
              </a:ln>
            </c:spPr>
            <c:txPr>
              <a:bodyPr/>
              <a:lstStyle/>
              <a:p>
                <a:pPr>
                  <a:defRPr sz="900" b="1"/>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'Analisis de FTE, Tickets, MTTR'!$A$110:$A$114</c:f>
              <c:strCache>
                <c:ptCount val="5"/>
                <c:pt idx="0">
                  <c:v>XM Apps Críticas</c:v>
                </c:pt>
                <c:pt idx="1">
                  <c:v>Industria N1-N2 (Benchmark)</c:v>
                </c:pt>
                <c:pt idx="2">
                  <c:v>Bancolombia — estimado MÁXIMO</c:v>
                </c:pt>
                <c:pt idx="3">
                  <c:v>Bancolombia — estimado MÍNIMO</c:v>
                </c:pt>
                <c:pt idx="4">
                  <c:v>Meta Gen Next N3</c:v>
                </c:pt>
              </c:strCache>
            </c:strRef>
          </c:cat>
          <c:val>
            <c:numRef>
              <c:f>'Analisis de FTE, Tickets, MTTR'!$B$110:$B$114</c:f>
              <c:numCache>
                <c:formatCode>"$"#,##0</c:formatCode>
                <c:ptCount val="5"/>
                <c:pt idx="0">
                  <c:v>148.99470899470899</c:v>
                </c:pt>
                <c:pt idx="1">
                  <c:v>35</c:v>
                </c:pt>
                <c:pt idx="2">
                  <c:v>30.650340136054421</c:v>
                </c:pt>
                <c:pt idx="3">
                  <c:v>7.1517460317460317</c:v>
                </c:pt>
                <c:pt idx="4">
                  <c:v>15</c:v>
                </c:pt>
              </c:numCache>
            </c:numRef>
          </c:val>
          <c:extLst>
            <c:ext xmlns:c15="http://schemas.microsoft.com/office/drawing/2012/chart" uri="{02D57815-91ED-43cb-92C2-25804820EDAC}">
              <c15:filteredSeriesTitle>
                <c15:tx>
                  <c:strRef>
                    <c:extLst>
                      <c:ext uri="{02D57815-91ED-43cb-92C2-25804820EDAC}">
                        <c15:formulaRef>
                          <c15:sqref>Serie</c15:sqref>
                        </c15:formulaRef>
                      </c:ext>
                    </c:extLst>
                    <c:strCache>
                      <c:ptCount val="1"/>
                      <c:pt idx="0">
                        <c:v>Costo USD/Ticket — XM y Bancolombia vs Industria</c:v>
                      </c:pt>
                    </c:strCache>
                  </c:strRef>
                </c15:tx>
              </c15:filteredSeriesTitle>
            </c:ext>
            <c:ext xmlns:c16="http://schemas.microsoft.com/office/drawing/2014/chart" uri="{C3380CC4-5D6E-409C-BE32-E72D297353CC}">
              <c16:uniqueId val="{0000000A-3794-4BF2-9E1D-61A1361CCD5C}"/>
            </c:ext>
          </c:extLst>
        </c:ser>
        <c:dLbls>
          <c:showLegendKey val="0"/>
          <c:showVal val="1"/>
          <c:showCatName val="0"/>
          <c:showSerName val="0"/>
          <c:showPercent val="0"/>
          <c:showBubbleSize val="0"/>
        </c:dLbls>
        <c:gapWidth val="60"/>
        <c:axId val="111111111"/>
        <c:axId val="222222222"/>
      </c:barChart>
      <c:catAx>
        <c:axId val="111111111"/>
        <c:scaling>
          <c:orientation val="maxMin"/>
        </c:scaling>
        <c:delete val="0"/>
        <c:axPos val="l"/>
        <c:numFmt formatCode="General" sourceLinked="0"/>
        <c:majorTickMark val="cross"/>
        <c:minorTickMark val="cross"/>
        <c:tickLblPos val="nextTo"/>
        <c:txPr>
          <a:bodyPr/>
          <a:lstStyle/>
          <a:p>
            <a:pPr>
              <a:defRPr sz="900"/>
            </a:pPr>
            <a:endParaRPr lang="es-ES"/>
          </a:p>
        </c:txPr>
        <c:crossAx val="222222222"/>
        <c:crosses val="autoZero"/>
        <c:auto val="1"/>
        <c:lblAlgn val="ctr"/>
        <c:lblOffset val="100"/>
        <c:noMultiLvlLbl val="1"/>
      </c:catAx>
      <c:valAx>
        <c:axId val="222222222"/>
        <c:scaling>
          <c:orientation val="minMax"/>
        </c:scaling>
        <c:delete val="0"/>
        <c:axPos val="t"/>
        <c:majorGridlines/>
        <c:numFmt formatCode="General" sourceLinked="0"/>
        <c:majorTickMark val="out"/>
        <c:minorTickMark val="none"/>
        <c:tickLblPos val="nextTo"/>
        <c:crossAx val="111111111"/>
        <c:crosses val="autoZero"/>
        <c:crossBetween val="between"/>
      </c:valAx>
    </c:plotArea>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3.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png"/><Relationship Id="rId17" Type="http://schemas.openxmlformats.org/officeDocument/2006/relationships/image" Target="../media/image27.png"/><Relationship Id="rId2" Type="http://schemas.openxmlformats.org/officeDocument/2006/relationships/image" Target="../media/image12.png"/><Relationship Id="rId16" Type="http://schemas.openxmlformats.org/officeDocument/2006/relationships/image" Target="../media/image26.png"/><Relationship Id="rId1" Type="http://schemas.openxmlformats.org/officeDocument/2006/relationships/image" Target="../media/image11.png"/><Relationship Id="rId6" Type="http://schemas.openxmlformats.org/officeDocument/2006/relationships/image" Target="../media/image16.png"/><Relationship Id="rId11" Type="http://schemas.openxmlformats.org/officeDocument/2006/relationships/image" Target="../media/image21.png"/><Relationship Id="rId5" Type="http://schemas.openxmlformats.org/officeDocument/2006/relationships/image" Target="../media/image15.png"/><Relationship Id="rId15" Type="http://schemas.openxmlformats.org/officeDocument/2006/relationships/image" Target="../media/image25.png"/><Relationship Id="rId10" Type="http://schemas.openxmlformats.org/officeDocument/2006/relationships/image" Target="../media/image20.png"/><Relationship Id="rId4" Type="http://schemas.openxmlformats.org/officeDocument/2006/relationships/image" Target="../media/image14.png"/><Relationship Id="rId9" Type="http://schemas.openxmlformats.org/officeDocument/2006/relationships/image" Target="../media/image19.png"/><Relationship Id="rId1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1</xdr:col>
      <xdr:colOff>228600</xdr:colOff>
      <xdr:row>2</xdr:row>
      <xdr:rowOff>171450</xdr:rowOff>
    </xdr:from>
    <xdr:to>
      <xdr:col>2</xdr:col>
      <xdr:colOff>739775</xdr:colOff>
      <xdr:row>4</xdr:row>
      <xdr:rowOff>133350</xdr:rowOff>
    </xdr:to>
    <xdr:pic>
      <xdr:nvPicPr>
        <xdr:cNvPr id="2" name="Imagen 1">
          <a:extLst>
            <a:ext uri="{FF2B5EF4-FFF2-40B4-BE49-F238E27FC236}">
              <a16:creationId xmlns:a16="http://schemas.microsoft.com/office/drawing/2014/main" id="{AC36DC54-407F-4A51-907A-AC8DD0E5827C}"/>
            </a:ext>
          </a:extLst>
        </xdr:cNvPr>
        <xdr:cNvPicPr>
          <a:picLocks noChangeAspect="1"/>
        </xdr:cNvPicPr>
      </xdr:nvPicPr>
      <xdr:blipFill>
        <a:blip xmlns:r="http://schemas.openxmlformats.org/officeDocument/2006/relationships" r:embed="rId1"/>
        <a:stretch>
          <a:fillRect/>
        </a:stretch>
      </xdr:blipFill>
      <xdr:spPr>
        <a:xfrm>
          <a:off x="428625" y="447675"/>
          <a:ext cx="1444625" cy="295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47625</xdr:colOff>
      <xdr:row>2</xdr:row>
      <xdr:rowOff>57150</xdr:rowOff>
    </xdr:from>
    <xdr:to>
      <xdr:col>2</xdr:col>
      <xdr:colOff>1492250</xdr:colOff>
      <xdr:row>3</xdr:row>
      <xdr:rowOff>257175</xdr:rowOff>
    </xdr:to>
    <xdr:pic>
      <xdr:nvPicPr>
        <xdr:cNvPr id="2" name="Imagen 1">
          <a:extLst>
            <a:ext uri="{FF2B5EF4-FFF2-40B4-BE49-F238E27FC236}">
              <a16:creationId xmlns:a16="http://schemas.microsoft.com/office/drawing/2014/main" id="{10938E49-ED75-47F2-93D8-2E276AECD829}"/>
            </a:ext>
          </a:extLst>
        </xdr:cNvPr>
        <xdr:cNvPicPr>
          <a:picLocks noChangeAspect="1"/>
        </xdr:cNvPicPr>
      </xdr:nvPicPr>
      <xdr:blipFill>
        <a:blip xmlns:r="http://schemas.openxmlformats.org/officeDocument/2006/relationships" r:embed="rId1"/>
        <a:stretch>
          <a:fillRect/>
        </a:stretch>
      </xdr:blipFill>
      <xdr:spPr>
        <a:xfrm>
          <a:off x="1028700" y="419100"/>
          <a:ext cx="1444625" cy="295275"/>
        </a:xfrm>
        <a:prstGeom prst="rect">
          <a:avLst/>
        </a:prstGeom>
      </xdr:spPr>
    </xdr:pic>
    <xdr:clientData/>
  </xdr:twoCellAnchor>
  <xdr:twoCellAnchor editAs="oneCell">
    <xdr:from>
      <xdr:col>0</xdr:col>
      <xdr:colOff>-47625</xdr:colOff>
      <xdr:row>0</xdr:row>
      <xdr:rowOff>-19050</xdr:rowOff>
    </xdr:from>
    <xdr:to>
      <xdr:col>0</xdr:col>
      <xdr:colOff>-47625</xdr:colOff>
      <xdr:row>0</xdr:row>
      <xdr:rowOff>-19050</xdr:rowOff>
    </xdr:to>
    <xdr:pic>
      <xdr:nvPicPr>
        <xdr:cNvPr id="4" name="Imagen 3">
          <a:extLst>
            <a:ext uri="{FF2B5EF4-FFF2-40B4-BE49-F238E27FC236}">
              <a16:creationId xmlns:a16="http://schemas.microsoft.com/office/drawing/2014/main" id="{6F84E7E0-C60F-6680-A195-8FCF7FFB3ABC}"/>
            </a:ext>
            <a:ext uri="{147F2762-F138-4A5C-976F-8EAC2B608ADB}">
              <a16:predDERef xmlns:a16="http://schemas.microsoft.com/office/drawing/2014/main" pred="{10938E49-ED75-47F2-93D8-2E276AECD829}"/>
            </a:ext>
          </a:extLst>
        </xdr:cNvPr>
        <xdr:cNvPicPr>
          <a:picLocks noChangeAspect="1"/>
        </xdr:cNvPicPr>
      </xdr:nvPicPr>
      <xdr:blipFill>
        <a:blip xmlns:r="http://schemas.openxmlformats.org/officeDocument/2006/relationships" r:embed="rId2"/>
        <a:stretch>
          <a:fillRect/>
        </a:stretch>
      </xdr:blipFill>
      <xdr:spPr>
        <a:xfrm>
          <a:off x="-47625" y="-19050"/>
          <a:ext cx="0" cy="0"/>
        </a:xfrm>
        <a:prstGeom prst="rect">
          <a:avLst/>
        </a:prstGeom>
      </xdr:spPr>
    </xdr:pic>
    <xdr:clientData/>
  </xdr:twoCellAnchor>
  <xdr:twoCellAnchor editAs="oneCell">
    <xdr:from>
      <xdr:col>4</xdr:col>
      <xdr:colOff>314325</xdr:colOff>
      <xdr:row>22</xdr:row>
      <xdr:rowOff>247650</xdr:rowOff>
    </xdr:from>
    <xdr:to>
      <xdr:col>11</xdr:col>
      <xdr:colOff>266700</xdr:colOff>
      <xdr:row>28</xdr:row>
      <xdr:rowOff>923925</xdr:rowOff>
    </xdr:to>
    <xdr:pic>
      <xdr:nvPicPr>
        <xdr:cNvPr id="3" name="Imagen 2">
          <a:extLst>
            <a:ext uri="{FF2B5EF4-FFF2-40B4-BE49-F238E27FC236}">
              <a16:creationId xmlns:a16="http://schemas.microsoft.com/office/drawing/2014/main" id="{5F0A0B03-DB7D-095F-619A-CB9D6E84C83C}"/>
            </a:ext>
            <a:ext uri="{147F2762-F138-4A5C-976F-8EAC2B608ADB}">
              <a16:predDERef xmlns:a16="http://schemas.microsoft.com/office/drawing/2014/main" pred="{6F84E7E0-C60F-6680-A195-8FCF7FFB3ABC}"/>
            </a:ext>
          </a:extLst>
        </xdr:cNvPr>
        <xdr:cNvPicPr>
          <a:picLocks noChangeAspect="1"/>
        </xdr:cNvPicPr>
      </xdr:nvPicPr>
      <xdr:blipFill>
        <a:blip xmlns:r="http://schemas.openxmlformats.org/officeDocument/2006/relationships" r:embed="rId3"/>
        <a:stretch>
          <a:fillRect/>
        </a:stretch>
      </xdr:blipFill>
      <xdr:spPr>
        <a:xfrm>
          <a:off x="5829300" y="6457950"/>
          <a:ext cx="8724900" cy="47910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419100</xdr:colOff>
      <xdr:row>1</xdr:row>
      <xdr:rowOff>238125</xdr:rowOff>
    </xdr:from>
    <xdr:to>
      <xdr:col>1</xdr:col>
      <xdr:colOff>1863725</xdr:colOff>
      <xdr:row>3</xdr:row>
      <xdr:rowOff>76200</xdr:rowOff>
    </xdr:to>
    <xdr:pic>
      <xdr:nvPicPr>
        <xdr:cNvPr id="5" name="Imagen 4">
          <a:extLst>
            <a:ext uri="{FF2B5EF4-FFF2-40B4-BE49-F238E27FC236}">
              <a16:creationId xmlns:a16="http://schemas.microsoft.com/office/drawing/2014/main" id="{530EBDE9-1CAC-4AEA-848F-BF096A0CC5C0}"/>
            </a:ext>
            <a:ext uri="{147F2762-F138-4A5C-976F-8EAC2B608ADB}">
              <a16:predDERef xmlns:a16="http://schemas.microsoft.com/office/drawing/2014/main" pred="{00000000-0008-0000-0300-000003000000}"/>
            </a:ext>
          </a:extLst>
        </xdr:cNvPr>
        <xdr:cNvPicPr>
          <a:picLocks noChangeAspect="1"/>
        </xdr:cNvPicPr>
      </xdr:nvPicPr>
      <xdr:blipFill>
        <a:blip xmlns:r="http://schemas.openxmlformats.org/officeDocument/2006/relationships" r:embed="rId1"/>
        <a:stretch>
          <a:fillRect/>
        </a:stretch>
      </xdr:blipFill>
      <xdr:spPr>
        <a:xfrm>
          <a:off x="619125" y="428625"/>
          <a:ext cx="1444625" cy="295275"/>
        </a:xfrm>
        <a:prstGeom prst="rect">
          <a:avLst/>
        </a:prstGeom>
      </xdr:spPr>
    </xdr:pic>
    <xdr:clientData/>
  </xdr:twoCellAnchor>
  <xdr:twoCellAnchor>
    <xdr:from>
      <xdr:col>1</xdr:col>
      <xdr:colOff>0</xdr:colOff>
      <xdr:row>70</xdr:row>
      <xdr:rowOff>76200</xdr:rowOff>
    </xdr:from>
    <xdr:to>
      <xdr:col>6</xdr:col>
      <xdr:colOff>0</xdr:colOff>
      <xdr:row>95</xdr:row>
      <xdr:rowOff>66675</xdr:rowOff>
    </xdr:to>
    <xdr:graphicFrame macro="">
      <xdr:nvGraphicFramePr>
        <xdr:cNvPr id="6" name="Dashboard - Madurez vs Meta">
          <a:extLst>
            <a:ext uri="{FF2B5EF4-FFF2-40B4-BE49-F238E27FC236}">
              <a16:creationId xmlns:a16="http://schemas.microsoft.com/office/drawing/2014/main" id="{D505DFF7-06C8-5EB9-A657-7A30A6CF877E}"/>
            </a:ext>
            <a:ext uri="{147F2762-F138-4A5C-976F-8EAC2B608ADB}">
              <a16:predDERef xmlns:a16="http://schemas.microsoft.com/office/drawing/2014/main" pred="{530EBDE9-1CAC-4AEA-848F-BF096A0CC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70</xdr:row>
      <xdr:rowOff>9525</xdr:rowOff>
    </xdr:from>
    <xdr:to>
      <xdr:col>14</xdr:col>
      <xdr:colOff>0</xdr:colOff>
      <xdr:row>94</xdr:row>
      <xdr:rowOff>0</xdr:rowOff>
    </xdr:to>
    <xdr:graphicFrame macro="">
      <xdr:nvGraphicFramePr>
        <xdr:cNvPr id="7" name="Dashboard - Score Global">
          <a:extLst>
            <a:ext uri="{FF2B5EF4-FFF2-40B4-BE49-F238E27FC236}">
              <a16:creationId xmlns:a16="http://schemas.microsoft.com/office/drawing/2014/main" id="{5AA5A4B2-B813-7641-46DD-3DDE050D9589}"/>
            </a:ext>
            <a:ext uri="{147F2762-F138-4A5C-976F-8EAC2B608ADB}">
              <a16:predDERef xmlns:a16="http://schemas.microsoft.com/office/drawing/2014/main" pred="{D505DFF7-06C8-5EB9-A657-7A30A6CF8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95</xdr:row>
      <xdr:rowOff>0</xdr:rowOff>
    </xdr:from>
    <xdr:to>
      <xdr:col>6</xdr:col>
      <xdr:colOff>0</xdr:colOff>
      <xdr:row>112</xdr:row>
      <xdr:rowOff>0</xdr:rowOff>
    </xdr:to>
    <xdr:graphicFrame macro="">
      <xdr:nvGraphicFramePr>
        <xdr:cNvPr id="8" name="Dashboard - Dolores Activos">
          <a:extLst>
            <a:ext uri="{FF2B5EF4-FFF2-40B4-BE49-F238E27FC236}">
              <a16:creationId xmlns:a16="http://schemas.microsoft.com/office/drawing/2014/main" id="{F42AB68C-1015-D08A-9441-5FFE9BC84BCF}"/>
            </a:ext>
            <a:ext uri="{147F2762-F138-4A5C-976F-8EAC2B608ADB}">
              <a16:predDERef xmlns:a16="http://schemas.microsoft.com/office/drawing/2014/main" pred="{5AA5A4B2-B813-7641-46DD-3DDE050D9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95</xdr:row>
      <xdr:rowOff>0</xdr:rowOff>
    </xdr:from>
    <xdr:to>
      <xdr:col>14</xdr:col>
      <xdr:colOff>0</xdr:colOff>
      <xdr:row>112</xdr:row>
      <xdr:rowOff>0</xdr:rowOff>
    </xdr:to>
    <xdr:graphicFrame macro="">
      <xdr:nvGraphicFramePr>
        <xdr:cNvPr id="9" name="Dashboard - KPI Benchmark">
          <a:extLst>
            <a:ext uri="{FF2B5EF4-FFF2-40B4-BE49-F238E27FC236}">
              <a16:creationId xmlns:a16="http://schemas.microsoft.com/office/drawing/2014/main" id="{B6E94EE2-9C53-BDB7-3FE8-6B356DDC4DF8}"/>
            </a:ext>
            <a:ext uri="{147F2762-F138-4A5C-976F-8EAC2B608ADB}">
              <a16:predDERef xmlns:a16="http://schemas.microsoft.com/office/drawing/2014/main" pred="{F42AB68C-1015-D08A-9441-5FFE9BC84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116</xdr:row>
      <xdr:rowOff>0</xdr:rowOff>
    </xdr:from>
    <xdr:to>
      <xdr:col>14</xdr:col>
      <xdr:colOff>0</xdr:colOff>
      <xdr:row>137</xdr:row>
      <xdr:rowOff>0</xdr:rowOff>
    </xdr:to>
    <xdr:graphicFrame macro="">
      <xdr:nvGraphicFramePr>
        <xdr:cNvPr id="2" name="Dashboard - Cobertura 11 Dimensiones">
          <a:extLst>
            <a:ext uri="{FF2B5EF4-FFF2-40B4-BE49-F238E27FC236}">
              <a16:creationId xmlns:a16="http://schemas.microsoft.com/office/drawing/2014/main" id="{8D0C6950-BCAB-0971-212E-6F61016D480D}"/>
            </a:ext>
            <a:ext uri="{147F2762-F138-4A5C-976F-8EAC2B608ADB}">
              <a16:predDERef xmlns:a16="http://schemas.microsoft.com/office/drawing/2014/main" pred="{B6E94EE2-9C53-BDB7-3FE8-6B356DDC4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209550</xdr:colOff>
      <xdr:row>1</xdr:row>
      <xdr:rowOff>161925</xdr:rowOff>
    </xdr:from>
    <xdr:to>
      <xdr:col>3</xdr:col>
      <xdr:colOff>377825</xdr:colOff>
      <xdr:row>3</xdr:row>
      <xdr:rowOff>47625</xdr:rowOff>
    </xdr:to>
    <xdr:pic>
      <xdr:nvPicPr>
        <xdr:cNvPr id="2" name="Imagen 1">
          <a:extLst>
            <a:ext uri="{FF2B5EF4-FFF2-40B4-BE49-F238E27FC236}">
              <a16:creationId xmlns:a16="http://schemas.microsoft.com/office/drawing/2014/main" id="{8AE24F05-DC4D-4D9B-A233-A49134030C7F}"/>
            </a:ext>
            <a:ext uri="{147F2762-F138-4A5C-976F-8EAC2B608ADB}">
              <a16:predDERef xmlns:a16="http://schemas.microsoft.com/office/drawing/2014/main" pred="{00000000-0008-0000-0400-000007000000}"/>
            </a:ext>
          </a:extLst>
        </xdr:cNvPr>
        <xdr:cNvPicPr>
          <a:picLocks noChangeAspect="1"/>
        </xdr:cNvPicPr>
      </xdr:nvPicPr>
      <xdr:blipFill>
        <a:blip xmlns:r="http://schemas.openxmlformats.org/officeDocument/2006/relationships" r:embed="rId1"/>
        <a:stretch>
          <a:fillRect/>
        </a:stretch>
      </xdr:blipFill>
      <xdr:spPr>
        <a:xfrm>
          <a:off x="409575" y="352425"/>
          <a:ext cx="1444625" cy="295275"/>
        </a:xfrm>
        <a:prstGeom prst="rect">
          <a:avLst/>
        </a:prstGeom>
      </xdr:spPr>
    </xdr:pic>
    <xdr:clientData/>
  </xdr:twoCellAnchor>
  <xdr:twoCellAnchor>
    <xdr:from>
      <xdr:col>1</xdr:col>
      <xdr:colOff>0</xdr:colOff>
      <xdr:row>8</xdr:row>
      <xdr:rowOff>0</xdr:rowOff>
    </xdr:from>
    <xdr:to>
      <xdr:col>8</xdr:col>
      <xdr:colOff>0</xdr:colOff>
      <xdr:row>24</xdr:row>
      <xdr:rowOff>0</xdr:rowOff>
    </xdr:to>
    <xdr:graphicFrame macro="">
      <xdr:nvGraphicFramePr>
        <xdr:cNvPr id="3" name="① Identificación general">
          <a:extLst>
            <a:ext uri="{FF2B5EF4-FFF2-40B4-BE49-F238E27FC236}">
              <a16:creationId xmlns:a16="http://schemas.microsoft.com/office/drawing/2014/main" id="{9A24A2B1-7063-A388-4E3C-5F7D0985BC4C}"/>
            </a:ext>
            <a:ext uri="{147F2762-F138-4A5C-976F-8EAC2B608ADB}">
              <a16:predDERef xmlns:a16="http://schemas.microsoft.com/office/drawing/2014/main" pred="{8AE24F05-DC4D-4D9B-A233-A49134030C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8</xdr:row>
      <xdr:rowOff>0</xdr:rowOff>
    </xdr:from>
    <xdr:to>
      <xdr:col>16</xdr:col>
      <xdr:colOff>0</xdr:colOff>
      <xdr:row>24</xdr:row>
      <xdr:rowOff>0</xdr:rowOff>
    </xdr:to>
    <xdr:graphicFrame macro="">
      <xdr:nvGraphicFramePr>
        <xdr:cNvPr id="4" name="② Madurez actual">
          <a:extLst>
            <a:ext uri="{FF2B5EF4-FFF2-40B4-BE49-F238E27FC236}">
              <a16:creationId xmlns:a16="http://schemas.microsoft.com/office/drawing/2014/main" id="{59B985C2-3F43-9353-AC21-95863CBE0356}"/>
            </a:ext>
            <a:ext uri="{147F2762-F138-4A5C-976F-8EAC2B608ADB}">
              <a16:predDERef xmlns:a16="http://schemas.microsoft.com/office/drawing/2014/main" pred="{9A24A2B1-7063-A388-4E3C-5F7D0985B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25</xdr:row>
      <xdr:rowOff>0</xdr:rowOff>
    </xdr:from>
    <xdr:to>
      <xdr:col>8</xdr:col>
      <xdr:colOff>0</xdr:colOff>
      <xdr:row>41</xdr:row>
      <xdr:rowOff>0</xdr:rowOff>
    </xdr:to>
    <xdr:graphicFrame macro="">
      <xdr:nvGraphicFramePr>
        <xdr:cNvPr id="5" name="③ Score ITIL">
          <a:extLst>
            <a:ext uri="{FF2B5EF4-FFF2-40B4-BE49-F238E27FC236}">
              <a16:creationId xmlns:a16="http://schemas.microsoft.com/office/drawing/2014/main" id="{692AC576-BE64-C1D7-6308-FC4A505E4F8F}"/>
            </a:ext>
            <a:ext uri="{147F2762-F138-4A5C-976F-8EAC2B608ADB}">
              <a16:predDERef xmlns:a16="http://schemas.microsoft.com/office/drawing/2014/main" pred="{59B985C2-3F43-9353-AC21-95863CBE0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25</xdr:row>
      <xdr:rowOff>0</xdr:rowOff>
    </xdr:from>
    <xdr:to>
      <xdr:col>16</xdr:col>
      <xdr:colOff>0</xdr:colOff>
      <xdr:row>41</xdr:row>
      <xdr:rowOff>0</xdr:rowOff>
    </xdr:to>
    <xdr:graphicFrame macro="">
      <xdr:nvGraphicFramePr>
        <xdr:cNvPr id="6" name="④ KPIs operativos">
          <a:extLst>
            <a:ext uri="{FF2B5EF4-FFF2-40B4-BE49-F238E27FC236}">
              <a16:creationId xmlns:a16="http://schemas.microsoft.com/office/drawing/2014/main" id="{1308E23F-2F8E-FCCE-FBC1-7DA7A4BFAF86}"/>
            </a:ext>
            <a:ext uri="{147F2762-F138-4A5C-976F-8EAC2B608ADB}">
              <a16:predDERef xmlns:a16="http://schemas.microsoft.com/office/drawing/2014/main" pred="{692AC576-BE64-C1D7-6308-FC4A505E4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42</xdr:row>
      <xdr:rowOff>0</xdr:rowOff>
    </xdr:from>
    <xdr:to>
      <xdr:col>8</xdr:col>
      <xdr:colOff>0</xdr:colOff>
      <xdr:row>58</xdr:row>
      <xdr:rowOff>0</xdr:rowOff>
    </xdr:to>
    <xdr:graphicFrame macro="">
      <xdr:nvGraphicFramePr>
        <xdr:cNvPr id="7" name="④b Incidentes categoria">
          <a:extLst>
            <a:ext uri="{FF2B5EF4-FFF2-40B4-BE49-F238E27FC236}">
              <a16:creationId xmlns:a16="http://schemas.microsoft.com/office/drawing/2014/main" id="{F92A4488-F8BA-F928-6517-B5514D1E28D6}"/>
            </a:ext>
            <a:ext uri="{147F2762-F138-4A5C-976F-8EAC2B608ADB}">
              <a16:predDERef xmlns:a16="http://schemas.microsoft.com/office/drawing/2014/main" pred="{1308E23F-2F8E-FCCE-FBC1-7DA7A4BFA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42</xdr:row>
      <xdr:rowOff>0</xdr:rowOff>
    </xdr:from>
    <xdr:to>
      <xdr:col>16</xdr:col>
      <xdr:colOff>0</xdr:colOff>
      <xdr:row>58</xdr:row>
      <xdr:rowOff>0</xdr:rowOff>
    </xdr:to>
    <xdr:graphicFrame macro="">
      <xdr:nvGraphicFramePr>
        <xdr:cNvPr id="16" name="⑤ XLA DEX">
          <a:extLst>
            <a:ext uri="{FF2B5EF4-FFF2-40B4-BE49-F238E27FC236}">
              <a16:creationId xmlns:a16="http://schemas.microsoft.com/office/drawing/2014/main" id="{AD2A7DBE-16E1-5DBA-B4D2-0A771F564A35}"/>
            </a:ext>
            <a:ext uri="{147F2762-F138-4A5C-976F-8EAC2B608ADB}">
              <a16:predDERef xmlns:a16="http://schemas.microsoft.com/office/drawing/2014/main" pred="{F92A4488-F8BA-F928-6517-B5514D1E28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59</xdr:row>
      <xdr:rowOff>0</xdr:rowOff>
    </xdr:from>
    <xdr:to>
      <xdr:col>8</xdr:col>
      <xdr:colOff>0</xdr:colOff>
      <xdr:row>75</xdr:row>
      <xdr:rowOff>0</xdr:rowOff>
    </xdr:to>
    <xdr:graphicFrame macro="">
      <xdr:nvGraphicFramePr>
        <xdr:cNvPr id="17" name="⑥ Dolores criticos">
          <a:extLst>
            <a:ext uri="{FF2B5EF4-FFF2-40B4-BE49-F238E27FC236}">
              <a16:creationId xmlns:a16="http://schemas.microsoft.com/office/drawing/2014/main" id="{70C35F66-E7C1-6ED4-C60B-8B5C15C231BC}"/>
            </a:ext>
            <a:ext uri="{147F2762-F138-4A5C-976F-8EAC2B608ADB}">
              <a16:predDERef xmlns:a16="http://schemas.microsoft.com/office/drawing/2014/main" pred="{AD2A7DBE-16E1-5DBA-B4D2-0A771F564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0</xdr:colOff>
      <xdr:row>59</xdr:row>
      <xdr:rowOff>0</xdr:rowOff>
    </xdr:from>
    <xdr:to>
      <xdr:col>16</xdr:col>
      <xdr:colOff>0</xdr:colOff>
      <xdr:row>75</xdr:row>
      <xdr:rowOff>0</xdr:rowOff>
    </xdr:to>
    <xdr:graphicFrame macro="">
      <xdr:nvGraphicFramePr>
        <xdr:cNvPr id="18" name="⑦ Rotacion talento">
          <a:extLst>
            <a:ext uri="{FF2B5EF4-FFF2-40B4-BE49-F238E27FC236}">
              <a16:creationId xmlns:a16="http://schemas.microsoft.com/office/drawing/2014/main" id="{01DC7C3C-6B2F-FC98-0696-F7B38E222F62}"/>
            </a:ext>
            <a:ext uri="{147F2762-F138-4A5C-976F-8EAC2B608ADB}">
              <a16:predDERef xmlns:a16="http://schemas.microsoft.com/office/drawing/2014/main" pred="{70C35F66-E7C1-6ED4-C60B-8B5C15C23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76</xdr:row>
      <xdr:rowOff>0</xdr:rowOff>
    </xdr:from>
    <xdr:to>
      <xdr:col>8</xdr:col>
      <xdr:colOff>0</xdr:colOff>
      <xdr:row>92</xdr:row>
      <xdr:rowOff>0</xdr:rowOff>
    </xdr:to>
    <xdr:graphicFrame macro="">
      <xdr:nvGraphicFramePr>
        <xdr:cNvPr id="19" name="⑧ Tecnologia herramientas">
          <a:extLst>
            <a:ext uri="{FF2B5EF4-FFF2-40B4-BE49-F238E27FC236}">
              <a16:creationId xmlns:a16="http://schemas.microsoft.com/office/drawing/2014/main" id="{41E68282-A7BB-DFE2-A254-3125CB251F32}"/>
            </a:ext>
            <a:ext uri="{147F2762-F138-4A5C-976F-8EAC2B608ADB}">
              <a16:predDERef xmlns:a16="http://schemas.microsoft.com/office/drawing/2014/main" pred="{01DC7C3C-6B2F-FC98-0696-F7B38E222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0</xdr:colOff>
      <xdr:row>76</xdr:row>
      <xdr:rowOff>0</xdr:rowOff>
    </xdr:from>
    <xdr:to>
      <xdr:col>16</xdr:col>
      <xdr:colOff>0</xdr:colOff>
      <xdr:row>92</xdr:row>
      <xdr:rowOff>0</xdr:rowOff>
    </xdr:to>
    <xdr:graphicFrame macro="">
      <xdr:nvGraphicFramePr>
        <xdr:cNvPr id="20" name="⑨ Modelo economico">
          <a:extLst>
            <a:ext uri="{FF2B5EF4-FFF2-40B4-BE49-F238E27FC236}">
              <a16:creationId xmlns:a16="http://schemas.microsoft.com/office/drawing/2014/main" id="{F80219B4-F551-9144-58C4-45241CFB473B}"/>
            </a:ext>
            <a:ext uri="{147F2762-F138-4A5C-976F-8EAC2B608ADB}">
              <a16:predDERef xmlns:a16="http://schemas.microsoft.com/office/drawing/2014/main" pred="{41E68282-A7BB-DFE2-A254-3125CB251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0</xdr:colOff>
      <xdr:row>93</xdr:row>
      <xdr:rowOff>0</xdr:rowOff>
    </xdr:from>
    <xdr:to>
      <xdr:col>8</xdr:col>
      <xdr:colOff>0</xdr:colOff>
      <xdr:row>109</xdr:row>
      <xdr:rowOff>0</xdr:rowOff>
    </xdr:to>
    <xdr:graphicFrame macro="">
      <xdr:nvGraphicFramePr>
        <xdr:cNvPr id="21" name="⑩ Vision nuevo servicio">
          <a:extLst>
            <a:ext uri="{FF2B5EF4-FFF2-40B4-BE49-F238E27FC236}">
              <a16:creationId xmlns:a16="http://schemas.microsoft.com/office/drawing/2014/main" id="{84A32564-1089-33D3-5689-D9F5BB9A3A10}"/>
            </a:ext>
            <a:ext uri="{147F2762-F138-4A5C-976F-8EAC2B608ADB}">
              <a16:predDERef xmlns:a16="http://schemas.microsoft.com/office/drawing/2014/main" pred="{F80219B4-F551-9144-58C4-45241CFB4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0</xdr:colOff>
      <xdr:row>93</xdr:row>
      <xdr:rowOff>0</xdr:rowOff>
    </xdr:from>
    <xdr:to>
      <xdr:col>16</xdr:col>
      <xdr:colOff>0</xdr:colOff>
      <xdr:row>109</xdr:row>
      <xdr:rowOff>0</xdr:rowOff>
    </xdr:to>
    <xdr:graphicFrame macro="">
      <xdr:nvGraphicFramePr>
        <xdr:cNvPr id="22" name="⑪ Casos exito">
          <a:extLst>
            <a:ext uri="{FF2B5EF4-FFF2-40B4-BE49-F238E27FC236}">
              <a16:creationId xmlns:a16="http://schemas.microsoft.com/office/drawing/2014/main" id="{5E00B8DE-D119-EAB2-85B9-DCB37696D811}"/>
            </a:ext>
            <a:ext uri="{147F2762-F138-4A5C-976F-8EAC2B608ADB}">
              <a16:predDERef xmlns:a16="http://schemas.microsoft.com/office/drawing/2014/main" pred="{84A32564-1089-33D3-5689-D9F5BB9A3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11</xdr:col>
      <xdr:colOff>542925</xdr:colOff>
      <xdr:row>44</xdr:row>
      <xdr:rowOff>85725</xdr:rowOff>
    </xdr:to>
    <xdr:pic>
      <xdr:nvPicPr>
        <xdr:cNvPr id="2" name="Imagen 1">
          <a:extLst>
            <a:ext uri="{FF2B5EF4-FFF2-40B4-BE49-F238E27FC236}">
              <a16:creationId xmlns:a16="http://schemas.microsoft.com/office/drawing/2014/main" id="{479D88CA-002B-57FC-04C3-987ACE7ABB0F}"/>
            </a:ext>
          </a:extLst>
        </xdr:cNvPr>
        <xdr:cNvPicPr>
          <a:picLocks noChangeAspect="1"/>
        </xdr:cNvPicPr>
      </xdr:nvPicPr>
      <xdr:blipFill>
        <a:blip xmlns:r="http://schemas.openxmlformats.org/officeDocument/2006/relationships" r:embed="rId1"/>
        <a:stretch>
          <a:fillRect/>
        </a:stretch>
      </xdr:blipFill>
      <xdr:spPr>
        <a:xfrm>
          <a:off x="0" y="0"/>
          <a:ext cx="9077325" cy="8277225"/>
        </a:xfrm>
        <a:prstGeom prst="rect">
          <a:avLst/>
        </a:prstGeom>
      </xdr:spPr>
    </xdr:pic>
    <xdr:clientData/>
  </xdr:twoCellAnchor>
  <xdr:twoCellAnchor editAs="oneCell">
    <xdr:from>
      <xdr:col>15</xdr:col>
      <xdr:colOff>276225</xdr:colOff>
      <xdr:row>1</xdr:row>
      <xdr:rowOff>28575</xdr:rowOff>
    </xdr:from>
    <xdr:to>
      <xdr:col>29</xdr:col>
      <xdr:colOff>542925</xdr:colOff>
      <xdr:row>26</xdr:row>
      <xdr:rowOff>66675</xdr:rowOff>
    </xdr:to>
    <xdr:pic>
      <xdr:nvPicPr>
        <xdr:cNvPr id="3" name="Imagen 2">
          <a:extLst>
            <a:ext uri="{FF2B5EF4-FFF2-40B4-BE49-F238E27FC236}">
              <a16:creationId xmlns:a16="http://schemas.microsoft.com/office/drawing/2014/main" id="{82411835-395C-5F03-4527-BDC11B52A759}"/>
            </a:ext>
            <a:ext uri="{147F2762-F138-4A5C-976F-8EAC2B608ADB}">
              <a16:predDERef xmlns:a16="http://schemas.microsoft.com/office/drawing/2014/main" pred="{479D88CA-002B-57FC-04C3-987ACE7ABB0F}"/>
            </a:ext>
          </a:extLst>
        </xdr:cNvPr>
        <xdr:cNvPicPr>
          <a:picLocks noChangeAspect="1"/>
        </xdr:cNvPicPr>
      </xdr:nvPicPr>
      <xdr:blipFill>
        <a:blip xmlns:r="http://schemas.openxmlformats.org/officeDocument/2006/relationships" r:embed="rId2"/>
        <a:stretch>
          <a:fillRect/>
        </a:stretch>
      </xdr:blipFill>
      <xdr:spPr>
        <a:xfrm>
          <a:off x="9420225" y="28575"/>
          <a:ext cx="8801100" cy="4800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82</xdr:row>
      <xdr:rowOff>0</xdr:rowOff>
    </xdr:from>
    <xdr:to>
      <xdr:col>13</xdr:col>
      <xdr:colOff>0</xdr:colOff>
      <xdr:row>106</xdr:row>
      <xdr:rowOff>0</xdr:rowOff>
    </xdr:to>
    <xdr:graphicFrame macro="">
      <xdr:nvGraphicFramePr>
        <xdr:cNvPr id="106" name="Mapa de dolores">
          <a:extLst>
            <a:ext uri="{FF2B5EF4-FFF2-40B4-BE49-F238E27FC236}">
              <a16:creationId xmlns:a16="http://schemas.microsoft.com/office/drawing/2014/main" id="{00000000-0008-0000-0900-00006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128</xdr:row>
      <xdr:rowOff>0</xdr:rowOff>
    </xdr:from>
    <xdr:to>
      <xdr:col>7</xdr:col>
      <xdr:colOff>0</xdr:colOff>
      <xdr:row>145</xdr:row>
      <xdr:rowOff>0</xdr:rowOff>
    </xdr:to>
    <xdr:graphicFrame macro="">
      <xdr:nvGraphicFramePr>
        <xdr:cNvPr id="101" name="FTE por mesa">
          <a:extLst>
            <a:ext uri="{FF2B5EF4-FFF2-40B4-BE49-F238E27FC236}">
              <a16:creationId xmlns:a16="http://schemas.microsoft.com/office/drawing/2014/main" id="{00000000-0008-0000-0900-00006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128</xdr:row>
      <xdr:rowOff>0</xdr:rowOff>
    </xdr:from>
    <xdr:to>
      <xdr:col>14</xdr:col>
      <xdr:colOff>0</xdr:colOff>
      <xdr:row>145</xdr:row>
      <xdr:rowOff>0</xdr:rowOff>
    </xdr:to>
    <xdr:graphicFrame macro="">
      <xdr:nvGraphicFramePr>
        <xdr:cNvPr id="102" name="Tickets por mesa">
          <a:extLst>
            <a:ext uri="{FF2B5EF4-FFF2-40B4-BE49-F238E27FC236}">
              <a16:creationId xmlns:a16="http://schemas.microsoft.com/office/drawing/2014/main" id="{00000000-0008-0000-0900-00006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147</xdr:row>
      <xdr:rowOff>0</xdr:rowOff>
    </xdr:from>
    <xdr:to>
      <xdr:col>7</xdr:col>
      <xdr:colOff>0</xdr:colOff>
      <xdr:row>164</xdr:row>
      <xdr:rowOff>0</xdr:rowOff>
    </xdr:to>
    <xdr:graphicFrame macro="">
      <xdr:nvGraphicFramePr>
        <xdr:cNvPr id="103" name="MTTR vs benchmarks">
          <a:extLst>
            <a:ext uri="{FF2B5EF4-FFF2-40B4-BE49-F238E27FC236}">
              <a16:creationId xmlns:a16="http://schemas.microsoft.com/office/drawing/2014/main" id="{00000000-0008-0000-0900-00006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147</xdr:row>
      <xdr:rowOff>0</xdr:rowOff>
    </xdr:from>
    <xdr:to>
      <xdr:col>14</xdr:col>
      <xdr:colOff>0</xdr:colOff>
      <xdr:row>164</xdr:row>
      <xdr:rowOff>0</xdr:rowOff>
    </xdr:to>
    <xdr:graphicFrame macro="">
      <xdr:nvGraphicFramePr>
        <xdr:cNvPr id="104" name="Costo USD ticket">
          <a:extLst>
            <a:ext uri="{FF2B5EF4-FFF2-40B4-BE49-F238E27FC236}">
              <a16:creationId xmlns:a16="http://schemas.microsoft.com/office/drawing/2014/main" id="{00000000-0008-0000-0900-00006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166</xdr:row>
      <xdr:rowOff>0</xdr:rowOff>
    </xdr:from>
    <xdr:to>
      <xdr:col>7</xdr:col>
      <xdr:colOff>0</xdr:colOff>
      <xdr:row>183</xdr:row>
      <xdr:rowOff>0</xdr:rowOff>
    </xdr:to>
    <xdr:graphicFrame macro="">
      <xdr:nvGraphicFramePr>
        <xdr:cNvPr id="105" name="FTE por cliente">
          <a:extLst>
            <a:ext uri="{FF2B5EF4-FFF2-40B4-BE49-F238E27FC236}">
              <a16:creationId xmlns:a16="http://schemas.microsoft.com/office/drawing/2014/main" id="{00000000-0008-0000-0900-00006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166</xdr:row>
      <xdr:rowOff>0</xdr:rowOff>
    </xdr:from>
    <xdr:to>
      <xdr:col>14</xdr:col>
      <xdr:colOff>0</xdr:colOff>
      <xdr:row>183</xdr:row>
      <xdr:rowOff>0</xdr:rowOff>
    </xdr:to>
    <xdr:graphicFrame macro="">
      <xdr:nvGraphicFramePr>
        <xdr:cNvPr id="107" name="XM y BCO vs industria">
          <a:extLst>
            <a:ext uri="{FF2B5EF4-FFF2-40B4-BE49-F238E27FC236}">
              <a16:creationId xmlns:a16="http://schemas.microsoft.com/office/drawing/2014/main" id="{00000000-0008-0000-0900-00006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323850</xdr:colOff>
      <xdr:row>0</xdr:row>
      <xdr:rowOff>47625</xdr:rowOff>
    </xdr:from>
    <xdr:to>
      <xdr:col>29</xdr:col>
      <xdr:colOff>276225</xdr:colOff>
      <xdr:row>21</xdr:row>
      <xdr:rowOff>66675</xdr:rowOff>
    </xdr:to>
    <xdr:pic>
      <xdr:nvPicPr>
        <xdr:cNvPr id="2" name="Imagen 1">
          <a:extLst>
            <a:ext uri="{FF2B5EF4-FFF2-40B4-BE49-F238E27FC236}">
              <a16:creationId xmlns:a16="http://schemas.microsoft.com/office/drawing/2014/main" id="{29CD918F-F16C-1026-B25F-D129892672DC}"/>
            </a:ext>
          </a:extLst>
        </xdr:cNvPr>
        <xdr:cNvPicPr>
          <a:picLocks noChangeAspect="1"/>
        </xdr:cNvPicPr>
      </xdr:nvPicPr>
      <xdr:blipFill>
        <a:blip xmlns:r="http://schemas.openxmlformats.org/officeDocument/2006/relationships" r:embed="rId1"/>
        <a:stretch>
          <a:fillRect/>
        </a:stretch>
      </xdr:blipFill>
      <xdr:spPr>
        <a:xfrm>
          <a:off x="14297025" y="47625"/>
          <a:ext cx="8486775" cy="44481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0</xdr:colOff>
      <xdr:row>15</xdr:row>
      <xdr:rowOff>0</xdr:rowOff>
    </xdr:from>
    <xdr:to>
      <xdr:col>11</xdr:col>
      <xdr:colOff>419100</xdr:colOff>
      <xdr:row>30</xdr:row>
      <xdr:rowOff>28575</xdr:rowOff>
    </xdr:to>
    <xdr:pic>
      <xdr:nvPicPr>
        <xdr:cNvPr id="2" name="Imagen 1">
          <a:extLst>
            <a:ext uri="{FF2B5EF4-FFF2-40B4-BE49-F238E27FC236}">
              <a16:creationId xmlns:a16="http://schemas.microsoft.com/office/drawing/2014/main" id="{57F5A0BF-FDA6-0775-6208-C897FF37E223}"/>
            </a:ext>
          </a:extLst>
        </xdr:cNvPr>
        <xdr:cNvPicPr>
          <a:picLocks noChangeAspect="1"/>
        </xdr:cNvPicPr>
      </xdr:nvPicPr>
      <xdr:blipFill>
        <a:blip xmlns:r="http://schemas.openxmlformats.org/officeDocument/2006/relationships" r:embed="rId1"/>
        <a:stretch>
          <a:fillRect/>
        </a:stretch>
      </xdr:blipFill>
      <xdr:spPr>
        <a:xfrm>
          <a:off x="14878050" y="3514725"/>
          <a:ext cx="6924675" cy="3038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428625</xdr:colOff>
      <xdr:row>19</xdr:row>
      <xdr:rowOff>95250</xdr:rowOff>
    </xdr:from>
    <xdr:to>
      <xdr:col>10</xdr:col>
      <xdr:colOff>1181100</xdr:colOff>
      <xdr:row>29</xdr:row>
      <xdr:rowOff>19050</xdr:rowOff>
    </xdr:to>
    <xdr:pic>
      <xdr:nvPicPr>
        <xdr:cNvPr id="2" name="Imagen 1">
          <a:extLst>
            <a:ext uri="{FF2B5EF4-FFF2-40B4-BE49-F238E27FC236}">
              <a16:creationId xmlns:a16="http://schemas.microsoft.com/office/drawing/2014/main" id="{780E0CB0-6B37-8EA0-F47D-362552B30CCD}"/>
            </a:ext>
          </a:extLst>
        </xdr:cNvPr>
        <xdr:cNvPicPr>
          <a:picLocks noChangeAspect="1"/>
        </xdr:cNvPicPr>
      </xdr:nvPicPr>
      <xdr:blipFill>
        <a:blip xmlns:r="http://schemas.openxmlformats.org/officeDocument/2006/relationships" r:embed="rId1"/>
        <a:stretch>
          <a:fillRect/>
        </a:stretch>
      </xdr:blipFill>
      <xdr:spPr>
        <a:xfrm>
          <a:off x="14287500" y="5067300"/>
          <a:ext cx="4572000" cy="1828800"/>
        </a:xfrm>
        <a:prstGeom prst="rect">
          <a:avLst/>
        </a:prstGeom>
      </xdr:spPr>
    </xdr:pic>
    <xdr:clientData/>
  </xdr:twoCellAnchor>
  <xdr:twoCellAnchor editAs="oneCell">
    <xdr:from>
      <xdr:col>8</xdr:col>
      <xdr:colOff>428625</xdr:colOff>
      <xdr:row>29</xdr:row>
      <xdr:rowOff>57150</xdr:rowOff>
    </xdr:from>
    <xdr:to>
      <xdr:col>10</xdr:col>
      <xdr:colOff>1790700</xdr:colOff>
      <xdr:row>32</xdr:row>
      <xdr:rowOff>314325</xdr:rowOff>
    </xdr:to>
    <xdr:pic>
      <xdr:nvPicPr>
        <xdr:cNvPr id="3" name="Imagen 2">
          <a:extLst>
            <a:ext uri="{FF2B5EF4-FFF2-40B4-BE49-F238E27FC236}">
              <a16:creationId xmlns:a16="http://schemas.microsoft.com/office/drawing/2014/main" id="{D507A91C-BC16-C2B4-C887-0FB7784AC123}"/>
            </a:ext>
            <a:ext uri="{147F2762-F138-4A5C-976F-8EAC2B608ADB}">
              <a16:predDERef xmlns:a16="http://schemas.microsoft.com/office/drawing/2014/main" pred="{780E0CB0-6B37-8EA0-F47D-362552B30CCD}"/>
            </a:ext>
          </a:extLst>
        </xdr:cNvPr>
        <xdr:cNvPicPr>
          <a:picLocks noChangeAspect="1"/>
        </xdr:cNvPicPr>
      </xdr:nvPicPr>
      <xdr:blipFill>
        <a:blip xmlns:r="http://schemas.openxmlformats.org/officeDocument/2006/relationships" r:embed="rId2"/>
        <a:stretch>
          <a:fillRect/>
        </a:stretch>
      </xdr:blipFill>
      <xdr:spPr>
        <a:xfrm>
          <a:off x="14897100" y="6934200"/>
          <a:ext cx="4572000" cy="1190625"/>
        </a:xfrm>
        <a:prstGeom prst="rect">
          <a:avLst/>
        </a:prstGeom>
      </xdr:spPr>
    </xdr:pic>
    <xdr:clientData/>
  </xdr:twoCellAnchor>
  <xdr:twoCellAnchor editAs="oneCell">
    <xdr:from>
      <xdr:col>8</xdr:col>
      <xdr:colOff>219075</xdr:colOff>
      <xdr:row>33</xdr:row>
      <xdr:rowOff>238125</xdr:rowOff>
    </xdr:from>
    <xdr:to>
      <xdr:col>10</xdr:col>
      <xdr:colOff>1581150</xdr:colOff>
      <xdr:row>37</xdr:row>
      <xdr:rowOff>142875</xdr:rowOff>
    </xdr:to>
    <xdr:pic>
      <xdr:nvPicPr>
        <xdr:cNvPr id="4" name="Imagen 3">
          <a:extLst>
            <a:ext uri="{FF2B5EF4-FFF2-40B4-BE49-F238E27FC236}">
              <a16:creationId xmlns:a16="http://schemas.microsoft.com/office/drawing/2014/main" id="{99380C6C-9CF5-9DE7-CF49-66AE18EF359B}"/>
            </a:ext>
            <a:ext uri="{147F2762-F138-4A5C-976F-8EAC2B608ADB}">
              <a16:predDERef xmlns:a16="http://schemas.microsoft.com/office/drawing/2014/main" pred="{D507A91C-BC16-C2B4-C887-0FB7784AC123}"/>
            </a:ext>
          </a:extLst>
        </xdr:cNvPr>
        <xdr:cNvPicPr>
          <a:picLocks noChangeAspect="1"/>
        </xdr:cNvPicPr>
      </xdr:nvPicPr>
      <xdr:blipFill>
        <a:blip xmlns:r="http://schemas.openxmlformats.org/officeDocument/2006/relationships" r:embed="rId3"/>
        <a:stretch>
          <a:fillRect/>
        </a:stretch>
      </xdr:blipFill>
      <xdr:spPr>
        <a:xfrm>
          <a:off x="14687550" y="8401050"/>
          <a:ext cx="4572000" cy="19621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561975</xdr:colOff>
      <xdr:row>16</xdr:row>
      <xdr:rowOff>38100</xdr:rowOff>
    </xdr:from>
    <xdr:to>
      <xdr:col>13</xdr:col>
      <xdr:colOff>190500</xdr:colOff>
      <xdr:row>30</xdr:row>
      <xdr:rowOff>95250</xdr:rowOff>
    </xdr:to>
    <xdr:pic>
      <xdr:nvPicPr>
        <xdr:cNvPr id="2" name="Imagen 1">
          <a:extLst>
            <a:ext uri="{FF2B5EF4-FFF2-40B4-BE49-F238E27FC236}">
              <a16:creationId xmlns:a16="http://schemas.microsoft.com/office/drawing/2014/main" id="{A69E8909-C744-76CC-25C2-BFA4C5D8D73A}"/>
            </a:ext>
          </a:extLst>
        </xdr:cNvPr>
        <xdr:cNvPicPr>
          <a:picLocks noChangeAspect="1"/>
        </xdr:cNvPicPr>
      </xdr:nvPicPr>
      <xdr:blipFill>
        <a:blip xmlns:r="http://schemas.openxmlformats.org/officeDocument/2006/relationships" r:embed="rId1"/>
        <a:stretch>
          <a:fillRect/>
        </a:stretch>
      </xdr:blipFill>
      <xdr:spPr>
        <a:xfrm>
          <a:off x="15087600" y="3552825"/>
          <a:ext cx="6610350" cy="3581400"/>
        </a:xfrm>
        <a:prstGeom prst="rect">
          <a:avLst/>
        </a:prstGeom>
      </xdr:spPr>
    </xdr:pic>
    <xdr:clientData/>
  </xdr:twoCellAnchor>
  <xdr:twoCellAnchor editAs="oneCell">
    <xdr:from>
      <xdr:col>8</xdr:col>
      <xdr:colOff>0</xdr:colOff>
      <xdr:row>32</xdr:row>
      <xdr:rowOff>0</xdr:rowOff>
    </xdr:from>
    <xdr:to>
      <xdr:col>13</xdr:col>
      <xdr:colOff>523875</xdr:colOff>
      <xdr:row>43</xdr:row>
      <xdr:rowOff>104775</xdr:rowOff>
    </xdr:to>
    <xdr:pic>
      <xdr:nvPicPr>
        <xdr:cNvPr id="3" name="Imagen 2">
          <a:extLst>
            <a:ext uri="{FF2B5EF4-FFF2-40B4-BE49-F238E27FC236}">
              <a16:creationId xmlns:a16="http://schemas.microsoft.com/office/drawing/2014/main" id="{097AB812-A58C-DB16-4E29-8706D1D8B41A}"/>
            </a:ext>
            <a:ext uri="{147F2762-F138-4A5C-976F-8EAC2B608ADB}">
              <a16:predDERef xmlns:a16="http://schemas.microsoft.com/office/drawing/2014/main" pred="{A69E8909-C744-76CC-25C2-BFA4C5D8D73A}"/>
            </a:ext>
          </a:extLst>
        </xdr:cNvPr>
        <xdr:cNvPicPr>
          <a:picLocks noChangeAspect="1"/>
        </xdr:cNvPicPr>
      </xdr:nvPicPr>
      <xdr:blipFill>
        <a:blip xmlns:r="http://schemas.openxmlformats.org/officeDocument/2006/relationships" r:embed="rId2"/>
        <a:stretch>
          <a:fillRect/>
        </a:stretch>
      </xdr:blipFill>
      <xdr:spPr>
        <a:xfrm>
          <a:off x="15097125" y="7277100"/>
          <a:ext cx="6934200" cy="3667125"/>
        </a:xfrm>
        <a:prstGeom prst="rect">
          <a:avLst/>
        </a:prstGeom>
      </xdr:spPr>
    </xdr:pic>
    <xdr:clientData/>
  </xdr:twoCellAnchor>
  <xdr:twoCellAnchor editAs="oneCell">
    <xdr:from>
      <xdr:col>8</xdr:col>
      <xdr:colOff>0</xdr:colOff>
      <xdr:row>44</xdr:row>
      <xdr:rowOff>0</xdr:rowOff>
    </xdr:from>
    <xdr:to>
      <xdr:col>13</xdr:col>
      <xdr:colOff>219075</xdr:colOff>
      <xdr:row>53</xdr:row>
      <xdr:rowOff>200025</xdr:rowOff>
    </xdr:to>
    <xdr:pic>
      <xdr:nvPicPr>
        <xdr:cNvPr id="4" name="Imagen 3">
          <a:extLst>
            <a:ext uri="{FF2B5EF4-FFF2-40B4-BE49-F238E27FC236}">
              <a16:creationId xmlns:a16="http://schemas.microsoft.com/office/drawing/2014/main" id="{FA9A0BDD-E51D-CAB2-CA8C-B5D0CD478E9D}"/>
            </a:ext>
            <a:ext uri="{147F2762-F138-4A5C-976F-8EAC2B608ADB}">
              <a16:predDERef xmlns:a16="http://schemas.microsoft.com/office/drawing/2014/main" pred="{097AB812-A58C-DB16-4E29-8706D1D8B41A}"/>
            </a:ext>
          </a:extLst>
        </xdr:cNvPr>
        <xdr:cNvPicPr>
          <a:picLocks noChangeAspect="1"/>
        </xdr:cNvPicPr>
      </xdr:nvPicPr>
      <xdr:blipFill>
        <a:blip xmlns:r="http://schemas.openxmlformats.org/officeDocument/2006/relationships" r:embed="rId3"/>
        <a:stretch>
          <a:fillRect/>
        </a:stretch>
      </xdr:blipFill>
      <xdr:spPr>
        <a:xfrm>
          <a:off x="15097125" y="11191875"/>
          <a:ext cx="6629400" cy="3543300"/>
        </a:xfrm>
        <a:prstGeom prst="rect">
          <a:avLst/>
        </a:prstGeom>
      </xdr:spPr>
    </xdr:pic>
    <xdr:clientData/>
  </xdr:twoCellAnchor>
  <xdr:twoCellAnchor editAs="oneCell">
    <xdr:from>
      <xdr:col>8</xdr:col>
      <xdr:colOff>0</xdr:colOff>
      <xdr:row>54</xdr:row>
      <xdr:rowOff>0</xdr:rowOff>
    </xdr:from>
    <xdr:to>
      <xdr:col>13</xdr:col>
      <xdr:colOff>504825</xdr:colOff>
      <xdr:row>64</xdr:row>
      <xdr:rowOff>361950</xdr:rowOff>
    </xdr:to>
    <xdr:pic>
      <xdr:nvPicPr>
        <xdr:cNvPr id="5" name="Imagen 4">
          <a:extLst>
            <a:ext uri="{FF2B5EF4-FFF2-40B4-BE49-F238E27FC236}">
              <a16:creationId xmlns:a16="http://schemas.microsoft.com/office/drawing/2014/main" id="{D470CC2A-5222-5686-5A7E-EDE0143F4F66}"/>
            </a:ext>
            <a:ext uri="{147F2762-F138-4A5C-976F-8EAC2B608ADB}">
              <a16:predDERef xmlns:a16="http://schemas.microsoft.com/office/drawing/2014/main" pred="{FA9A0BDD-E51D-CAB2-CA8C-B5D0CD478E9D}"/>
            </a:ext>
          </a:extLst>
        </xdr:cNvPr>
        <xdr:cNvPicPr>
          <a:picLocks noChangeAspect="1"/>
        </xdr:cNvPicPr>
      </xdr:nvPicPr>
      <xdr:blipFill>
        <a:blip xmlns:r="http://schemas.openxmlformats.org/officeDocument/2006/relationships" r:embed="rId4"/>
        <a:stretch>
          <a:fillRect/>
        </a:stretch>
      </xdr:blipFill>
      <xdr:spPr>
        <a:xfrm>
          <a:off x="15097125" y="14811375"/>
          <a:ext cx="6915150" cy="3781425"/>
        </a:xfrm>
        <a:prstGeom prst="rect">
          <a:avLst/>
        </a:prstGeom>
      </xdr:spPr>
    </xdr:pic>
    <xdr:clientData/>
  </xdr:twoCellAnchor>
  <xdr:twoCellAnchor editAs="oneCell">
    <xdr:from>
      <xdr:col>7</xdr:col>
      <xdr:colOff>542925</xdr:colOff>
      <xdr:row>68</xdr:row>
      <xdr:rowOff>47625</xdr:rowOff>
    </xdr:from>
    <xdr:to>
      <xdr:col>12</xdr:col>
      <xdr:colOff>38100</xdr:colOff>
      <xdr:row>76</xdr:row>
      <xdr:rowOff>238125</xdr:rowOff>
    </xdr:to>
    <xdr:pic>
      <xdr:nvPicPr>
        <xdr:cNvPr id="6" name="Imagen 5">
          <a:extLst>
            <a:ext uri="{FF2B5EF4-FFF2-40B4-BE49-F238E27FC236}">
              <a16:creationId xmlns:a16="http://schemas.microsoft.com/office/drawing/2014/main" id="{4B21D998-340B-6537-9A1D-D4BE069A897A}"/>
            </a:ext>
            <a:ext uri="{147F2762-F138-4A5C-976F-8EAC2B608ADB}">
              <a16:predDERef xmlns:a16="http://schemas.microsoft.com/office/drawing/2014/main" pred="{D470CC2A-5222-5686-5A7E-EDE0143F4F66}"/>
            </a:ext>
          </a:extLst>
        </xdr:cNvPr>
        <xdr:cNvPicPr>
          <a:picLocks noChangeAspect="1"/>
        </xdr:cNvPicPr>
      </xdr:nvPicPr>
      <xdr:blipFill>
        <a:blip xmlns:r="http://schemas.openxmlformats.org/officeDocument/2006/relationships" r:embed="rId5"/>
        <a:stretch>
          <a:fillRect/>
        </a:stretch>
      </xdr:blipFill>
      <xdr:spPr>
        <a:xfrm>
          <a:off x="15068550" y="18811875"/>
          <a:ext cx="5905500" cy="3648075"/>
        </a:xfrm>
        <a:prstGeom prst="rect">
          <a:avLst/>
        </a:prstGeom>
      </xdr:spPr>
    </xdr:pic>
    <xdr:clientData/>
  </xdr:twoCellAnchor>
  <xdr:twoCellAnchor editAs="oneCell">
    <xdr:from>
      <xdr:col>7</xdr:col>
      <xdr:colOff>561975</xdr:colOff>
      <xdr:row>82</xdr:row>
      <xdr:rowOff>142875</xdr:rowOff>
    </xdr:from>
    <xdr:to>
      <xdr:col>12</xdr:col>
      <xdr:colOff>200025</xdr:colOff>
      <xdr:row>94</xdr:row>
      <xdr:rowOff>333375</xdr:rowOff>
    </xdr:to>
    <xdr:pic>
      <xdr:nvPicPr>
        <xdr:cNvPr id="7" name="Imagen 6">
          <a:extLst>
            <a:ext uri="{FF2B5EF4-FFF2-40B4-BE49-F238E27FC236}">
              <a16:creationId xmlns:a16="http://schemas.microsoft.com/office/drawing/2014/main" id="{1692D247-2927-FCD3-3241-DB12F02284D0}"/>
            </a:ext>
            <a:ext uri="{147F2762-F138-4A5C-976F-8EAC2B608ADB}">
              <a16:predDERef xmlns:a16="http://schemas.microsoft.com/office/drawing/2014/main" pred="{4B21D998-340B-6537-9A1D-D4BE069A897A}"/>
            </a:ext>
          </a:extLst>
        </xdr:cNvPr>
        <xdr:cNvPicPr>
          <a:picLocks noChangeAspect="1"/>
        </xdr:cNvPicPr>
      </xdr:nvPicPr>
      <xdr:blipFill>
        <a:blip xmlns:r="http://schemas.openxmlformats.org/officeDocument/2006/relationships" r:embed="rId6"/>
        <a:stretch>
          <a:fillRect/>
        </a:stretch>
      </xdr:blipFill>
      <xdr:spPr>
        <a:xfrm>
          <a:off x="15087600" y="22659975"/>
          <a:ext cx="6048375" cy="4019550"/>
        </a:xfrm>
        <a:prstGeom prst="rect">
          <a:avLst/>
        </a:prstGeom>
      </xdr:spPr>
    </xdr:pic>
    <xdr:clientData/>
  </xdr:twoCellAnchor>
  <xdr:twoCellAnchor editAs="oneCell">
    <xdr:from>
      <xdr:col>8</xdr:col>
      <xdr:colOff>114300</xdr:colOff>
      <xdr:row>96</xdr:row>
      <xdr:rowOff>257175</xdr:rowOff>
    </xdr:from>
    <xdr:to>
      <xdr:col>12</xdr:col>
      <xdr:colOff>276225</xdr:colOff>
      <xdr:row>108</xdr:row>
      <xdr:rowOff>76200</xdr:rowOff>
    </xdr:to>
    <xdr:pic>
      <xdr:nvPicPr>
        <xdr:cNvPr id="8" name="Imagen 7">
          <a:extLst>
            <a:ext uri="{FF2B5EF4-FFF2-40B4-BE49-F238E27FC236}">
              <a16:creationId xmlns:a16="http://schemas.microsoft.com/office/drawing/2014/main" id="{F19D7080-D5C0-4589-D796-71892ED67684}"/>
            </a:ext>
            <a:ext uri="{147F2762-F138-4A5C-976F-8EAC2B608ADB}">
              <a16:predDERef xmlns:a16="http://schemas.microsoft.com/office/drawing/2014/main" pred="{1692D247-2927-FCD3-3241-DB12F02284D0}"/>
            </a:ext>
          </a:extLst>
        </xdr:cNvPr>
        <xdr:cNvPicPr>
          <a:picLocks noChangeAspect="1"/>
        </xdr:cNvPicPr>
      </xdr:nvPicPr>
      <xdr:blipFill>
        <a:blip xmlns:r="http://schemas.openxmlformats.org/officeDocument/2006/relationships" r:embed="rId7"/>
        <a:stretch>
          <a:fillRect/>
        </a:stretch>
      </xdr:blipFill>
      <xdr:spPr>
        <a:xfrm>
          <a:off x="15211425" y="26860500"/>
          <a:ext cx="6000750" cy="3667125"/>
        </a:xfrm>
        <a:prstGeom prst="rect">
          <a:avLst/>
        </a:prstGeom>
      </xdr:spPr>
    </xdr:pic>
    <xdr:clientData/>
  </xdr:twoCellAnchor>
  <xdr:twoCellAnchor editAs="oneCell">
    <xdr:from>
      <xdr:col>8</xdr:col>
      <xdr:colOff>85725</xdr:colOff>
      <xdr:row>108</xdr:row>
      <xdr:rowOff>371475</xdr:rowOff>
    </xdr:from>
    <xdr:to>
      <xdr:col>12</xdr:col>
      <xdr:colOff>476250</xdr:colOff>
      <xdr:row>117</xdr:row>
      <xdr:rowOff>142875</xdr:rowOff>
    </xdr:to>
    <xdr:pic>
      <xdr:nvPicPr>
        <xdr:cNvPr id="9" name="Imagen 8">
          <a:extLst>
            <a:ext uri="{FF2B5EF4-FFF2-40B4-BE49-F238E27FC236}">
              <a16:creationId xmlns:a16="http://schemas.microsoft.com/office/drawing/2014/main" id="{E354CE96-27A7-064F-93AC-ECCEBA837BD9}"/>
            </a:ext>
            <a:ext uri="{147F2762-F138-4A5C-976F-8EAC2B608ADB}">
              <a16:predDERef xmlns:a16="http://schemas.microsoft.com/office/drawing/2014/main" pred="{F19D7080-D5C0-4589-D796-71892ED67684}"/>
            </a:ext>
          </a:extLst>
        </xdr:cNvPr>
        <xdr:cNvPicPr>
          <a:picLocks noChangeAspect="1"/>
        </xdr:cNvPicPr>
      </xdr:nvPicPr>
      <xdr:blipFill>
        <a:blip xmlns:r="http://schemas.openxmlformats.org/officeDocument/2006/relationships" r:embed="rId8"/>
        <a:stretch>
          <a:fillRect/>
        </a:stretch>
      </xdr:blipFill>
      <xdr:spPr>
        <a:xfrm>
          <a:off x="15182850" y="30822900"/>
          <a:ext cx="6229350" cy="3209925"/>
        </a:xfrm>
        <a:prstGeom prst="rect">
          <a:avLst/>
        </a:prstGeom>
      </xdr:spPr>
    </xdr:pic>
    <xdr:clientData/>
  </xdr:twoCellAnchor>
  <xdr:twoCellAnchor editAs="oneCell">
    <xdr:from>
      <xdr:col>13</xdr:col>
      <xdr:colOff>0</xdr:colOff>
      <xdr:row>83</xdr:row>
      <xdr:rowOff>0</xdr:rowOff>
    </xdr:from>
    <xdr:to>
      <xdr:col>22</xdr:col>
      <xdr:colOff>333375</xdr:colOff>
      <xdr:row>94</xdr:row>
      <xdr:rowOff>209550</xdr:rowOff>
    </xdr:to>
    <xdr:pic>
      <xdr:nvPicPr>
        <xdr:cNvPr id="10" name="Imagen 9">
          <a:extLst>
            <a:ext uri="{FF2B5EF4-FFF2-40B4-BE49-F238E27FC236}">
              <a16:creationId xmlns:a16="http://schemas.microsoft.com/office/drawing/2014/main" id="{FDE787A2-21B9-856B-EC84-51450FB67FF4}"/>
            </a:ext>
            <a:ext uri="{147F2762-F138-4A5C-976F-8EAC2B608ADB}">
              <a16:predDERef xmlns:a16="http://schemas.microsoft.com/office/drawing/2014/main" pred="{E354CE96-27A7-064F-93AC-ECCEBA837BD9}"/>
            </a:ext>
          </a:extLst>
        </xdr:cNvPr>
        <xdr:cNvPicPr>
          <a:picLocks noChangeAspect="1"/>
        </xdr:cNvPicPr>
      </xdr:nvPicPr>
      <xdr:blipFill>
        <a:blip xmlns:r="http://schemas.openxmlformats.org/officeDocument/2006/relationships" r:embed="rId9"/>
        <a:stretch>
          <a:fillRect/>
        </a:stretch>
      </xdr:blipFill>
      <xdr:spPr>
        <a:xfrm>
          <a:off x="21507450" y="22764750"/>
          <a:ext cx="5943600" cy="3790950"/>
        </a:xfrm>
        <a:prstGeom prst="rect">
          <a:avLst/>
        </a:prstGeom>
      </xdr:spPr>
    </xdr:pic>
    <xdr:clientData/>
  </xdr:twoCellAnchor>
  <xdr:twoCellAnchor editAs="oneCell">
    <xdr:from>
      <xdr:col>14</xdr:col>
      <xdr:colOff>57150</xdr:colOff>
      <xdr:row>108</xdr:row>
      <xdr:rowOff>352425</xdr:rowOff>
    </xdr:from>
    <xdr:to>
      <xdr:col>23</xdr:col>
      <xdr:colOff>95250</xdr:colOff>
      <xdr:row>118</xdr:row>
      <xdr:rowOff>95250</xdr:rowOff>
    </xdr:to>
    <xdr:pic>
      <xdr:nvPicPr>
        <xdr:cNvPr id="11" name="Imagen 10">
          <a:extLst>
            <a:ext uri="{FF2B5EF4-FFF2-40B4-BE49-F238E27FC236}">
              <a16:creationId xmlns:a16="http://schemas.microsoft.com/office/drawing/2014/main" id="{4B3FF2C4-B7A4-0A5E-9A52-B20DE1C90A53}"/>
            </a:ext>
            <a:ext uri="{147F2762-F138-4A5C-976F-8EAC2B608ADB}">
              <a16:predDERef xmlns:a16="http://schemas.microsoft.com/office/drawing/2014/main" pred="{FDE787A2-21B9-856B-EC84-51450FB67FF4}"/>
            </a:ext>
          </a:extLst>
        </xdr:cNvPr>
        <xdr:cNvPicPr>
          <a:picLocks noChangeAspect="1"/>
        </xdr:cNvPicPr>
      </xdr:nvPicPr>
      <xdr:blipFill>
        <a:blip xmlns:r="http://schemas.openxmlformats.org/officeDocument/2006/relationships" r:embed="rId10"/>
        <a:stretch>
          <a:fillRect/>
        </a:stretch>
      </xdr:blipFill>
      <xdr:spPr>
        <a:xfrm>
          <a:off x="22136100" y="30803850"/>
          <a:ext cx="5648325" cy="3505200"/>
        </a:xfrm>
        <a:prstGeom prst="rect">
          <a:avLst/>
        </a:prstGeom>
      </xdr:spPr>
    </xdr:pic>
    <xdr:clientData/>
  </xdr:twoCellAnchor>
  <xdr:twoCellAnchor editAs="oneCell">
    <xdr:from>
      <xdr:col>1</xdr:col>
      <xdr:colOff>0</xdr:colOff>
      <xdr:row>190</xdr:row>
      <xdr:rowOff>123825</xdr:rowOff>
    </xdr:from>
    <xdr:to>
      <xdr:col>3</xdr:col>
      <xdr:colOff>2047875</xdr:colOff>
      <xdr:row>212</xdr:row>
      <xdr:rowOff>161925</xdr:rowOff>
    </xdr:to>
    <xdr:pic>
      <xdr:nvPicPr>
        <xdr:cNvPr id="12" name="Imagen 11">
          <a:extLst>
            <a:ext uri="{FF2B5EF4-FFF2-40B4-BE49-F238E27FC236}">
              <a16:creationId xmlns:a16="http://schemas.microsoft.com/office/drawing/2014/main" id="{8B30CADC-A7F2-4069-2CDE-BB67C465BD1A}"/>
            </a:ext>
            <a:ext uri="{147F2762-F138-4A5C-976F-8EAC2B608ADB}">
              <a16:predDERef xmlns:a16="http://schemas.microsoft.com/office/drawing/2014/main" pred="{4B3FF2C4-B7A4-0A5E-9A52-B20DE1C90A53}"/>
            </a:ext>
          </a:extLst>
        </xdr:cNvPr>
        <xdr:cNvPicPr>
          <a:picLocks noChangeAspect="1"/>
        </xdr:cNvPicPr>
      </xdr:nvPicPr>
      <xdr:blipFill>
        <a:blip xmlns:r="http://schemas.openxmlformats.org/officeDocument/2006/relationships" r:embed="rId11"/>
        <a:stretch>
          <a:fillRect/>
        </a:stretch>
      </xdr:blipFill>
      <xdr:spPr>
        <a:xfrm>
          <a:off x="200025" y="55016400"/>
          <a:ext cx="7753350" cy="4019550"/>
        </a:xfrm>
        <a:prstGeom prst="rect">
          <a:avLst/>
        </a:prstGeom>
      </xdr:spPr>
    </xdr:pic>
    <xdr:clientData/>
  </xdr:twoCellAnchor>
  <xdr:twoCellAnchor editAs="oneCell">
    <xdr:from>
      <xdr:col>8</xdr:col>
      <xdr:colOff>0</xdr:colOff>
      <xdr:row>120</xdr:row>
      <xdr:rowOff>0</xdr:rowOff>
    </xdr:from>
    <xdr:to>
      <xdr:col>13</xdr:col>
      <xdr:colOff>76200</xdr:colOff>
      <xdr:row>131</xdr:row>
      <xdr:rowOff>85725</xdr:rowOff>
    </xdr:to>
    <xdr:pic>
      <xdr:nvPicPr>
        <xdr:cNvPr id="13" name="Imagen 12">
          <a:extLst>
            <a:ext uri="{FF2B5EF4-FFF2-40B4-BE49-F238E27FC236}">
              <a16:creationId xmlns:a16="http://schemas.microsoft.com/office/drawing/2014/main" id="{8A067A3C-0AF7-8FB4-CDC5-F2C34143EF7E}"/>
            </a:ext>
            <a:ext uri="{147F2762-F138-4A5C-976F-8EAC2B608ADB}">
              <a16:predDERef xmlns:a16="http://schemas.microsoft.com/office/drawing/2014/main" pred="{8B30CADC-A7F2-4069-2CDE-BB67C465BD1A}"/>
            </a:ext>
          </a:extLst>
        </xdr:cNvPr>
        <xdr:cNvPicPr>
          <a:picLocks noChangeAspect="1"/>
        </xdr:cNvPicPr>
      </xdr:nvPicPr>
      <xdr:blipFill>
        <a:blip xmlns:r="http://schemas.openxmlformats.org/officeDocument/2006/relationships" r:embed="rId12"/>
        <a:stretch>
          <a:fillRect/>
        </a:stretch>
      </xdr:blipFill>
      <xdr:spPr>
        <a:xfrm>
          <a:off x="15097125" y="34861500"/>
          <a:ext cx="6486525" cy="3600450"/>
        </a:xfrm>
        <a:prstGeom prst="rect">
          <a:avLst/>
        </a:prstGeom>
      </xdr:spPr>
    </xdr:pic>
    <xdr:clientData/>
  </xdr:twoCellAnchor>
  <xdr:twoCellAnchor editAs="oneCell">
    <xdr:from>
      <xdr:col>1</xdr:col>
      <xdr:colOff>0</xdr:colOff>
      <xdr:row>216</xdr:row>
      <xdr:rowOff>0</xdr:rowOff>
    </xdr:from>
    <xdr:to>
      <xdr:col>4</xdr:col>
      <xdr:colOff>733425</xdr:colOff>
      <xdr:row>243</xdr:row>
      <xdr:rowOff>123825</xdr:rowOff>
    </xdr:to>
    <xdr:pic>
      <xdr:nvPicPr>
        <xdr:cNvPr id="14" name="Imagen 13">
          <a:extLst>
            <a:ext uri="{FF2B5EF4-FFF2-40B4-BE49-F238E27FC236}">
              <a16:creationId xmlns:a16="http://schemas.microsoft.com/office/drawing/2014/main" id="{7CFF721C-A260-5324-368D-8FA3226E427F}"/>
            </a:ext>
            <a:ext uri="{147F2762-F138-4A5C-976F-8EAC2B608ADB}">
              <a16:predDERef xmlns:a16="http://schemas.microsoft.com/office/drawing/2014/main" pred="{8A067A3C-0AF7-8FB4-CDC5-F2C34143EF7E}"/>
            </a:ext>
          </a:extLst>
        </xdr:cNvPr>
        <xdr:cNvPicPr>
          <a:picLocks noChangeAspect="1"/>
        </xdr:cNvPicPr>
      </xdr:nvPicPr>
      <xdr:blipFill>
        <a:blip xmlns:r="http://schemas.openxmlformats.org/officeDocument/2006/relationships" r:embed="rId13"/>
        <a:stretch>
          <a:fillRect/>
        </a:stretch>
      </xdr:blipFill>
      <xdr:spPr>
        <a:xfrm>
          <a:off x="200025" y="59597925"/>
          <a:ext cx="8820150" cy="5010150"/>
        </a:xfrm>
        <a:prstGeom prst="rect">
          <a:avLst/>
        </a:prstGeom>
      </xdr:spPr>
    </xdr:pic>
    <xdr:clientData/>
  </xdr:twoCellAnchor>
  <xdr:twoCellAnchor editAs="oneCell">
    <xdr:from>
      <xdr:col>8</xdr:col>
      <xdr:colOff>0</xdr:colOff>
      <xdr:row>135</xdr:row>
      <xdr:rowOff>0</xdr:rowOff>
    </xdr:from>
    <xdr:to>
      <xdr:col>10</xdr:col>
      <xdr:colOff>1457325</xdr:colOff>
      <xdr:row>141</xdr:row>
      <xdr:rowOff>104775</xdr:rowOff>
    </xdr:to>
    <xdr:pic>
      <xdr:nvPicPr>
        <xdr:cNvPr id="15" name="Imagen 14">
          <a:extLst>
            <a:ext uri="{FF2B5EF4-FFF2-40B4-BE49-F238E27FC236}">
              <a16:creationId xmlns:a16="http://schemas.microsoft.com/office/drawing/2014/main" id="{AC2C35FF-C7C1-2B58-4239-89F7CC717400}"/>
            </a:ext>
            <a:ext uri="{147F2762-F138-4A5C-976F-8EAC2B608ADB}">
              <a16:predDERef xmlns:a16="http://schemas.microsoft.com/office/drawing/2014/main" pred="{7CFF721C-A260-5324-368D-8FA3226E427F}"/>
            </a:ext>
          </a:extLst>
        </xdr:cNvPr>
        <xdr:cNvPicPr>
          <a:picLocks noChangeAspect="1"/>
        </xdr:cNvPicPr>
      </xdr:nvPicPr>
      <xdr:blipFill>
        <a:blip xmlns:r="http://schemas.openxmlformats.org/officeDocument/2006/relationships" r:embed="rId14"/>
        <a:stretch>
          <a:fillRect/>
        </a:stretch>
      </xdr:blipFill>
      <xdr:spPr>
        <a:xfrm>
          <a:off x="15097125" y="38757225"/>
          <a:ext cx="4572000" cy="1924050"/>
        </a:xfrm>
        <a:prstGeom prst="rect">
          <a:avLst/>
        </a:prstGeom>
      </xdr:spPr>
    </xdr:pic>
    <xdr:clientData/>
  </xdr:twoCellAnchor>
  <xdr:twoCellAnchor editAs="oneCell">
    <xdr:from>
      <xdr:col>8</xdr:col>
      <xdr:colOff>0</xdr:colOff>
      <xdr:row>142</xdr:row>
      <xdr:rowOff>9525</xdr:rowOff>
    </xdr:from>
    <xdr:to>
      <xdr:col>19</xdr:col>
      <xdr:colOff>19050</xdr:colOff>
      <xdr:row>163</xdr:row>
      <xdr:rowOff>19050</xdr:rowOff>
    </xdr:to>
    <xdr:pic>
      <xdr:nvPicPr>
        <xdr:cNvPr id="17" name="Imagen 16">
          <a:extLst>
            <a:ext uri="{FF2B5EF4-FFF2-40B4-BE49-F238E27FC236}">
              <a16:creationId xmlns:a16="http://schemas.microsoft.com/office/drawing/2014/main" id="{EBB5FEBD-3905-A997-2D38-A4F7EE45D6E4}"/>
            </a:ext>
            <a:ext uri="{147F2762-F138-4A5C-976F-8EAC2B608ADB}">
              <a16:predDERef xmlns:a16="http://schemas.microsoft.com/office/drawing/2014/main" pred="{AC2C35FF-C7C1-2B58-4239-89F7CC717400}"/>
            </a:ext>
          </a:extLst>
        </xdr:cNvPr>
        <xdr:cNvPicPr>
          <a:picLocks noChangeAspect="1"/>
        </xdr:cNvPicPr>
      </xdr:nvPicPr>
      <xdr:blipFill>
        <a:blip xmlns:r="http://schemas.openxmlformats.org/officeDocument/2006/relationships" r:embed="rId15"/>
        <a:stretch>
          <a:fillRect/>
        </a:stretch>
      </xdr:blipFill>
      <xdr:spPr>
        <a:xfrm>
          <a:off x="15678150" y="45567600"/>
          <a:ext cx="9858375" cy="5638800"/>
        </a:xfrm>
        <a:prstGeom prst="rect">
          <a:avLst/>
        </a:prstGeom>
      </xdr:spPr>
    </xdr:pic>
    <xdr:clientData/>
  </xdr:twoCellAnchor>
  <xdr:twoCellAnchor editAs="oneCell">
    <xdr:from>
      <xdr:col>22</xdr:col>
      <xdr:colOff>200025</xdr:colOff>
      <xdr:row>141</xdr:row>
      <xdr:rowOff>285750</xdr:rowOff>
    </xdr:from>
    <xdr:to>
      <xdr:col>46</xdr:col>
      <xdr:colOff>133350</xdr:colOff>
      <xdr:row>161</xdr:row>
      <xdr:rowOff>142875</xdr:rowOff>
    </xdr:to>
    <xdr:pic>
      <xdr:nvPicPr>
        <xdr:cNvPr id="18" name="Imagen 17">
          <a:extLst>
            <a:ext uri="{FF2B5EF4-FFF2-40B4-BE49-F238E27FC236}">
              <a16:creationId xmlns:a16="http://schemas.microsoft.com/office/drawing/2014/main" id="{585D5041-0C71-8F11-6A59-B89E109F434A}"/>
            </a:ext>
            <a:ext uri="{147F2762-F138-4A5C-976F-8EAC2B608ADB}">
              <a16:predDERef xmlns:a16="http://schemas.microsoft.com/office/drawing/2014/main" pred="{EBB5FEBD-3905-A997-2D38-A4F7EE45D6E4}"/>
            </a:ext>
          </a:extLst>
        </xdr:cNvPr>
        <xdr:cNvPicPr>
          <a:picLocks noChangeAspect="1"/>
        </xdr:cNvPicPr>
      </xdr:nvPicPr>
      <xdr:blipFill>
        <a:blip xmlns:r="http://schemas.openxmlformats.org/officeDocument/2006/relationships" r:embed="rId16"/>
        <a:stretch>
          <a:fillRect/>
        </a:stretch>
      </xdr:blipFill>
      <xdr:spPr>
        <a:xfrm>
          <a:off x="27317700" y="40862250"/>
          <a:ext cx="13649325" cy="5353050"/>
        </a:xfrm>
        <a:prstGeom prst="rect">
          <a:avLst/>
        </a:prstGeom>
      </xdr:spPr>
    </xdr:pic>
    <xdr:clientData/>
  </xdr:twoCellAnchor>
  <xdr:twoCellAnchor editAs="oneCell">
    <xdr:from>
      <xdr:col>13</xdr:col>
      <xdr:colOff>342900</xdr:colOff>
      <xdr:row>96</xdr:row>
      <xdr:rowOff>247650</xdr:rowOff>
    </xdr:from>
    <xdr:to>
      <xdr:col>22</xdr:col>
      <xdr:colOff>447675</xdr:colOff>
      <xdr:row>107</xdr:row>
      <xdr:rowOff>9525</xdr:rowOff>
    </xdr:to>
    <xdr:pic>
      <xdr:nvPicPr>
        <xdr:cNvPr id="19" name="Imagen 18">
          <a:extLst>
            <a:ext uri="{FF2B5EF4-FFF2-40B4-BE49-F238E27FC236}">
              <a16:creationId xmlns:a16="http://schemas.microsoft.com/office/drawing/2014/main" id="{427DAFF8-6A42-D36B-EBCD-5327F6F03E44}"/>
            </a:ext>
            <a:ext uri="{147F2762-F138-4A5C-976F-8EAC2B608ADB}">
              <a16:predDERef xmlns:a16="http://schemas.microsoft.com/office/drawing/2014/main" pred="{585D5041-0C71-8F11-6A59-B89E109F434A}"/>
            </a:ext>
          </a:extLst>
        </xdr:cNvPr>
        <xdr:cNvPicPr>
          <a:picLocks noChangeAspect="1"/>
        </xdr:cNvPicPr>
      </xdr:nvPicPr>
      <xdr:blipFill>
        <a:blip xmlns:r="http://schemas.openxmlformats.org/officeDocument/2006/relationships" r:embed="rId17"/>
        <a:stretch>
          <a:fillRect/>
        </a:stretch>
      </xdr:blipFill>
      <xdr:spPr>
        <a:xfrm>
          <a:off x="21850350" y="26850975"/>
          <a:ext cx="5715000" cy="3286125"/>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personalsoftsas-my.sharepoint.com/personal/coordinadorprs_personalsoft_com/_layouts/15/stream.aspx?id=%2Fpersonal%2Fcoordinadorprs%5Fpersonalsoft%5Fcom%2FDocuments%2FGrabaciones%2FMesas%20Soporte%2D20260626%5F143756%2DGrabaci%C3%B3n%20de%20la%20reuni%C3%B3n%2Emp4&amp;referrer=StreamWebApp%2EWeb&amp;referrerScenario=AddressBarCopied%2Eview%2Ef1fb1743%2D1d39%2D41e5%2Db6cf%2De909f35f4632"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personalsoftsas-my.sharepoint.com/personal/jorengifo_personalsoft_com/_layouts/15/stream.aspx?id=%2Fpersonal%2Fjorengifo%5Fpersonalsoft%5Fcom%2FDocuments%2FGrabaciones%2FHablemos%20Mesas%20AES%2D20260707%5F113150%2DGrabaci%C3%B3n%20de%20la%20reuni%C3%B3n%2Emp4&amp;referrer=StreamWebApp%2EWeb&amp;referrerScenario=AddressBarCopied%2Eview%2E8bb79edf%2Dcf18%2D4677%2D8d5a%2Dc46ddd3c2dad" TargetMode="Externa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https://www.sura.co/seguros/personas/movilidad/motos/digital?utm_source=bing-ads&amp;utm_medium=paid&amp;utm_campaign=BING_SURA_MOTOS_SEARCH_RETENTION&amp;utm_term=poliza-moto&amp;utm_content=aon_search_retention&amp;msclkid=bcd3da17cb6e1c163ef6b059bb96471b" TargetMode="External"/><Relationship Id="rId1" Type="http://schemas.openxmlformats.org/officeDocument/2006/relationships/hyperlink" Target="https://personalsoftsas-my.sharepoint.com/personal/jorengifo_personalsoft_com/_layouts/15/stream.aspx?id=%2Fpersonal%2Fjorengifo%5Fpersonalsoft%5Fcom%2FDocuments%2FGrabaciones%2FHablemos%20Mesas%20Sura%2D20260708%5F090044%2DGrabaci%C3%B3n%20de%20la%20reuni%C3%B3n%2Emp4&amp;referrer=StreamWebApp%2EWeb&amp;referrerScenario=AddressBarCopied%2Eview%2Eb88a86ca%2Dfbd2%2D4a29%2Da0a3%2D62d264132541" TargetMode="External"/><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https://www.sura.co/seguros/personas/movilidad/motos/digital?utm_source=bing-ads&amp;utm_medium=paid&amp;utm_campaign=BING_SURA_MOTOS_SEARCH_RETENTION&amp;utm_term=poliza-moto&amp;utm_content=aon_search_retention&amp;msclkid=bcd3da17cb6e1c163ef6b059bb96471b" TargetMode="External"/><Relationship Id="rId1" Type="http://schemas.openxmlformats.org/officeDocument/2006/relationships/hyperlink" Target="https://personalsoftsas-my.sharepoint.com/personal/jorengifo_personalsoft_com/_layouts/15/stream.aspx?id=%2Fpersonal%2Fjorengifo%5Fpersonalsoft%5Fcom%2FDocuments%2FGrabaciones%2FHablemos%20Mesas%20Sura%2D20260708%5F090044%2DGrabaci%C3%B3n%20de%20la%20reuni%C3%B3n%2Emp4&amp;referrer=StreamWebApp%2EWeb&amp;referrerScenario=AddressBarCopied%2Eview%2Eb88a86ca%2Dfbd2%2D4a29%2Da0a3%2D62d264132541"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hyperlink" Target="https://www.sura.co/seguros/personas/movilidad/motos/digital?utm_source=bing-ads&amp;utm_medium=paid&amp;utm_campaign=BING_SURA_MOTOS_SEARCH_RETENTION&amp;utm_term=poliza-moto&amp;utm_content=aon_search_retention&amp;msclkid=bcd3da17cb6e1c163ef6b059bb96471b" TargetMode="External"/><Relationship Id="rId1" Type="http://schemas.openxmlformats.org/officeDocument/2006/relationships/hyperlink" Target="https://personalsoftsas-my.sharepoint.com/personal/jorengifo_personalsoft_com/_layouts/15/stream.aspx?id=%2Fpersonal%2Fjorengifo%5Fpersonalsoft%5Fcom%2FDocuments%2FGrabaciones%2FHablemos%20Mesas%20Sura%2D20260708%5F090044%2DGrabaci%C3%B3n%20de%20la%20reuni%C3%B3n%2Emp4&amp;referrer=StreamWebApp%2EWeb&amp;referrerScenario=AddressBarCopied%2Eview%2Eb88a86ca%2Dfbd2%2D4a29%2Da0a3%2D62d264132541" TargetMode="External"/><Relationship Id="rId4" Type="http://schemas.openxmlformats.org/officeDocument/2006/relationships/comments" Target="../comments5.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hyperlink" Target="https://www.sura.co/seguros/personas/movilidad/motos/digital?utm_source=bing-ads&amp;utm_medium=paid&amp;utm_campaign=BING_SURA_MOTOS_SEARCH_RETENTION&amp;utm_term=poliza-moto&amp;utm_content=aon_search_retention&amp;msclkid=bcd3da17cb6e1c163ef6b059bb96471b" TargetMode="External"/><Relationship Id="rId1" Type="http://schemas.openxmlformats.org/officeDocument/2006/relationships/hyperlink" Target="https://personalsoftsas-my.sharepoint.com/personal/jorengifo_personalsoft_com/_layouts/15/stream.aspx?id=%2Fpersonal%2Fjorengifo%5Fpersonalsoft%5Fcom%2FDocuments%2FGrabaciones%2FHablemos%20Mesas%20Sura%2D20260708%5F090044%2DGrabaci%C3%B3n%20de%20la%20reuni%C3%B3n%2Emp4&amp;referrer=StreamWebApp%2EWeb&amp;referrerScenario=AddressBarCopied%2Eview%2Eb88a86ca%2Dfbd2%2D4a29%2Da0a3%2D62d264132541" TargetMode="External"/><Relationship Id="rId4" Type="http://schemas.openxmlformats.org/officeDocument/2006/relationships/comments" Target="../comments6.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hyperlink" Target="https://www.xm.com.co/nuestra-empresa/nosotros/quienes-somos" TargetMode="External"/><Relationship Id="rId4" Type="http://schemas.openxmlformats.org/officeDocument/2006/relationships/comments" Target="../comments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4DAD5-0B3D-49EA-A643-75793A9C571A}">
  <dimension ref="B2:G19"/>
  <sheetViews>
    <sheetView showGridLines="0" zoomScaleNormal="100" workbookViewId="0">
      <selection activeCell="E25" sqref="E25"/>
    </sheetView>
  </sheetViews>
  <sheetFormatPr baseColWidth="10" defaultColWidth="8.54296875" defaultRowHeight="14.5" x14ac:dyDescent="0.35"/>
  <cols>
    <col min="1" max="1" width="3" style="1" customWidth="1"/>
    <col min="2" max="2" width="14" style="1" customWidth="1"/>
    <col min="3" max="3" width="14.26953125" style="1" customWidth="1"/>
    <col min="4" max="4" width="24.1796875" style="1" customWidth="1"/>
    <col min="5" max="5" width="18" style="1" customWidth="1"/>
    <col min="6" max="6" width="23" style="1" customWidth="1"/>
    <col min="7" max="7" width="25.81640625" style="1" customWidth="1"/>
    <col min="8" max="16384" width="8.54296875" style="1"/>
  </cols>
  <sheetData>
    <row r="2" spans="2:7" ht="7.5" customHeight="1" x14ac:dyDescent="0.35"/>
    <row r="3" spans="2:7" ht="19.5" customHeight="1" x14ac:dyDescent="0.35">
      <c r="B3" s="277"/>
      <c r="C3" s="278"/>
      <c r="D3" s="283" t="s">
        <v>0</v>
      </c>
      <c r="E3" s="284"/>
      <c r="F3" s="284"/>
      <c r="G3" s="53"/>
    </row>
    <row r="4" spans="2:7" ht="7" customHeight="1" x14ac:dyDescent="0.35">
      <c r="B4" s="279"/>
      <c r="C4" s="280"/>
      <c r="D4" s="7"/>
      <c r="E4" s="8"/>
      <c r="F4" s="8"/>
      <c r="G4" s="54"/>
    </row>
    <row r="5" spans="2:7" ht="15" customHeight="1" x14ac:dyDescent="0.35">
      <c r="B5" s="279"/>
      <c r="C5" s="280"/>
      <c r="D5" s="285" t="s">
        <v>1</v>
      </c>
      <c r="E5" s="286"/>
      <c r="F5" s="286"/>
      <c r="G5" s="56" t="s">
        <v>2</v>
      </c>
    </row>
    <row r="6" spans="2:7" ht="15" customHeight="1" x14ac:dyDescent="0.35">
      <c r="B6" s="281"/>
      <c r="C6" s="282"/>
      <c r="D6" s="2" t="s">
        <v>3</v>
      </c>
      <c r="E6" s="3" t="s">
        <v>4</v>
      </c>
      <c r="F6" s="4"/>
      <c r="G6" s="55" t="s">
        <v>5</v>
      </c>
    </row>
    <row r="7" spans="2:7" ht="15" customHeight="1" x14ac:dyDescent="0.35"/>
    <row r="9" spans="2:7" ht="15.5" x14ac:dyDescent="0.35">
      <c r="B9" s="273" t="s">
        <v>6</v>
      </c>
      <c r="C9" s="273"/>
      <c r="D9" s="273" t="s">
        <v>7</v>
      </c>
      <c r="E9" s="273"/>
      <c r="F9" s="273" t="s">
        <v>8</v>
      </c>
      <c r="G9" s="273"/>
    </row>
    <row r="10" spans="2:7" ht="32.25" customHeight="1" x14ac:dyDescent="0.35">
      <c r="B10" s="275" t="s">
        <v>9</v>
      </c>
      <c r="C10" s="276"/>
      <c r="D10" s="275"/>
      <c r="E10" s="276"/>
      <c r="F10" s="275"/>
      <c r="G10" s="276"/>
    </row>
    <row r="11" spans="2:7" ht="15.5" x14ac:dyDescent="0.35">
      <c r="B11" s="273" t="s">
        <v>10</v>
      </c>
      <c r="C11" s="273"/>
      <c r="D11" s="273" t="s">
        <v>10</v>
      </c>
      <c r="E11" s="273"/>
      <c r="F11" s="273" t="s">
        <v>10</v>
      </c>
      <c r="G11" s="273"/>
    </row>
    <row r="12" spans="2:7" ht="15.5" x14ac:dyDescent="0.35">
      <c r="B12" s="271">
        <v>46206</v>
      </c>
      <c r="C12" s="272"/>
      <c r="D12" s="271"/>
      <c r="E12" s="272"/>
      <c r="F12" s="271"/>
      <c r="G12" s="272"/>
    </row>
    <row r="13" spans="2:7" ht="15.5" x14ac:dyDescent="0.35">
      <c r="B13" s="11"/>
      <c r="C13" s="11"/>
      <c r="D13" s="11"/>
      <c r="E13" s="11"/>
      <c r="F13" s="11"/>
      <c r="G13" s="11"/>
    </row>
    <row r="14" spans="2:7" ht="15.5" x14ac:dyDescent="0.35">
      <c r="B14" s="9" t="s">
        <v>10</v>
      </c>
      <c r="C14" s="9" t="s">
        <v>11</v>
      </c>
      <c r="D14" s="273" t="s">
        <v>12</v>
      </c>
      <c r="E14" s="273"/>
      <c r="F14" s="273"/>
      <c r="G14" s="273"/>
    </row>
    <row r="15" spans="2:7" ht="15.5" x14ac:dyDescent="0.35">
      <c r="B15" s="12" t="s">
        <v>13</v>
      </c>
      <c r="C15" s="10">
        <v>1</v>
      </c>
      <c r="D15" s="274" t="s">
        <v>14</v>
      </c>
      <c r="E15" s="267"/>
      <c r="F15" s="267"/>
      <c r="G15" s="267"/>
    </row>
    <row r="16" spans="2:7" ht="15.5" x14ac:dyDescent="0.35">
      <c r="B16" s="12"/>
      <c r="C16" s="10">
        <v>2</v>
      </c>
      <c r="D16" s="267"/>
      <c r="E16" s="267"/>
      <c r="F16" s="267"/>
      <c r="G16" s="267"/>
    </row>
    <row r="17" spans="2:7" ht="15.5" x14ac:dyDescent="0.35">
      <c r="B17" s="12"/>
      <c r="C17" s="10">
        <v>3</v>
      </c>
      <c r="D17" s="267"/>
      <c r="E17" s="267"/>
      <c r="F17" s="267"/>
      <c r="G17" s="267"/>
    </row>
    <row r="18" spans="2:7" ht="15.5" x14ac:dyDescent="0.35">
      <c r="B18" s="12"/>
      <c r="C18" s="10">
        <v>4</v>
      </c>
      <c r="D18" s="268"/>
      <c r="E18" s="268"/>
      <c r="F18" s="268"/>
      <c r="G18" s="268"/>
    </row>
    <row r="19" spans="2:7" ht="15.5" x14ac:dyDescent="0.35">
      <c r="B19" s="12"/>
      <c r="C19" s="10">
        <v>5</v>
      </c>
      <c r="D19" s="268"/>
      <c r="E19" s="269"/>
      <c r="F19" s="269"/>
      <c r="G19" s="270"/>
    </row>
  </sheetData>
  <mergeCells count="21">
    <mergeCell ref="B9:C9"/>
    <mergeCell ref="D9:E9"/>
    <mergeCell ref="F9:G9"/>
    <mergeCell ref="B3:C6"/>
    <mergeCell ref="D3:F3"/>
    <mergeCell ref="D5:F5"/>
    <mergeCell ref="B10:C10"/>
    <mergeCell ref="D10:E10"/>
    <mergeCell ref="F10:G10"/>
    <mergeCell ref="B11:C11"/>
    <mergeCell ref="D11:E11"/>
    <mergeCell ref="F11:G11"/>
    <mergeCell ref="D16:G16"/>
    <mergeCell ref="D17:G17"/>
    <mergeCell ref="D18:G18"/>
    <mergeCell ref="D19:G19"/>
    <mergeCell ref="B12:C12"/>
    <mergeCell ref="D12:E12"/>
    <mergeCell ref="F12:G12"/>
    <mergeCell ref="D14:G14"/>
    <mergeCell ref="D15:G15"/>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21BA5-136F-4015-8983-3543196EE470}">
  <dimension ref="B1:F37"/>
  <sheetViews>
    <sheetView showGridLines="0" zoomScaleNormal="100" workbookViewId="0">
      <selection activeCell="M15" sqref="M15"/>
    </sheetView>
  </sheetViews>
  <sheetFormatPr baseColWidth="10" defaultColWidth="8.54296875" defaultRowHeight="15" customHeight="1" x14ac:dyDescent="0.35"/>
  <cols>
    <col min="1" max="1" width="3" style="1" customWidth="1"/>
    <col min="2" max="2" width="11.7265625" style="1" customWidth="1"/>
    <col min="3" max="3" width="44.1796875" style="1" customWidth="1"/>
    <col min="4" max="4" width="23.81640625" style="1" customWidth="1"/>
    <col min="5" max="5" width="67.1796875" style="1" customWidth="1"/>
    <col min="6" max="6" width="21.54296875" style="1" bestFit="1" customWidth="1"/>
    <col min="7" max="16384" width="8.54296875" style="1"/>
  </cols>
  <sheetData>
    <row r="1" spans="2:6" ht="14.25" customHeight="1" x14ac:dyDescent="0.35"/>
    <row r="2" spans="2:6" ht="14.25" customHeight="1" x14ac:dyDescent="0.35">
      <c r="B2" s="287"/>
      <c r="C2" s="288"/>
      <c r="D2" s="293" t="s">
        <v>15</v>
      </c>
      <c r="E2" s="294"/>
      <c r="F2" s="58"/>
    </row>
    <row r="3" spans="2:6" ht="7.5" customHeight="1" x14ac:dyDescent="0.35">
      <c r="B3" s="289"/>
      <c r="C3" s="290"/>
      <c r="D3" s="57"/>
      <c r="F3" s="59"/>
    </row>
    <row r="4" spans="2:6" ht="27" customHeight="1" x14ac:dyDescent="0.35">
      <c r="B4" s="289"/>
      <c r="C4" s="290"/>
      <c r="D4" s="295" t="s">
        <v>16</v>
      </c>
      <c r="E4" s="296"/>
      <c r="F4" s="60" t="s">
        <v>2</v>
      </c>
    </row>
    <row r="5" spans="2:6" ht="14.25" customHeight="1" x14ac:dyDescent="0.35">
      <c r="B5" s="291"/>
      <c r="C5" s="292"/>
      <c r="D5" s="297" t="s">
        <v>17</v>
      </c>
      <c r="E5" s="298"/>
      <c r="F5" s="61" t="s">
        <v>5</v>
      </c>
    </row>
    <row r="6" spans="2:6" ht="14.25" customHeight="1" x14ac:dyDescent="0.35"/>
    <row r="8" spans="2:6" ht="21.75" customHeight="1" x14ac:dyDescent="0.35">
      <c r="B8" s="299" t="s">
        <v>18</v>
      </c>
      <c r="C8" s="300"/>
      <c r="D8" s="301"/>
      <c r="E8" s="78"/>
    </row>
    <row r="9" spans="2:6" ht="21.75" customHeight="1" x14ac:dyDescent="0.35">
      <c r="B9" s="79" t="s">
        <v>19</v>
      </c>
      <c r="C9" s="79" t="s">
        <v>20</v>
      </c>
      <c r="D9" s="79" t="s">
        <v>21</v>
      </c>
      <c r="E9" s="79" t="s">
        <v>22</v>
      </c>
    </row>
    <row r="10" spans="2:6" ht="26" x14ac:dyDescent="0.35">
      <c r="B10" s="88" t="s">
        <v>23</v>
      </c>
      <c r="C10" s="80" t="s">
        <v>24</v>
      </c>
      <c r="D10" s="81" t="s">
        <v>25</v>
      </c>
      <c r="E10" s="82" t="s">
        <v>26</v>
      </c>
    </row>
    <row r="11" spans="2:6" ht="26" x14ac:dyDescent="0.35">
      <c r="B11" s="89" t="s">
        <v>27</v>
      </c>
      <c r="C11" s="83" t="s">
        <v>28</v>
      </c>
      <c r="D11" s="84" t="s">
        <v>25</v>
      </c>
      <c r="E11" s="85" t="s">
        <v>29</v>
      </c>
    </row>
    <row r="12" spans="2:6" ht="26" x14ac:dyDescent="0.35">
      <c r="B12" s="88" t="s">
        <v>30</v>
      </c>
      <c r="C12" s="80" t="s">
        <v>31</v>
      </c>
      <c r="D12" s="81" t="s">
        <v>25</v>
      </c>
      <c r="E12" s="82" t="s">
        <v>32</v>
      </c>
    </row>
    <row r="13" spans="2:6" ht="26" x14ac:dyDescent="0.35">
      <c r="B13" s="89" t="s">
        <v>33</v>
      </c>
      <c r="C13" s="83" t="s">
        <v>34</v>
      </c>
      <c r="D13" s="84" t="s">
        <v>25</v>
      </c>
      <c r="E13" s="85" t="s">
        <v>35</v>
      </c>
    </row>
    <row r="14" spans="2:6" ht="26" x14ac:dyDescent="0.35">
      <c r="B14" s="89" t="s">
        <v>36</v>
      </c>
      <c r="C14" s="86" t="s">
        <v>37</v>
      </c>
      <c r="D14" s="81" t="s">
        <v>25</v>
      </c>
      <c r="E14" s="85" t="s">
        <v>38</v>
      </c>
    </row>
    <row r="15" spans="2:6" ht="26" x14ac:dyDescent="0.35">
      <c r="B15" s="88" t="s">
        <v>39</v>
      </c>
      <c r="C15" s="87" t="s">
        <v>40</v>
      </c>
      <c r="D15" s="84" t="s">
        <v>25</v>
      </c>
      <c r="E15" s="82" t="s">
        <v>41</v>
      </c>
    </row>
    <row r="16" spans="2:6" ht="26" x14ac:dyDescent="0.35">
      <c r="B16" s="89" t="s">
        <v>42</v>
      </c>
      <c r="C16" s="86" t="s">
        <v>43</v>
      </c>
      <c r="D16" s="84" t="s">
        <v>25</v>
      </c>
      <c r="E16" s="85" t="s">
        <v>44</v>
      </c>
    </row>
    <row r="17" spans="2:5" ht="26" x14ac:dyDescent="0.35">
      <c r="B17" s="88" t="s">
        <v>45</v>
      </c>
      <c r="C17" s="80" t="s">
        <v>46</v>
      </c>
      <c r="D17" s="81" t="s">
        <v>25</v>
      </c>
      <c r="E17" s="82" t="s">
        <v>47</v>
      </c>
    </row>
    <row r="18" spans="2:5" ht="26" x14ac:dyDescent="0.35">
      <c r="B18" s="89" t="s">
        <v>48</v>
      </c>
      <c r="C18" s="83" t="s">
        <v>49</v>
      </c>
      <c r="D18" s="84" t="s">
        <v>25</v>
      </c>
      <c r="E18" s="85" t="s">
        <v>50</v>
      </c>
    </row>
    <row r="19" spans="2:5" ht="26" x14ac:dyDescent="0.35">
      <c r="B19" s="88" t="s">
        <v>51</v>
      </c>
      <c r="C19" s="80" t="s">
        <v>52</v>
      </c>
      <c r="D19" s="81" t="s">
        <v>25</v>
      </c>
      <c r="E19" s="82" t="s">
        <v>53</v>
      </c>
    </row>
    <row r="20" spans="2:5" ht="26" x14ac:dyDescent="0.35">
      <c r="B20" s="89" t="s">
        <v>54</v>
      </c>
      <c r="C20" s="86" t="s">
        <v>55</v>
      </c>
      <c r="D20" s="84" t="s">
        <v>25</v>
      </c>
      <c r="E20" s="85" t="s">
        <v>56</v>
      </c>
    </row>
    <row r="21" spans="2:5" ht="26" x14ac:dyDescent="0.35">
      <c r="B21" s="88" t="s">
        <v>57</v>
      </c>
      <c r="C21" s="80" t="s">
        <v>58</v>
      </c>
      <c r="D21" s="81" t="s">
        <v>25</v>
      </c>
      <c r="E21" s="82" t="s">
        <v>59</v>
      </c>
    </row>
    <row r="22" spans="2:5" ht="14.5" x14ac:dyDescent="0.35"/>
    <row r="23" spans="2:5" ht="21.75" customHeight="1" x14ac:dyDescent="0.35">
      <c r="B23" s="62" t="s">
        <v>60</v>
      </c>
      <c r="C23" s="62"/>
      <c r="D23" s="62"/>
    </row>
    <row r="24" spans="2:5" ht="21.75" customHeight="1" x14ac:dyDescent="0.35">
      <c r="B24" s="6" t="s">
        <v>61</v>
      </c>
      <c r="C24" s="6" t="s">
        <v>62</v>
      </c>
      <c r="D24" s="6" t="s">
        <v>22</v>
      </c>
    </row>
    <row r="25" spans="2:5" ht="43.5" x14ac:dyDescent="0.35">
      <c r="B25" s="103" t="s">
        <v>63</v>
      </c>
      <c r="C25" s="18" t="s">
        <v>64</v>
      </c>
      <c r="D25" s="104" t="s">
        <v>65</v>
      </c>
    </row>
    <row r="26" spans="2:5" ht="58" x14ac:dyDescent="0.35">
      <c r="B26" s="107" t="s">
        <v>66</v>
      </c>
      <c r="C26" s="122" t="s">
        <v>67</v>
      </c>
      <c r="D26" s="108" t="s">
        <v>68</v>
      </c>
    </row>
    <row r="27" spans="2:5" ht="63.75" customHeight="1" x14ac:dyDescent="0.35">
      <c r="B27" s="105" t="s">
        <v>69</v>
      </c>
      <c r="C27" s="122" t="s">
        <v>70</v>
      </c>
      <c r="D27" s="106" t="s">
        <v>71</v>
      </c>
    </row>
    <row r="28" spans="2:5" ht="58" x14ac:dyDescent="0.35">
      <c r="B28" s="21" t="s">
        <v>72</v>
      </c>
      <c r="C28" s="122" t="s">
        <v>73</v>
      </c>
      <c r="D28" s="5" t="s">
        <v>74</v>
      </c>
    </row>
    <row r="29" spans="2:5" ht="58" x14ac:dyDescent="0.35">
      <c r="B29" s="22" t="s">
        <v>75</v>
      </c>
      <c r="C29" s="122" t="s">
        <v>76</v>
      </c>
      <c r="D29" s="5" t="s">
        <v>77</v>
      </c>
    </row>
    <row r="30" spans="2:5" ht="43.5" x14ac:dyDescent="0.35">
      <c r="B30" s="23" t="s">
        <v>78</v>
      </c>
      <c r="C30" s="18" t="s">
        <v>79</v>
      </c>
      <c r="D30" s="5" t="s">
        <v>80</v>
      </c>
    </row>
    <row r="32" spans="2:5" ht="21.75" customHeight="1" x14ac:dyDescent="0.35">
      <c r="B32" s="62" t="s">
        <v>81</v>
      </c>
      <c r="C32" s="62"/>
      <c r="D32" s="62"/>
      <c r="E32" s="62"/>
    </row>
    <row r="33" spans="2:5" ht="21.75" customHeight="1" x14ac:dyDescent="0.35">
      <c r="B33" s="6" t="s">
        <v>82</v>
      </c>
      <c r="C33" s="6" t="s">
        <v>83</v>
      </c>
      <c r="D33" s="6" t="s">
        <v>84</v>
      </c>
      <c r="E33" s="6" t="s">
        <v>85</v>
      </c>
    </row>
    <row r="34" spans="2:5" ht="21.75" customHeight="1" x14ac:dyDescent="0.35">
      <c r="B34" s="24" t="s">
        <v>86</v>
      </c>
      <c r="C34" s="5" t="s">
        <v>87</v>
      </c>
      <c r="D34" s="25" t="s">
        <v>88</v>
      </c>
      <c r="E34" s="26" t="s">
        <v>4</v>
      </c>
    </row>
    <row r="35" spans="2:5" ht="21.75" customHeight="1" x14ac:dyDescent="0.35">
      <c r="B35" s="27" t="s">
        <v>89</v>
      </c>
      <c r="C35" s="5" t="s">
        <v>90</v>
      </c>
      <c r="D35" s="28" t="s">
        <v>91</v>
      </c>
      <c r="E35" s="26" t="s">
        <v>92</v>
      </c>
    </row>
    <row r="36" spans="2:5" ht="21.75" customHeight="1" x14ac:dyDescent="0.35">
      <c r="B36" s="29" t="s">
        <v>93</v>
      </c>
      <c r="C36" s="5" t="s">
        <v>94</v>
      </c>
      <c r="D36" s="30" t="s">
        <v>95</v>
      </c>
      <c r="E36" s="26" t="s">
        <v>96</v>
      </c>
    </row>
    <row r="37" spans="2:5" ht="21.75" customHeight="1" x14ac:dyDescent="0.35">
      <c r="B37" s="31" t="s">
        <v>97</v>
      </c>
      <c r="C37" s="5" t="s">
        <v>98</v>
      </c>
      <c r="D37" s="32" t="s">
        <v>99</v>
      </c>
      <c r="E37" s="26" t="s">
        <v>100</v>
      </c>
    </row>
  </sheetData>
  <mergeCells count="5">
    <mergeCell ref="B2:C5"/>
    <mergeCell ref="D2:E2"/>
    <mergeCell ref="D4:E4"/>
    <mergeCell ref="D5:E5"/>
    <mergeCell ref="B8:D8"/>
  </mergeCells>
  <pageMargins left="0.75" right="0.75" top="1" bottom="1" header="0.511811023622047" footer="0.511811023622047"/>
  <pageSetup paperSize="9"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0369A-9CDA-43B8-92B7-D09553D13CE9}">
  <dimension ref="A2:O125"/>
  <sheetViews>
    <sheetView showGridLines="0" zoomScaleNormal="100" workbookViewId="0">
      <pane xSplit="1" ySplit="8" topLeftCell="B17" activePane="bottomRight" state="frozen"/>
      <selection pane="topRight" activeCell="B1" sqref="B1"/>
      <selection pane="bottomLeft" activeCell="A7" sqref="A7"/>
      <selection pane="bottomRight" activeCell="L18" sqref="L18"/>
    </sheetView>
  </sheetViews>
  <sheetFormatPr baseColWidth="10" defaultColWidth="8.54296875" defaultRowHeight="14.5" x14ac:dyDescent="0.35"/>
  <cols>
    <col min="1" max="1" width="3" style="111" customWidth="1"/>
    <col min="2" max="2" width="43.81640625" style="111" customWidth="1"/>
    <col min="3" max="3" width="7.7265625" style="111" bestFit="1" customWidth="1"/>
    <col min="4" max="4" width="10.453125" style="111" customWidth="1"/>
    <col min="5" max="5" width="7.7265625" style="111" bestFit="1" customWidth="1"/>
    <col min="6" max="7" width="10.453125" style="111" customWidth="1"/>
    <col min="8" max="8" width="22.7265625" style="111" customWidth="1"/>
    <col min="9" max="9" width="6.81640625" style="111" bestFit="1" customWidth="1"/>
    <col min="10" max="10" width="8" style="111" bestFit="1" customWidth="1"/>
    <col min="11" max="11" width="10.7265625" style="111" bestFit="1" customWidth="1"/>
    <col min="12" max="12" width="3.81640625" style="111" bestFit="1" customWidth="1"/>
    <col min="13" max="13" width="10.453125" style="111" customWidth="1"/>
    <col min="14" max="14" width="6.54296875" style="111" bestFit="1" customWidth="1"/>
    <col min="15" max="16384" width="8.54296875" style="111"/>
  </cols>
  <sheetData>
    <row r="2" spans="2:14" ht="21" x14ac:dyDescent="0.35">
      <c r="B2" s="311"/>
      <c r="C2" s="314" t="s">
        <v>101</v>
      </c>
      <c r="D2" s="315"/>
      <c r="E2" s="315"/>
      <c r="F2" s="315"/>
      <c r="G2" s="315"/>
      <c r="H2" s="316"/>
      <c r="I2" s="307" t="s">
        <v>102</v>
      </c>
      <c r="J2" s="308"/>
      <c r="K2" s="237"/>
      <c r="L2" s="237"/>
      <c r="M2" s="237"/>
      <c r="N2" s="237"/>
    </row>
    <row r="3" spans="2:14" x14ac:dyDescent="0.35">
      <c r="B3" s="312"/>
      <c r="C3" s="317" t="s">
        <v>103</v>
      </c>
      <c r="D3" s="318"/>
      <c r="E3" s="318"/>
      <c r="F3" s="318"/>
      <c r="G3" s="318"/>
      <c r="H3" s="319"/>
      <c r="I3" s="309"/>
      <c r="J3" s="310"/>
      <c r="K3" s="237"/>
      <c r="L3" s="237"/>
      <c r="M3" s="237"/>
      <c r="N3" s="237"/>
    </row>
    <row r="4" spans="2:14" x14ac:dyDescent="0.35">
      <c r="B4" s="312"/>
      <c r="C4" s="312"/>
      <c r="D4" s="309"/>
      <c r="E4" s="309"/>
      <c r="F4" s="309"/>
      <c r="G4" s="309"/>
      <c r="H4" s="310"/>
      <c r="I4" s="309"/>
      <c r="J4" s="310"/>
      <c r="K4" s="237"/>
      <c r="L4" s="237"/>
      <c r="M4" s="237"/>
      <c r="N4" s="237"/>
    </row>
    <row r="5" spans="2:14" ht="14.5" customHeight="1" x14ac:dyDescent="0.35">
      <c r="B5" s="313"/>
      <c r="C5" s="304" t="s">
        <v>104</v>
      </c>
      <c r="D5" s="305"/>
      <c r="E5" s="305"/>
      <c r="F5" s="305"/>
      <c r="G5" s="305"/>
      <c r="H5" s="306"/>
      <c r="I5" s="305"/>
      <c r="J5" s="306"/>
      <c r="K5" s="237"/>
      <c r="L5" s="237"/>
      <c r="M5" s="237"/>
      <c r="N5" s="237"/>
    </row>
    <row r="6" spans="2:14" x14ac:dyDescent="0.35">
      <c r="B6" s="237"/>
      <c r="C6" s="237"/>
      <c r="D6" s="237"/>
      <c r="E6" s="237"/>
      <c r="F6" s="237"/>
      <c r="G6" s="237"/>
      <c r="H6" s="237"/>
      <c r="I6" s="237"/>
      <c r="J6" s="237"/>
      <c r="K6" s="237"/>
      <c r="L6" s="237"/>
      <c r="M6" s="237"/>
      <c r="N6" s="237"/>
    </row>
    <row r="7" spans="2:14" ht="18.75" customHeight="1" x14ac:dyDescent="0.35">
      <c r="B7" s="128" t="s">
        <v>105</v>
      </c>
      <c r="C7" s="128"/>
      <c r="D7" s="128"/>
      <c r="E7" s="128"/>
      <c r="F7" s="128"/>
      <c r="G7" s="128"/>
      <c r="H7" s="128"/>
      <c r="I7" s="128"/>
      <c r="J7" s="128"/>
      <c r="K7" s="128"/>
      <c r="L7" s="237"/>
      <c r="M7" s="237"/>
      <c r="N7" s="237"/>
    </row>
    <row r="8" spans="2:14" ht="26.5" x14ac:dyDescent="0.35">
      <c r="B8" s="112" t="s">
        <v>106</v>
      </c>
      <c r="C8" s="112" t="s">
        <v>107</v>
      </c>
      <c r="D8" s="112" t="s">
        <v>108</v>
      </c>
      <c r="E8" s="112" t="s">
        <v>109</v>
      </c>
      <c r="F8" s="112" t="s">
        <v>110</v>
      </c>
      <c r="G8" s="112" t="s">
        <v>111</v>
      </c>
      <c r="H8" s="112" t="s">
        <v>112</v>
      </c>
      <c r="I8" s="112" t="s">
        <v>113</v>
      </c>
      <c r="J8" s="112" t="s">
        <v>114</v>
      </c>
      <c r="K8" s="112" t="s">
        <v>115</v>
      </c>
      <c r="L8" s="237"/>
      <c r="M8" s="237"/>
      <c r="N8" s="237"/>
    </row>
    <row r="9" spans="2:14" ht="26.5" x14ac:dyDescent="0.35">
      <c r="B9" s="114" t="s">
        <v>116</v>
      </c>
      <c r="C9" s="115" t="str">
        <f>'SURA Cotizadores'!C12</f>
        <v>N2</v>
      </c>
      <c r="D9" s="116">
        <f>IFERROR('SURA Cotizadores'!E56,0)</f>
        <v>0.52941176470588236</v>
      </c>
      <c r="E9" s="116" t="str">
        <f>IFERROR('SURA Cotizadores'!C66,0)</f>
        <v>N/D</v>
      </c>
      <c r="F9" s="116">
        <f>IFERROR('SURA Cotizadores'!C68,0)</f>
        <v>0.7</v>
      </c>
      <c r="G9" s="117">
        <f>IFERROR('SURA Cotizadores'!C86,0)</f>
        <v>0</v>
      </c>
      <c r="H9" s="117">
        <f>IFERROR('SURA Cotizadores'!C72,0)</f>
        <v>8</v>
      </c>
      <c r="I9" s="117">
        <f>IF(OR('SURA Cotizadores'!C99="Sí",'SURA Cotizadores'!C99="Si"),1,IF('SURA Cotizadores'!C99="Parcial",0.5,0))+IF(OR('SURA Cotizadores'!C100="Sí",'SURA Cotizadores'!C100="Si"),1,IF('SURA Cotizadores'!C100="Parcial",0.5,0))+IF(OR('SURA Cotizadores'!C101="Sí",'SURA Cotizadores'!C101="Si"),1,IF('SURA Cotizadores'!C101="Parcial",0.5,0))+IF(OR('SURA Cotizadores'!C102="Sí",'SURA Cotizadores'!C102="Si"),1,IF('SURA Cotizadores'!C102="Parcial",0.5,0))+IF(OR('SURA Cotizadores'!C103="Sí",'SURA Cotizadores'!C103="Si"),1,IF('SURA Cotizadores'!C103="Parcial",0.5,0))+IF(OR('SURA Cotizadores'!C104="Sí",'SURA Cotizadores'!C104="Si"),1,IF('SURA Cotizadores'!C104="Parcial",0.5,0))+IF(OR('SURA Cotizadores'!C105="Sí",'SURA Cotizadores'!C105="Si"),1,IF('SURA Cotizadores'!C105="Parcial",0.5,0))+IF(OR('SURA Cotizadores'!C106="Sí",'SURA Cotizadores'!C106="Si"),1,IF('SURA Cotizadores'!C106="Parcial",0.5,0))+IF(OR('SURA Cotizadores'!C107="Sí",'SURA Cotizadores'!C107="Si"),1,IF('SURA Cotizadores'!C107="Parcial",0.5,0))+IF(OR('SURA Cotizadores'!C108="Sí",'SURA Cotizadores'!C108="Si"),1,IF('SURA Cotizadores'!C108="Parcial",0.5,0))+IF(OR('SURA Cotizadores'!C109="Sí",'SURA Cotizadores'!C109="Si"),1,IF('SURA Cotizadores'!C109="Parcial",0.5,0))+IF(OR('SURA Cotizadores'!C110="Sí",'SURA Cotizadores'!C110="Si"),1,IF('SURA Cotizadores'!C110="Parcial",0.5,0))+IF(OR('SURA Cotizadores'!C111="Sí",'SURA Cotizadores'!C111="Si"),1,IF('SURA Cotizadores'!C111="Parcial",0.5,0))+IF(OR('SURA Cotizadores'!C112="Sí",'SURA Cotizadores'!C112="Si"),1,IF('SURA Cotizadores'!C112="Parcial",0.5,0))+IF(OR('SURA Cotizadores'!C113="Sí",'SURA Cotizadores'!C113="Si"),1,IF('SURA Cotizadores'!C113="Parcial",0.5,0))+IF(OR('SURA Cotizadores'!C114="Sí",'SURA Cotizadores'!C114="Si"),1,IF('SURA Cotizadores'!C114="Parcial",0.5,0))+IF(OR('SURA Cotizadores'!C115="Sí",'SURA Cotizadores'!C115="Si"),1,IF('SURA Cotizadores'!C115="Parcial",0.5,0))+IF(OR('SURA Cotizadores'!C116="Sí",'SURA Cotizadores'!C116="Si"),1,IF('SURA Cotizadores'!C116="Parcial",0.5,0))+IF(OR('SURA Cotizadores'!C117="Sí",'SURA Cotizadores'!C117="Si"),1,IF('SURA Cotizadores'!C117="Parcial",0.5,0))+IF(OR('SURA Cotizadores'!C118="Sí",'SURA Cotizadores'!C118="Si"),1,IF('SURA Cotizadores'!C118="Parcial",0.5,0))+IF(OR('SURA Cotizadores'!C119="Sí",'SURA Cotizadores'!C119="Si"),1,IF('SURA Cotizadores'!C119="Parcial",0.5,0))+IF(OR('SURA Cotizadores'!C120="Sí",'SURA Cotizadores'!C120="Si"),1,IF('SURA Cotizadores'!C120="Parcial",0.5,0))+IF(OR('SURA Cotizadores'!C121="Sí",'SURA Cotizadores'!C121="Si"),1,IF('SURA Cotizadores'!C121="Parcial",0.5,0))</f>
        <v>13</v>
      </c>
      <c r="J9" s="115" t="str">
        <f t="shared" ref="J9:J20" si="0">IF(D9&lt;30%,"Alta",IF(D9&lt;60%,"Media","Baja"))</f>
        <v>Media</v>
      </c>
      <c r="K9" s="118" t="str">
        <f t="shared" ref="K9:K20" si="1">IF(D9=0,"Pendiente",IF(D9&gt;=70%,"Fuerte",IF(D9&gt;=40%,"En desarrollo","Crítica")))</f>
        <v>En desarrollo</v>
      </c>
      <c r="L9" s="113"/>
      <c r="M9" s="113"/>
      <c r="N9" s="113"/>
    </row>
    <row r="10" spans="2:14" ht="26.5" x14ac:dyDescent="0.35">
      <c r="B10" s="114" t="s">
        <v>117</v>
      </c>
      <c r="C10" s="115" t="str">
        <f>'SURA Digital Venta'!C13</f>
        <v>N2</v>
      </c>
      <c r="D10" s="116">
        <f>IFERROR('SURA Digital Venta'!E57,0)</f>
        <v>0.55882352941176472</v>
      </c>
      <c r="E10" s="116" t="str">
        <f>IFERROR('SURA Digital Venta'!C67,0)</f>
        <v>N/D</v>
      </c>
      <c r="F10" s="116">
        <f>IFERROR('SURA Digital Venta'!C69,0)</f>
        <v>0.74</v>
      </c>
      <c r="G10" s="117">
        <f>IFERROR('SURA Digital Venta'!C90,0)</f>
        <v>0</v>
      </c>
      <c r="H10" s="117">
        <f>IFERROR('SURA Digital Venta'!C73,0)</f>
        <v>2</v>
      </c>
      <c r="I10" s="117">
        <f>IF(OR('SURA Digital Venta'!C100="Sí",'SURA Digital Venta'!C100="Si"),1,IF('SURA Digital Venta'!C100="Parcial",0.5,0))+IF(OR('SURA Digital Venta'!C101="Sí",'SURA Digital Venta'!C101="Si"),1,IF('SURA Digital Venta'!C101="Parcial",0.5,0))+IF(OR('SURA Digital Venta'!C102="Sí",'SURA Digital Venta'!C102="Si"),1,IF('SURA Digital Venta'!C102="Parcial",0.5,0))+IF(OR('SURA Digital Venta'!C103="Sí",'SURA Digital Venta'!C103="Si"),1,IF('SURA Digital Venta'!C103="Parcial",0.5,0))+IF(OR('SURA Digital Venta'!C104="Sí",'SURA Digital Venta'!C104="Si"),1,IF('SURA Digital Venta'!C104="Parcial",0.5,0))+IF(OR('SURA Digital Venta'!C105="Sí",'SURA Digital Venta'!C105="Si"),1,IF('SURA Digital Venta'!C105="Parcial",0.5,0))+IF(OR('SURA Digital Venta'!C106="Sí",'SURA Digital Venta'!C106="Si"),1,IF('SURA Digital Venta'!C106="Parcial",0.5,0))+IF(OR('SURA Digital Venta'!C107="Sí",'SURA Digital Venta'!C107="Si"),1,IF('SURA Digital Venta'!C107="Parcial",0.5,0))+IF(OR('SURA Digital Venta'!C108="Sí",'SURA Digital Venta'!C108="Si"),1,IF('SURA Digital Venta'!C108="Parcial",0.5,0))+IF(OR('SURA Digital Venta'!C109="Sí",'SURA Digital Venta'!C109="Si"),1,IF('SURA Digital Venta'!C109="Parcial",0.5,0))+IF(OR('SURA Digital Venta'!C110="Sí",'SURA Digital Venta'!C110="Si"),1,IF('SURA Digital Venta'!C110="Parcial",0.5,0))+IF(OR('SURA Digital Venta'!C111="Sí",'SURA Digital Venta'!C111="Si"),1,IF('SURA Digital Venta'!C111="Parcial",0.5,0))+IF(OR('SURA Digital Venta'!C112="Sí",'SURA Digital Venta'!C112="Si"),1,IF('SURA Digital Venta'!C112="Parcial",0.5,0))+IF(OR('SURA Digital Venta'!C113="Sí",'SURA Digital Venta'!C113="Si"),1,IF('SURA Digital Venta'!C113="Parcial",0.5,0))+IF(OR('SURA Digital Venta'!C114="Sí",'SURA Digital Venta'!C114="Si"),1,IF('SURA Digital Venta'!C114="Parcial",0.5,0))+IF(OR('SURA Digital Venta'!C115="Sí",'SURA Digital Venta'!C115="Si"),1,IF('SURA Digital Venta'!C115="Parcial",0.5,0))+IF(OR('SURA Digital Venta'!C116="Sí",'SURA Digital Venta'!C116="Si"),1,IF('SURA Digital Venta'!C116="Parcial",0.5,0))+IF(OR('SURA Digital Venta'!C117="Sí",'SURA Digital Venta'!C117="Si"),1,IF('SURA Digital Venta'!C117="Parcial",0.5,0))+IF(OR('SURA Digital Venta'!C118="Sí",'SURA Digital Venta'!C118="Si"),1,IF('SURA Digital Venta'!C118="Parcial",0.5,0))+IF(OR('SURA Digital Venta'!C119="Sí",'SURA Digital Venta'!C119="Si"),1,IF('SURA Digital Venta'!C119="Parcial",0.5,0))+IF(OR('SURA Digital Venta'!C120="Sí",'SURA Digital Venta'!C120="Si"),1,IF('SURA Digital Venta'!C120="Parcial",0.5,0))+IF(OR('SURA Digital Venta'!C121="Sí",'SURA Digital Venta'!C121="Si"),1,IF('SURA Digital Venta'!C121="Parcial",0.5,0))</f>
        <v>12.5</v>
      </c>
      <c r="J10" s="115" t="str">
        <f t="shared" si="0"/>
        <v>Media</v>
      </c>
      <c r="K10" s="118" t="str">
        <f t="shared" si="1"/>
        <v>En desarrollo</v>
      </c>
      <c r="L10" s="113"/>
      <c r="M10" s="113"/>
      <c r="N10" s="113"/>
    </row>
    <row r="11" spans="2:14" ht="26.5" x14ac:dyDescent="0.35">
      <c r="B11" s="114" t="s">
        <v>118</v>
      </c>
      <c r="C11" s="115" t="str">
        <f>'SURA Automatizacion'!C13</f>
        <v>N2</v>
      </c>
      <c r="D11" s="116">
        <f>IFERROR('SURA Automatizacion'!E57,0)</f>
        <v>0.61764705882352944</v>
      </c>
      <c r="E11" s="116" t="str">
        <f>IFERROR('SURA Automatizacion'!C67,0)</f>
        <v>N/D</v>
      </c>
      <c r="F11" s="116">
        <f>IFERROR('SURA Automatizacion'!C69,0)</f>
        <v>0.98</v>
      </c>
      <c r="G11" s="117">
        <f>IFERROR('SURA Automatizacion'!C90,0)</f>
        <v>0</v>
      </c>
      <c r="H11" s="117">
        <f>IFERROR('SURA Automatizacion'!C73,0)</f>
        <v>6</v>
      </c>
      <c r="I11" s="117">
        <f>IF(OR('SURA Automatizacion'!C100="Sí",'SURA Automatizacion'!C100="Si"),1,IF('SURA Automatizacion'!C100="Parcial",0.5,0))+IF(OR('SURA Automatizacion'!C101="Sí",'SURA Automatizacion'!C101="Si"),1,IF('SURA Automatizacion'!C101="Parcial",0.5,0))+IF(OR('SURA Automatizacion'!C102="Sí",'SURA Automatizacion'!C102="Si"),1,IF('SURA Automatizacion'!C102="Parcial",0.5,0))+IF(OR('SURA Automatizacion'!C103="Sí",'SURA Automatizacion'!C103="Si"),1,IF('SURA Automatizacion'!C103="Parcial",0.5,0))+IF(OR('SURA Automatizacion'!C104="Sí",'SURA Automatizacion'!C104="Si"),1,IF('SURA Automatizacion'!C104="Parcial",0.5,0))+IF(OR('SURA Automatizacion'!C105="Sí",'SURA Automatizacion'!C105="Si"),1,IF('SURA Automatizacion'!C105="Parcial",0.5,0))+IF(OR('SURA Automatizacion'!C106="Sí",'SURA Automatizacion'!C106="Si"),1,IF('SURA Automatizacion'!C106="Parcial",0.5,0))+IF(OR('SURA Automatizacion'!C107="Sí",'SURA Automatizacion'!C107="Si"),1,IF('SURA Automatizacion'!C107="Parcial",0.5,0))+IF(OR('SURA Automatizacion'!C108="Sí",'SURA Automatizacion'!C108="Si"),1,IF('SURA Automatizacion'!C108="Parcial",0.5,0))+IF(OR('SURA Automatizacion'!C109="Sí",'SURA Automatizacion'!C109="Si"),1,IF('SURA Automatizacion'!C109="Parcial",0.5,0))+IF(OR('SURA Automatizacion'!C110="Sí",'SURA Automatizacion'!C110="Si"),1,IF('SURA Automatizacion'!C110="Parcial",0.5,0))+IF(OR('SURA Automatizacion'!C111="Sí",'SURA Automatizacion'!C111="Si"),1,IF('SURA Automatizacion'!C111="Parcial",0.5,0))+IF(OR('SURA Automatizacion'!C112="Sí",'SURA Automatizacion'!C112="Si"),1,IF('SURA Automatizacion'!C112="Parcial",0.5,0))+IF(OR('SURA Automatizacion'!C113="Sí",'SURA Automatizacion'!C113="Si"),1,IF('SURA Automatizacion'!C113="Parcial",0.5,0))+IF(OR('SURA Automatizacion'!C114="Sí",'SURA Automatizacion'!C114="Si"),1,IF('SURA Automatizacion'!C114="Parcial",0.5,0))+IF(OR('SURA Automatizacion'!C115="Sí",'SURA Automatizacion'!C115="Si"),1,IF('SURA Automatizacion'!C115="Parcial",0.5,0))+IF(OR('SURA Automatizacion'!C116="Sí",'SURA Automatizacion'!C116="Si"),1,IF('SURA Automatizacion'!C116="Parcial",0.5,0))+IF(OR('SURA Automatizacion'!C117="Sí",'SURA Automatizacion'!C117="Si"),1,IF('SURA Automatizacion'!C117="Parcial",0.5,0))+IF(OR('SURA Automatizacion'!C118="Sí",'SURA Automatizacion'!C118="Si"),1,IF('SURA Automatizacion'!C118="Parcial",0.5,0))+IF(OR('SURA Automatizacion'!C119="Sí",'SURA Automatizacion'!C119="Si"),1,IF('SURA Automatizacion'!C119="Parcial",0.5,0))+IF(OR('SURA Automatizacion'!C120="Sí",'SURA Automatizacion'!C120="Si"),1,IF('SURA Automatizacion'!C120="Parcial",0.5,0))+IF(OR('SURA Automatizacion'!C121="Sí",'SURA Automatizacion'!C121="Si"),1,IF('SURA Automatizacion'!C121="Parcial",0.5,0))</f>
        <v>11</v>
      </c>
      <c r="J11" s="115" t="str">
        <f t="shared" si="0"/>
        <v>Baja</v>
      </c>
      <c r="K11" s="118" t="str">
        <f t="shared" si="1"/>
        <v>En desarrollo</v>
      </c>
      <c r="L11" s="113"/>
      <c r="M11" s="113"/>
      <c r="N11" s="113"/>
    </row>
    <row r="12" spans="2:14" ht="26.5" x14ac:dyDescent="0.35">
      <c r="B12" s="114" t="s">
        <v>119</v>
      </c>
      <c r="C12" s="115" t="str">
        <f>'SURA Canales Masivos'!C13</f>
        <v>N2</v>
      </c>
      <c r="D12" s="116">
        <f>IFERROR('SURA Canales Masivos'!E57,0)</f>
        <v>0.58823529411764708</v>
      </c>
      <c r="E12" s="116">
        <f>IFERROR('SURA Canales Masivos'!C67,0)</f>
        <v>0</v>
      </c>
      <c r="F12" s="116">
        <f>IFERROR('SURA Canales Masivos'!C69,0)</f>
        <v>0.72</v>
      </c>
      <c r="G12" s="117">
        <f>IFERROR('SURA Canales Masivos'!C90,0)</f>
        <v>0</v>
      </c>
      <c r="H12" s="117">
        <f>IFERROR('SURA Canales Masivos'!C73,0)</f>
        <v>1</v>
      </c>
      <c r="I12" s="117">
        <f>IF(OR('SURA Canales Masivos'!C100="Sí",'SURA Canales Masivos'!C100="Si"),1,IF('SURA Canales Masivos'!C100="Parcial",0.5,0))+IF(OR('SURA Canales Masivos'!C101="Sí",'SURA Canales Masivos'!C101="Si"),1,IF('SURA Canales Masivos'!C101="Parcial",0.5,0))+IF(OR('SURA Canales Masivos'!C102="Sí",'SURA Canales Masivos'!C102="Si"),1,IF('SURA Canales Masivos'!C102="Parcial",0.5,0))+IF(OR('SURA Canales Masivos'!C103="Sí",'SURA Canales Masivos'!C103="Si"),1,IF('SURA Canales Masivos'!C103="Parcial",0.5,0))+IF(OR('SURA Canales Masivos'!C104="Sí",'SURA Canales Masivos'!C104="Si"),1,IF('SURA Canales Masivos'!C104="Parcial",0.5,0))+IF(OR('SURA Canales Masivos'!C105="Sí",'SURA Canales Masivos'!C105="Si"),1,IF('SURA Canales Masivos'!C105="Parcial",0.5,0))+IF(OR('SURA Canales Masivos'!C106="Sí",'SURA Canales Masivos'!C106="Si"),1,IF('SURA Canales Masivos'!C106="Parcial",0.5,0))+IF(OR('SURA Canales Masivos'!C107="Sí",'SURA Canales Masivos'!C107="Si"),1,IF('SURA Canales Masivos'!C107="Parcial",0.5,0))+IF(OR('SURA Canales Masivos'!C108="Sí",'SURA Canales Masivos'!C108="Si"),1,IF('SURA Canales Masivos'!C108="Parcial",0.5,0))+IF(OR('SURA Canales Masivos'!C109="Sí",'SURA Canales Masivos'!C109="Si"),1,IF('SURA Canales Masivos'!C109="Parcial",0.5,0))+IF(OR('SURA Canales Masivos'!C110="Sí",'SURA Canales Masivos'!C110="Si"),1,IF('SURA Canales Masivos'!C110="Parcial",0.5,0))+IF(OR('SURA Canales Masivos'!C111="Sí",'SURA Canales Masivos'!C111="Si"),1,IF('SURA Canales Masivos'!C111="Parcial",0.5,0))+IF(OR('SURA Canales Masivos'!C112="Sí",'SURA Canales Masivos'!C112="Si"),1,IF('SURA Canales Masivos'!C112="Parcial",0.5,0))+IF(OR('SURA Canales Masivos'!C113="Sí",'SURA Canales Masivos'!C113="Si"),1,IF('SURA Canales Masivos'!C113="Parcial",0.5,0))+IF(OR('SURA Canales Masivos'!C114="Sí",'SURA Canales Masivos'!C114="Si"),1,IF('SURA Canales Masivos'!C114="Parcial",0.5,0))+IF(OR('SURA Canales Masivos'!C115="Sí",'SURA Canales Masivos'!C115="Si"),1,IF('SURA Canales Masivos'!C115="Parcial",0.5,0))+IF(OR('SURA Canales Masivos'!C116="Sí",'SURA Canales Masivos'!C116="Si"),1,IF('SURA Canales Masivos'!C116="Parcial",0.5,0))+IF(OR('SURA Canales Masivos'!C117="Sí",'SURA Canales Masivos'!C117="Si"),1,IF('SURA Canales Masivos'!C117="Parcial",0.5,0))+IF(OR('SURA Canales Masivos'!C118="Sí",'SURA Canales Masivos'!C118="Si"),1,IF('SURA Canales Masivos'!C118="Parcial",0.5,0))+IF(OR('SURA Canales Masivos'!C119="Sí",'SURA Canales Masivos'!C119="Si"),1,IF('SURA Canales Masivos'!C119="Parcial",0.5,0))+IF(OR('SURA Canales Masivos'!C120="Sí",'SURA Canales Masivos'!C120="Si"),1,IF('SURA Canales Masivos'!C120="Parcial",0.5,0))+IF(OR('SURA Canales Masivos'!C121="Sí",'SURA Canales Masivos'!C121="Si"),1,IF('SURA Canales Masivos'!C121="Parcial",0.5,0))</f>
        <v>13</v>
      </c>
      <c r="J12" s="115" t="str">
        <f t="shared" si="0"/>
        <v>Media</v>
      </c>
      <c r="K12" s="118" t="str">
        <f t="shared" si="1"/>
        <v>En desarrollo</v>
      </c>
      <c r="L12" s="113"/>
      <c r="M12" s="113"/>
      <c r="N12" s="113"/>
    </row>
    <row r="13" spans="2:14" ht="52.5" x14ac:dyDescent="0.35">
      <c r="B13" s="114" t="s">
        <v>120</v>
      </c>
      <c r="C13" s="115" t="str">
        <f>'BCO COES Integracion'!C13</f>
        <v>N1</v>
      </c>
      <c r="D13" s="116">
        <f>IFERROR('BCO COES Integracion'!E58,0)</f>
        <v>0.73529411764705888</v>
      </c>
      <c r="E13" s="116" t="str">
        <f>IFERROR('BCO COES Integracion'!C68,0)</f>
        <v>Pendiente revisar líderes técnicos</v>
      </c>
      <c r="F13" s="116" t="str">
        <f>IFERROR('BCO COES Integracion'!C70,0)</f>
        <v>No aplica SLA- ANS del Banco y de COES</v>
      </c>
      <c r="G13" s="117">
        <f>IFERROR('BCO COES Integracion'!C91,0)</f>
        <v>0</v>
      </c>
      <c r="H13" s="117">
        <f>IFERROR('BCO COES Integracion'!C74,0)</f>
        <v>7</v>
      </c>
      <c r="I13" s="117">
        <f>IF(OR('BCO COES Integracion'!C101="Sí",'BCO COES Integracion'!C101="Si"),1,IF('BCO COES Integracion'!C101="Parcial",0.5,0))+IF(OR('BCO COES Integracion'!C102="Sí",'BCO COES Integracion'!C102="Si"),1,IF('BCO COES Integracion'!C102="Parcial",0.5,0))+IF(OR('BCO COES Integracion'!C103="Sí",'BCO COES Integracion'!C103="Si"),1,IF('BCO COES Integracion'!C103="Parcial",0.5,0))+IF(OR('BCO COES Integracion'!C104="Sí",'BCO COES Integracion'!C104="Si"),1,IF('BCO COES Integracion'!C104="Parcial",0.5,0))+IF(OR('BCO COES Integracion'!C105="Sí",'BCO COES Integracion'!C105="Si"),1,IF('BCO COES Integracion'!C105="Parcial",0.5,0))+IF(OR('BCO COES Integracion'!C106="Sí",'BCO COES Integracion'!C106="Si"),1,IF('BCO COES Integracion'!C106="Parcial",0.5,0))+IF(OR('BCO COES Integracion'!C107="Sí",'BCO COES Integracion'!C107="Si"),1,IF('BCO COES Integracion'!C107="Parcial",0.5,0))+IF(OR('BCO COES Integracion'!C108="Sí",'BCO COES Integracion'!C108="Si"),1,IF('BCO COES Integracion'!C108="Parcial",0.5,0))+IF(OR('BCO COES Integracion'!C109="Sí",'BCO COES Integracion'!C109="Si"),1,IF('BCO COES Integracion'!C109="Parcial",0.5,0))+IF(OR('BCO COES Integracion'!C110="Sí",'BCO COES Integracion'!C110="Si"),1,IF('BCO COES Integracion'!C110="Parcial",0.5,0))+IF(OR('BCO COES Integracion'!C111="Sí",'BCO COES Integracion'!C111="Si"),1,IF('BCO COES Integracion'!C111="Parcial",0.5,0))+IF(OR('BCO COES Integracion'!C112="Sí",'BCO COES Integracion'!C112="Si"),1,IF('BCO COES Integracion'!C112="Parcial",0.5,0))+IF(OR('BCO COES Integracion'!C113="Sí",'BCO COES Integracion'!C113="Si"),1,IF('BCO COES Integracion'!C113="Parcial",0.5,0))+IF(OR('BCO COES Integracion'!C114="Sí",'BCO COES Integracion'!C114="Si"),1,IF('BCO COES Integracion'!C114="Parcial",0.5,0))+IF(OR('BCO COES Integracion'!C115="Sí",'BCO COES Integracion'!C115="Si"),1,IF('BCO COES Integracion'!C115="Parcial",0.5,0))+IF(OR('BCO COES Integracion'!C116="Sí",'BCO COES Integracion'!C116="Si"),1,IF('BCO COES Integracion'!C116="Parcial",0.5,0))+IF(OR('BCO COES Integracion'!C117="Sí",'BCO COES Integracion'!C117="Si"),1,IF('BCO COES Integracion'!C117="Parcial",0.5,0))+IF(OR('BCO COES Integracion'!C118="Sí",'BCO COES Integracion'!C118="Si"),1,IF('BCO COES Integracion'!C118="Parcial",0.5,0))+IF(OR('BCO COES Integracion'!C119="Sí",'BCO COES Integracion'!C119="Si"),1,IF('BCO COES Integracion'!C119="Parcial",0.5,0))+IF(OR('BCO COES Integracion'!C120="Sí",'BCO COES Integracion'!C120="Si"),1,IF('BCO COES Integracion'!C120="Parcial",0.5,0))+IF(OR('BCO COES Integracion'!C121="Sí",'BCO COES Integracion'!C121="Si"),1,IF('BCO COES Integracion'!C121="Parcial",0.5,0))+IF(OR('BCO COES Integracion'!C122="Sí",'BCO COES Integracion'!C122="Si"),1,IF('BCO COES Integracion'!C122="Parcial",0.5,0))</f>
        <v>9.5</v>
      </c>
      <c r="J13" s="115" t="str">
        <f t="shared" si="0"/>
        <v>Baja</v>
      </c>
      <c r="K13" s="118" t="str">
        <f t="shared" si="1"/>
        <v>Fuerte</v>
      </c>
      <c r="L13" s="113"/>
      <c r="M13" s="113"/>
      <c r="N13" s="113"/>
    </row>
    <row r="14" spans="2:14" ht="52.5" x14ac:dyDescent="0.35">
      <c r="B14" s="114" t="s">
        <v>121</v>
      </c>
      <c r="C14" s="115" t="e">
        <f>'BCO COES Datos'!#REF!</f>
        <v>#REF!</v>
      </c>
      <c r="D14" s="116">
        <f>IFERROR('BCO COES Datos'!E58,0)</f>
        <v>0.73529411764705888</v>
      </c>
      <c r="E14" s="116" t="str">
        <f>IFERROR('BCO COES Datos'!C68,0)</f>
        <v>Pendiente revisar líderes técnicos</v>
      </c>
      <c r="F14" s="116" t="str">
        <f>IFERROR('BCO COES Datos'!C70,0)</f>
        <v>No aplica SLA- ANS del Banco y de COES</v>
      </c>
      <c r="G14" s="117">
        <f>IFERROR('BCO COES Datos'!C91,0)</f>
        <v>0</v>
      </c>
      <c r="H14" s="117">
        <f>IFERROR('BCO COES Datos'!C74,0)</f>
        <v>7</v>
      </c>
      <c r="I14" s="117">
        <f>IF(OR('BCO COES Datos'!C101="Sí",'BCO COES Datos'!C101="Si"),1,IF('BCO COES Datos'!C101="Parcial",0.5,0))+IF(OR('BCO COES Datos'!C102="Sí",'BCO COES Datos'!C102="Si"),1,IF('BCO COES Datos'!C102="Parcial",0.5,0))+IF(OR('BCO COES Datos'!C103="Sí",'BCO COES Datos'!C103="Si"),1,IF('BCO COES Datos'!C103="Parcial",0.5,0))+IF(OR('BCO COES Datos'!C104="Sí",'BCO COES Datos'!C104="Si"),1,IF('BCO COES Datos'!C104="Parcial",0.5,0))+IF(OR('BCO COES Datos'!C105="Sí",'BCO COES Datos'!C105="Si"),1,IF('BCO COES Datos'!C105="Parcial",0.5,0))+IF(OR('BCO COES Datos'!C106="Sí",'BCO COES Datos'!C106="Si"),1,IF('BCO COES Datos'!C106="Parcial",0.5,0))+IF(OR('BCO COES Datos'!C107="Sí",'BCO COES Datos'!C107="Si"),1,IF('BCO COES Datos'!C107="Parcial",0.5,0))+IF(OR('BCO COES Datos'!C108="Sí",'BCO COES Datos'!C108="Si"),1,IF('BCO COES Datos'!C108="Parcial",0.5,0))+IF(OR('BCO COES Datos'!C109="Sí",'BCO COES Datos'!C109="Si"),1,IF('BCO COES Datos'!C109="Parcial",0.5,0))+IF(OR('BCO COES Datos'!C110="Sí",'BCO COES Datos'!C110="Si"),1,IF('BCO COES Datos'!C110="Parcial",0.5,0))+IF(OR('BCO COES Datos'!C111="Sí",'BCO COES Datos'!C111="Si"),1,IF('BCO COES Datos'!C111="Parcial",0.5,0))+IF(OR('BCO COES Datos'!C112="Sí",'BCO COES Datos'!C112="Si"),1,IF('BCO COES Datos'!C112="Parcial",0.5,0))+IF(OR('BCO COES Datos'!C113="Sí",'BCO COES Datos'!C113="Si"),1,IF('BCO COES Datos'!C113="Parcial",0.5,0))+IF(OR('BCO COES Datos'!C114="Sí",'BCO COES Datos'!C114="Si"),1,IF('BCO COES Datos'!C114="Parcial",0.5,0))+IF(OR('BCO COES Datos'!C115="Sí",'BCO COES Datos'!C115="Si"),1,IF('BCO COES Datos'!C115="Parcial",0.5,0))+IF(OR('BCO COES Datos'!C116="Sí",'BCO COES Datos'!C116="Si"),1,IF('BCO COES Datos'!C116="Parcial",0.5,0))+IF(OR('BCO COES Datos'!C117="Sí",'BCO COES Datos'!C117="Si"),1,IF('BCO COES Datos'!C117="Parcial",0.5,0))+IF(OR('BCO COES Datos'!C118="Sí",'BCO COES Datos'!C118="Si"),1,IF('BCO COES Datos'!C118="Parcial",0.5,0))+IF(OR('BCO COES Datos'!C119="Sí",'BCO COES Datos'!C119="Si"),1,IF('BCO COES Datos'!C119="Parcial",0.5,0))+IF(OR('BCO COES Datos'!C120="Sí",'BCO COES Datos'!C120="Si"),1,IF('BCO COES Datos'!C120="Parcial",0.5,0))+IF(OR('BCO COES Datos'!C121="Sí",'BCO COES Datos'!C121="Si"),1,IF('BCO COES Datos'!C121="Parcial",0.5,0))+IF(OR('BCO COES Datos'!C122="Sí",'BCO COES Datos'!C122="Si"),1,IF('BCO COES Datos'!C122="Parcial",0.5,0))</f>
        <v>9.5</v>
      </c>
      <c r="J14" s="115" t="str">
        <f t="shared" si="0"/>
        <v>Baja</v>
      </c>
      <c r="K14" s="118" t="str">
        <f t="shared" si="1"/>
        <v>Fuerte</v>
      </c>
      <c r="L14" s="113"/>
      <c r="M14" s="113"/>
      <c r="N14" s="113"/>
    </row>
    <row r="15" spans="2:14" ht="52.5" x14ac:dyDescent="0.35">
      <c r="B15" s="114" t="s">
        <v>122</v>
      </c>
      <c r="C15" s="115" t="str">
        <f>'BCO Soporte'!C13</f>
        <v>N1</v>
      </c>
      <c r="D15" s="116">
        <f>IFERROR('BCO Soporte'!E58,0)</f>
        <v>0.73529411764705888</v>
      </c>
      <c r="E15" s="116" t="str">
        <f>IFERROR('BCO Soporte'!C68,0)</f>
        <v>Pendiente revisar líderes técnicos</v>
      </c>
      <c r="F15" s="116" t="str">
        <f>IFERROR('BCO Soporte'!C70,0)</f>
        <v>No aplica SLA- ANS del Banco y de COES</v>
      </c>
      <c r="G15" s="117">
        <f>IFERROR('BCO Soporte'!C91,0)</f>
        <v>0</v>
      </c>
      <c r="H15" s="117">
        <f>IFERROR('BCO Soporte'!C74,0)</f>
        <v>13</v>
      </c>
      <c r="I15" s="117">
        <f>IF(OR('BCO Soporte'!C102="Sí",'BCO Soporte'!C102="Si"),1,IF('BCO Soporte'!C102="Parcial",0.5,0))+IF(OR('BCO Soporte'!C103="Sí",'BCO Soporte'!C103="Si"),1,IF('BCO Soporte'!C103="Parcial",0.5,0))+IF(OR('BCO Soporte'!C104="Sí",'BCO Soporte'!C104="Si"),1,IF('BCO Soporte'!C104="Parcial",0.5,0))+IF(OR('BCO Soporte'!C105="Sí",'BCO Soporte'!C105="Si"),1,IF('BCO Soporte'!C105="Parcial",0.5,0))+IF(OR('BCO Soporte'!C106="Sí",'BCO Soporte'!C106="Si"),1,IF('BCO Soporte'!C106="Parcial",0.5,0))+IF(OR('BCO Soporte'!C107="Sí",'BCO Soporte'!C107="Si"),1,IF('BCO Soporte'!C107="Parcial",0.5,0))+IF(OR('BCO Soporte'!C108="Sí",'BCO Soporte'!C108="Si"),1,IF('BCO Soporte'!C108="Parcial",0.5,0))+IF(OR('BCO Soporte'!C109="Sí",'BCO Soporte'!C109="Si"),1,IF('BCO Soporte'!C109="Parcial",0.5,0))+IF(OR('BCO Soporte'!C110="Sí",'BCO Soporte'!C110="Si"),1,IF('BCO Soporte'!C110="Parcial",0.5,0))+IF(OR('BCO Soporte'!C111="Sí",'BCO Soporte'!C111="Si"),1,IF('BCO Soporte'!C111="Parcial",0.5,0))+IF(OR('BCO Soporte'!C112="Sí",'BCO Soporte'!C112="Si"),1,IF('BCO Soporte'!C112="Parcial",0.5,0))+IF(OR('BCO Soporte'!C113="Sí",'BCO Soporte'!C113="Si"),1,IF('BCO Soporte'!C113="Parcial",0.5,0))+IF(OR('BCO Soporte'!C114="Sí",'BCO Soporte'!C114="Si"),1,IF('BCO Soporte'!C114="Parcial",0.5,0))+IF(OR('BCO Soporte'!C115="Sí",'BCO Soporte'!C115="Si"),1,IF('BCO Soporte'!C115="Parcial",0.5,0))+IF(OR('BCO Soporte'!C116="Sí",'BCO Soporte'!C116="Si"),1,IF('BCO Soporte'!C116="Parcial",0.5,0))+IF(OR('BCO Soporte'!C117="Sí",'BCO Soporte'!C117="Si"),1,IF('BCO Soporte'!C117="Parcial",0.5,0))+IF(OR('BCO Soporte'!C118="Sí",'BCO Soporte'!C118="Si"),1,IF('BCO Soporte'!C118="Parcial",0.5,0))+IF(OR('BCO Soporte'!C119="Sí",'BCO Soporte'!C119="Si"),1,IF('BCO Soporte'!C119="Parcial",0.5,0))+IF(OR('BCO Soporte'!C120="Sí",'BCO Soporte'!C120="Si"),1,IF('BCO Soporte'!C120="Parcial",0.5,0))+IF(OR('BCO Soporte'!C121="Sí",'BCO Soporte'!C121="Si"),1,IF('BCO Soporte'!C121="Parcial",0.5,0))+IF(OR('BCO Soporte'!C123="Sí",'BCO Soporte'!C123="Si"),1,IF('BCO Soporte'!C123="Parcial",0.5,0))</f>
        <v>9</v>
      </c>
      <c r="J15" s="115" t="str">
        <f t="shared" si="0"/>
        <v>Baja</v>
      </c>
      <c r="K15" s="118" t="str">
        <f t="shared" si="1"/>
        <v>Fuerte</v>
      </c>
      <c r="L15" s="113"/>
      <c r="M15" s="113"/>
      <c r="N15" s="113"/>
    </row>
    <row r="16" spans="2:14" ht="52.5" x14ac:dyDescent="0.35">
      <c r="B16" s="114" t="s">
        <v>123</v>
      </c>
      <c r="C16" s="115" t="str">
        <f>'BCO COES Emma'!C13</f>
        <v>N1</v>
      </c>
      <c r="D16" s="116">
        <f>IFERROR('BCO COES Emma'!E58,0)</f>
        <v>0.73529411764705888</v>
      </c>
      <c r="E16" s="116">
        <f>IFERROR('BCO COES Emma'!C68,0)</f>
        <v>0</v>
      </c>
      <c r="F16" s="116" t="str">
        <f>IFERROR('BCO COES Emma'!C70,0)</f>
        <v>No aplica SLA- ANS del Banco y de COES</v>
      </c>
      <c r="G16" s="117">
        <f>IFERROR('BCO COES Emma'!C91,0)</f>
        <v>0</v>
      </c>
      <c r="H16" s="117">
        <f>IFERROR('BCO COES Emma'!C74,0)</f>
        <v>4</v>
      </c>
      <c r="I16" s="117">
        <f>IF(OR('BCO COES Emma'!C101="Sí",'BCO COES Emma'!C101="Si"),1,IF('BCO COES Emma'!C101="Parcial",0.5,0))+IF(OR('BCO COES Emma'!C102="Sí",'BCO COES Emma'!C102="Si"),1,IF('BCO COES Emma'!C102="Parcial",0.5,0))+IF(OR('BCO COES Emma'!C103="Sí",'BCO COES Emma'!C103="Si"),1,IF('BCO COES Emma'!C103="Parcial",0.5,0))+IF(OR('BCO COES Emma'!C104="Sí",'BCO COES Emma'!C104="Si"),1,IF('BCO COES Emma'!C104="Parcial",0.5,0))+IF(OR('BCO COES Emma'!C105="Sí",'BCO COES Emma'!C105="Si"),1,IF('BCO COES Emma'!C105="Parcial",0.5,0))+IF(OR('BCO COES Emma'!C106="Sí",'BCO COES Emma'!C106="Si"),1,IF('BCO COES Emma'!C106="Parcial",0.5,0))+IF(OR('BCO COES Emma'!C107="Sí",'BCO COES Emma'!C107="Si"),1,IF('BCO COES Emma'!C107="Parcial",0.5,0))+IF(OR('BCO COES Emma'!C108="Sí",'BCO COES Emma'!C108="Si"),1,IF('BCO COES Emma'!C108="Parcial",0.5,0))+IF(OR('BCO COES Emma'!C109="Sí",'BCO COES Emma'!C109="Si"),1,IF('BCO COES Emma'!C109="Parcial",0.5,0))+IF(OR('BCO COES Emma'!C110="Sí",'BCO COES Emma'!C110="Si"),1,IF('BCO COES Emma'!C110="Parcial",0.5,0))+IF(OR('BCO COES Emma'!C111="Sí",'BCO COES Emma'!C111="Si"),1,IF('BCO COES Emma'!C111="Parcial",0.5,0))+IF(OR('BCO COES Emma'!C112="Sí",'BCO COES Emma'!C112="Si"),1,IF('BCO COES Emma'!C112="Parcial",0.5,0))+IF(OR('BCO COES Emma'!C113="Sí",'BCO COES Emma'!C113="Si"),1,IF('BCO COES Emma'!C113="Parcial",0.5,0))+IF(OR('BCO COES Emma'!C114="Sí",'BCO COES Emma'!C114="Si"),1,IF('BCO COES Emma'!C114="Parcial",0.5,0))+IF(OR('BCO COES Emma'!C115="Sí",'BCO COES Emma'!C115="Si"),1,IF('BCO COES Emma'!C115="Parcial",0.5,0))+IF(OR('BCO COES Emma'!C116="Sí",'BCO COES Emma'!C116="Si"),1,IF('BCO COES Emma'!C116="Parcial",0.5,0))+IF(OR('BCO COES Emma'!C117="Sí",'BCO COES Emma'!C117="Si"),1,IF('BCO COES Emma'!C117="Parcial",0.5,0))+IF(OR('BCO COES Emma'!C118="Sí",'BCO COES Emma'!C118="Si"),1,IF('BCO COES Emma'!C118="Parcial",0.5,0))+IF(OR('BCO COES Emma'!C119="Sí",'BCO COES Emma'!C119="Si"),1,IF('BCO COES Emma'!C119="Parcial",0.5,0))+IF(OR('BCO COES Emma'!C120="Sí",'BCO COES Emma'!C120="Si"),1,IF('BCO COES Emma'!C120="Parcial",0.5,0))+IF(OR('BCO COES Emma'!C121="Sí",'BCO COES Emma'!C121="Si"),1,IF('BCO COES Emma'!C121="Parcial",0.5,0))+IF(OR('BCO COES Emma'!C122="Sí",'BCO COES Emma'!C122="Si"),1,IF('BCO COES Emma'!C122="Parcial",0.5,0))</f>
        <v>9.5</v>
      </c>
      <c r="J16" s="115" t="str">
        <f t="shared" si="0"/>
        <v>Baja</v>
      </c>
      <c r="K16" s="118" t="str">
        <f t="shared" si="1"/>
        <v>Fuerte</v>
      </c>
      <c r="L16" s="113"/>
      <c r="M16" s="113"/>
      <c r="N16" s="113"/>
    </row>
    <row r="17" spans="2:14" ht="52.5" x14ac:dyDescent="0.35">
      <c r="B17" s="114" t="s">
        <v>124</v>
      </c>
      <c r="C17" s="115" t="str">
        <f>'BCO Emma Iseries'!C13</f>
        <v>N1</v>
      </c>
      <c r="D17" s="116">
        <f>IFERROR('BCO Emma Iseries'!E58,0)</f>
        <v>0.73529411764705888</v>
      </c>
      <c r="E17" s="116">
        <f>IFERROR('BCO Emma Iseries'!C68,0)</f>
        <v>0</v>
      </c>
      <c r="F17" s="116" t="str">
        <f>IFERROR('BCO Emma Iseries'!C70,0)</f>
        <v>No aplica SLA- ANS del Banco y de COES</v>
      </c>
      <c r="G17" s="117">
        <f>IFERROR('BCO Emma Iseries'!C91,0)</f>
        <v>0</v>
      </c>
      <c r="H17" s="117">
        <f>IFERROR('BCO Emma Iseries'!C74,0)</f>
        <v>1</v>
      </c>
      <c r="I17" s="117">
        <f>IF(OR('BCO Emma Iseries'!C101="Sí",'BCO Emma Iseries'!C101="Si"),1,IF('BCO Emma Iseries'!C101="Parcial",0.5,0))+IF(OR('BCO Emma Iseries'!C102="Sí",'BCO Emma Iseries'!C102="Si"),1,IF('BCO Emma Iseries'!C102="Parcial",0.5,0))+IF(OR('BCO Emma Iseries'!C103="Sí",'BCO Emma Iseries'!C103="Si"),1,IF('BCO Emma Iseries'!C103="Parcial",0.5,0))+IF(OR('BCO Emma Iseries'!C104="Sí",'BCO Emma Iseries'!C104="Si"),1,IF('BCO Emma Iseries'!C104="Parcial",0.5,0))+IF(OR('BCO Emma Iseries'!C105="Sí",'BCO Emma Iseries'!C105="Si"),1,IF('BCO Emma Iseries'!C105="Parcial",0.5,0))+IF(OR('BCO Emma Iseries'!C106="Sí",'BCO Emma Iseries'!C106="Si"),1,IF('BCO Emma Iseries'!C106="Parcial",0.5,0))+IF(OR('BCO Emma Iseries'!C107="Sí",'BCO Emma Iseries'!C107="Si"),1,IF('BCO Emma Iseries'!C107="Parcial",0.5,0))+IF(OR('BCO Emma Iseries'!C108="Sí",'BCO Emma Iseries'!C108="Si"),1,IF('BCO Emma Iseries'!C108="Parcial",0.5,0))+IF(OR('BCO Emma Iseries'!C109="Sí",'BCO Emma Iseries'!C109="Si"),1,IF('BCO Emma Iseries'!C109="Parcial",0.5,0))+IF(OR('BCO Emma Iseries'!C110="Sí",'BCO Emma Iseries'!C110="Si"),1,IF('BCO Emma Iseries'!C110="Parcial",0.5,0))+IF(OR('BCO Emma Iseries'!C111="Sí",'BCO Emma Iseries'!C111="Si"),1,IF('BCO Emma Iseries'!C111="Parcial",0.5,0))+IF(OR('BCO Emma Iseries'!C112="Sí",'BCO Emma Iseries'!C112="Si"),1,IF('BCO Emma Iseries'!C112="Parcial",0.5,0))+IF(OR('BCO Emma Iseries'!C113="Sí",'BCO Emma Iseries'!C113="Si"),1,IF('BCO Emma Iseries'!C113="Parcial",0.5,0))+IF(OR('BCO Emma Iseries'!C114="Sí",'BCO Emma Iseries'!C114="Si"),1,IF('BCO Emma Iseries'!C114="Parcial",0.5,0))+IF(OR('BCO Emma Iseries'!C115="Sí",'BCO Emma Iseries'!C115="Si"),1,IF('BCO Emma Iseries'!C115="Parcial",0.5,0))+IF(OR('BCO Emma Iseries'!C116="Sí",'BCO Emma Iseries'!C116="Si"),1,IF('BCO Emma Iseries'!C116="Parcial",0.5,0))+IF(OR('BCO Emma Iseries'!C117="Sí",'BCO Emma Iseries'!C117="Si"),1,IF('BCO Emma Iseries'!C117="Parcial",0.5,0))+IF(OR('BCO Emma Iseries'!C118="Sí",'BCO Emma Iseries'!C118="Si"),1,IF('BCO Emma Iseries'!C118="Parcial",0.5,0))+IF(OR('BCO Emma Iseries'!C119="Sí",'BCO Emma Iseries'!C119="Si"),1,IF('BCO Emma Iseries'!C119="Parcial",0.5,0))+IF(OR('BCO Emma Iseries'!C120="Sí",'BCO Emma Iseries'!C120="Si"),1,IF('BCO Emma Iseries'!C120="Parcial",0.5,0))+IF(OR('BCO Emma Iseries'!C121="Sí",'BCO Emma Iseries'!C121="Si"),1,IF('BCO Emma Iseries'!C121="Parcial",0.5,0))+IF(OR('BCO Emma Iseries'!C122="Sí",'BCO Emma Iseries'!C122="Si"),1,IF('BCO Emma Iseries'!C122="Parcial",0.5,0))</f>
        <v>2</v>
      </c>
      <c r="J17" s="115" t="str">
        <f t="shared" si="0"/>
        <v>Baja</v>
      </c>
      <c r="K17" s="118" t="str">
        <f t="shared" si="1"/>
        <v>Fuerte</v>
      </c>
      <c r="L17" s="113"/>
      <c r="M17" s="113"/>
      <c r="N17" s="113"/>
    </row>
    <row r="18" spans="2:14" x14ac:dyDescent="0.35">
      <c r="B18" s="114" t="s">
        <v>125</v>
      </c>
      <c r="C18" s="115" t="str">
        <f>AES!C13</f>
        <v>N1</v>
      </c>
      <c r="D18" s="116">
        <f>IFERROR(AES!E57,0)</f>
        <v>0.29411764705882398</v>
      </c>
      <c r="E18" s="116">
        <f>IFERROR(AES!C62,0)</f>
        <v>0</v>
      </c>
      <c r="F18" s="116">
        <f>IFERROR(AES!C64,0)</f>
        <v>0</v>
      </c>
      <c r="G18" s="117">
        <f>IFERROR(AES!C85,0)</f>
        <v>0</v>
      </c>
      <c r="H18" s="117">
        <f>IFERROR(AES!C11,0)</f>
        <v>4</v>
      </c>
      <c r="I18" s="117">
        <f>ChartData!AT12</f>
        <v>7</v>
      </c>
      <c r="J18" s="115" t="str">
        <f t="shared" si="0"/>
        <v>Alta</v>
      </c>
      <c r="K18" s="118" t="str">
        <f t="shared" si="1"/>
        <v>Crítica</v>
      </c>
      <c r="L18" s="113"/>
      <c r="M18" s="113"/>
      <c r="N18" s="113"/>
    </row>
    <row r="19" spans="2:14" ht="26.5" x14ac:dyDescent="0.35">
      <c r="B19" s="114" t="s">
        <v>126</v>
      </c>
      <c r="C19" s="115" t="str">
        <f>XM!C13</f>
        <v>N2</v>
      </c>
      <c r="D19" s="116">
        <f>IFERROR(XM!E57,0)</f>
        <v>0.5</v>
      </c>
      <c r="E19" s="116">
        <f>IFERROR(XM!C68,0)</f>
        <v>0</v>
      </c>
      <c r="F19" s="116">
        <f>IFERROR(XM!C70,0)</f>
        <v>0</v>
      </c>
      <c r="G19" s="117">
        <f>IFERROR(XM!C91,0)</f>
        <v>0</v>
      </c>
      <c r="H19" s="117">
        <f>IFERROR(XM!C11,0)</f>
        <v>4</v>
      </c>
      <c r="I19" s="117">
        <f>ChartData!AT13</f>
        <v>16</v>
      </c>
      <c r="J19" s="115" t="str">
        <f t="shared" si="0"/>
        <v>Media</v>
      </c>
      <c r="K19" s="118" t="str">
        <f t="shared" si="1"/>
        <v>En desarrollo</v>
      </c>
      <c r="L19" s="113"/>
      <c r="M19" s="113"/>
      <c r="N19" s="113"/>
    </row>
    <row r="20" spans="2:14" x14ac:dyDescent="0.35">
      <c r="B20" s="113" t="s">
        <v>127</v>
      </c>
      <c r="C20" s="113">
        <f>MEDICARTE!C13</f>
        <v>0</v>
      </c>
      <c r="D20" s="113">
        <f>IFERROR(MEDICARTE!E57,0)</f>
        <v>0</v>
      </c>
      <c r="E20" s="113">
        <f>IFERROR(MEDICARTE!C62,0)</f>
        <v>0</v>
      </c>
      <c r="F20" s="113">
        <f>IFERROR(MEDICARTE!C64,0)</f>
        <v>0</v>
      </c>
      <c r="G20" s="113">
        <f>IFERROR(MEDICARTE!C85,0)</f>
        <v>0</v>
      </c>
      <c r="H20" s="113">
        <f>IFERROR(MEDICARTE!C11,0)</f>
        <v>0</v>
      </c>
      <c r="I20" s="113">
        <f>ChartData!AT14</f>
        <v>1</v>
      </c>
      <c r="J20" s="113" t="str">
        <f t="shared" si="0"/>
        <v>Alta</v>
      </c>
      <c r="K20" s="113" t="str">
        <f t="shared" si="1"/>
        <v>Pendiente</v>
      </c>
      <c r="L20" s="113"/>
      <c r="M20" s="113"/>
      <c r="N20" s="113"/>
    </row>
    <row r="21" spans="2:14" x14ac:dyDescent="0.35">
      <c r="B21" s="113"/>
      <c r="C21" s="113"/>
      <c r="D21" s="113"/>
      <c r="E21" s="113"/>
      <c r="F21" s="113"/>
      <c r="G21" s="113"/>
      <c r="H21" s="113"/>
      <c r="I21" s="113"/>
      <c r="J21" s="113"/>
      <c r="K21" s="113"/>
      <c r="L21" s="113"/>
      <c r="M21" s="113"/>
      <c r="N21" s="113"/>
    </row>
    <row r="22" spans="2:14" ht="19.5" customHeight="1" x14ac:dyDescent="0.35">
      <c r="B22" s="303" t="s">
        <v>128</v>
      </c>
      <c r="C22" s="303"/>
      <c r="D22" s="303"/>
      <c r="E22" s="303"/>
      <c r="F22" s="303"/>
      <c r="G22" s="303"/>
      <c r="H22" s="303"/>
      <c r="I22" s="303"/>
      <c r="J22" s="303"/>
      <c r="K22" s="303"/>
      <c r="L22" s="303"/>
      <c r="M22" s="303"/>
      <c r="N22" s="303"/>
    </row>
    <row r="23" spans="2:14" x14ac:dyDescent="0.35">
      <c r="B23" s="114" t="s">
        <v>129</v>
      </c>
      <c r="C23" s="114"/>
      <c r="D23" s="114"/>
      <c r="E23" s="119">
        <f>AVERAGE(D9:D19)</f>
        <v>0.61497326203208569</v>
      </c>
      <c r="F23" s="113"/>
      <c r="G23" s="113"/>
      <c r="H23" s="113"/>
      <c r="I23" s="113"/>
      <c r="J23" s="113"/>
      <c r="K23" s="113"/>
      <c r="L23" s="113"/>
      <c r="M23" s="113"/>
      <c r="N23" s="113"/>
    </row>
    <row r="24" spans="2:14" x14ac:dyDescent="0.35">
      <c r="B24" s="114" t="s">
        <v>130</v>
      </c>
      <c r="C24" s="114"/>
      <c r="D24" s="114"/>
      <c r="E24" s="119">
        <f>MIN(D9:D19)</f>
        <v>0.29411764705882398</v>
      </c>
      <c r="F24" s="113"/>
      <c r="G24" s="113"/>
      <c r="H24" s="113"/>
      <c r="I24" s="113"/>
      <c r="J24" s="113"/>
      <c r="K24" s="113"/>
      <c r="L24" s="113"/>
      <c r="M24" s="113"/>
      <c r="N24" s="113"/>
    </row>
    <row r="25" spans="2:14" x14ac:dyDescent="0.35">
      <c r="B25" s="114" t="s">
        <v>131</v>
      </c>
      <c r="C25" s="114"/>
      <c r="D25" s="114"/>
      <c r="E25" s="119">
        <f>MAX(D9:D19)</f>
        <v>0.73529411764705888</v>
      </c>
      <c r="F25" s="113"/>
      <c r="G25" s="113"/>
      <c r="H25" s="113"/>
      <c r="I25" s="113"/>
      <c r="J25" s="113"/>
      <c r="K25" s="113"/>
      <c r="L25" s="113"/>
      <c r="M25" s="113"/>
      <c r="N25" s="113"/>
    </row>
    <row r="26" spans="2:14" x14ac:dyDescent="0.35">
      <c r="B26" s="114" t="s">
        <v>132</v>
      </c>
      <c r="C26" s="114"/>
      <c r="D26" s="114"/>
      <c r="E26" s="175">
        <f>SUM(H9:H19)</f>
        <v>57</v>
      </c>
      <c r="F26" s="113"/>
      <c r="G26" s="113"/>
      <c r="H26" s="113"/>
      <c r="I26" s="113"/>
      <c r="J26" s="113"/>
      <c r="K26" s="113"/>
      <c r="L26" s="113"/>
      <c r="M26" s="113"/>
      <c r="N26" s="113"/>
    </row>
    <row r="27" spans="2:14" x14ac:dyDescent="0.35">
      <c r="B27" s="114" t="s">
        <v>133</v>
      </c>
      <c r="C27" s="114"/>
      <c r="D27" s="114"/>
      <c r="E27" s="114">
        <f>COUNTA(B9:B19)</f>
        <v>11</v>
      </c>
      <c r="F27" s="113"/>
      <c r="G27" s="113"/>
      <c r="H27" s="113"/>
      <c r="I27" s="113"/>
      <c r="J27" s="113"/>
      <c r="K27" s="113"/>
      <c r="L27" s="113"/>
      <c r="M27" s="113"/>
      <c r="N27" s="113"/>
    </row>
    <row r="28" spans="2:14" x14ac:dyDescent="0.35">
      <c r="B28" s="114" t="s">
        <v>134</v>
      </c>
      <c r="C28" s="114"/>
      <c r="D28" s="114"/>
      <c r="E28" s="114">
        <f>COUNTIF(K9:K19,"Pendiente")</f>
        <v>0</v>
      </c>
      <c r="F28" s="113"/>
      <c r="G28" s="113"/>
      <c r="H28" s="113"/>
      <c r="I28" s="113"/>
      <c r="J28" s="113"/>
      <c r="K28" s="113"/>
      <c r="L28" s="113"/>
      <c r="M28" s="113"/>
      <c r="N28" s="113"/>
    </row>
    <row r="29" spans="2:14" x14ac:dyDescent="0.35">
      <c r="B29" s="113"/>
      <c r="C29" s="113"/>
      <c r="D29" s="113"/>
      <c r="E29" s="113"/>
      <c r="F29" s="113"/>
      <c r="G29" s="113"/>
      <c r="H29" s="113"/>
      <c r="I29" s="113"/>
      <c r="J29" s="113"/>
      <c r="K29" s="113"/>
      <c r="L29" s="113"/>
      <c r="M29" s="113"/>
      <c r="N29" s="113"/>
    </row>
    <row r="30" spans="2:14" x14ac:dyDescent="0.35">
      <c r="B30" s="113"/>
      <c r="C30" s="113"/>
      <c r="D30" s="113"/>
      <c r="E30" s="113"/>
      <c r="F30" s="113"/>
      <c r="G30" s="113"/>
      <c r="H30" s="113"/>
      <c r="I30" s="113"/>
      <c r="J30" s="113"/>
      <c r="K30" s="113"/>
      <c r="L30" s="113"/>
      <c r="M30" s="113"/>
      <c r="N30" s="113"/>
    </row>
    <row r="31" spans="2:14" ht="18" customHeight="1" x14ac:dyDescent="0.35">
      <c r="B31" s="132" t="s">
        <v>135</v>
      </c>
      <c r="C31" s="132"/>
      <c r="D31" s="132"/>
      <c r="E31" s="132"/>
      <c r="F31" s="132"/>
      <c r="G31" s="132"/>
      <c r="H31" s="132"/>
      <c r="I31" s="113"/>
      <c r="J31" s="113"/>
      <c r="K31" s="113"/>
      <c r="L31" s="113"/>
      <c r="M31" s="113"/>
      <c r="N31" s="113"/>
    </row>
    <row r="32" spans="2:14" ht="37.5" customHeight="1" x14ac:dyDescent="0.35">
      <c r="B32" s="112" t="s">
        <v>106</v>
      </c>
      <c r="C32" s="112" t="s">
        <v>136</v>
      </c>
      <c r="D32" s="112" t="s">
        <v>137</v>
      </c>
      <c r="E32" s="112" t="s">
        <v>108</v>
      </c>
      <c r="F32" s="112" t="s">
        <v>138</v>
      </c>
      <c r="G32" s="112" t="s">
        <v>139</v>
      </c>
      <c r="H32" s="112" t="s">
        <v>140</v>
      </c>
      <c r="I32" s="113"/>
      <c r="J32" s="113"/>
      <c r="K32" s="113"/>
      <c r="L32" s="113"/>
      <c r="M32" s="113"/>
      <c r="N32" s="113"/>
    </row>
    <row r="33" spans="1:15" ht="39.5" x14ac:dyDescent="0.35">
      <c r="A33" s="238"/>
      <c r="B33" s="114" t="str">
        <f t="shared" ref="B33:C43" si="2">B9</f>
        <v>SURA Cotizadores</v>
      </c>
      <c r="C33" s="114" t="str">
        <f t="shared" si="2"/>
        <v>N2</v>
      </c>
      <c r="D33" s="114" t="str" cm="1">
        <f t="array" ref="D33">_xlfn.SWITCH(C33,"N0","Reactivo / Sin estructura","N1","Inicial / Ad hoc","N2","Definido","N3","Gestionado","N4","Optimizado","N5","Innovador / Diferenciador","— Por definir")</f>
        <v>Definido</v>
      </c>
      <c r="E33" s="119">
        <f t="shared" ref="E33:E43" si="3">D9</f>
        <v>0.52941176470588236</v>
      </c>
      <c r="F33" s="114" t="str">
        <f t="shared" ref="F33:F43" si="4">IF(E33&gt;=70%,"Buenas prácticas ITIL consolidadas",IF(E33&gt;=40%,"Base operativa existente","Información o práctica incompleta"))</f>
        <v>Base operativa existente</v>
      </c>
      <c r="G33" s="114" t="str">
        <f t="shared" ref="G33:G43" si="5">IF(E33&lt;40%,"Bajo cumplimiento / datos pendientes",IF(E33&lt;70%,"Estandarización y medición","Escalamiento a automatización"))</f>
        <v>Estandarización y medición</v>
      </c>
      <c r="H33" s="114" t="str">
        <f t="shared" ref="H33:H43" si="6">IF(E33&lt;40%,"Completar levantamiento y priorizar quick wins",IF(E33&lt;70%,"Formalizar procesos, métricas y gobierno","Escalar autoservicio, analítica e IA"))</f>
        <v>Formalizar procesos, métricas y gobierno</v>
      </c>
      <c r="I33" s="113"/>
      <c r="J33" s="113"/>
      <c r="K33" s="113"/>
      <c r="L33" s="113"/>
      <c r="M33" s="113"/>
      <c r="N33" s="113"/>
      <c r="O33" s="238"/>
    </row>
    <row r="34" spans="1:15" ht="39.5" x14ac:dyDescent="0.35">
      <c r="A34" s="238"/>
      <c r="B34" s="114" t="str">
        <f t="shared" si="2"/>
        <v>SURA Digital Venta</v>
      </c>
      <c r="C34" s="114" t="str">
        <f t="shared" si="2"/>
        <v>N2</v>
      </c>
      <c r="D34" s="114" t="str" cm="1">
        <f t="array" ref="D34">_xlfn.SWITCH(C34,"N0","Reactivo / Sin estructura","N1","Inicial / Ad hoc","N2","Definido","N3","Gestionado","N4","Optimizado","N5","Innovador / Diferenciador","— Por definir")</f>
        <v>Definido</v>
      </c>
      <c r="E34" s="119">
        <f t="shared" si="3"/>
        <v>0.55882352941176472</v>
      </c>
      <c r="F34" s="114" t="str">
        <f t="shared" si="4"/>
        <v>Base operativa existente</v>
      </c>
      <c r="G34" s="114" t="str">
        <f t="shared" si="5"/>
        <v>Estandarización y medición</v>
      </c>
      <c r="H34" s="114" t="str">
        <f t="shared" si="6"/>
        <v>Formalizar procesos, métricas y gobierno</v>
      </c>
      <c r="I34" s="113"/>
      <c r="J34" s="113"/>
      <c r="K34" s="113"/>
      <c r="L34" s="113"/>
      <c r="M34" s="113"/>
      <c r="N34" s="113"/>
      <c r="O34" s="238"/>
    </row>
    <row r="35" spans="1:15" ht="39.5" x14ac:dyDescent="0.35">
      <c r="A35" s="238"/>
      <c r="B35" s="114" t="str">
        <f t="shared" si="2"/>
        <v>SURA Automatizacion</v>
      </c>
      <c r="C35" s="114" t="str">
        <f t="shared" si="2"/>
        <v>N2</v>
      </c>
      <c r="D35" s="114" t="str" cm="1">
        <f t="array" ref="D35">_xlfn.SWITCH(C35,"N0","Reactivo / Sin estructura","N1","Inicial / Ad hoc","N2","Definido","N3","Gestionado","N4","Optimizado","N5","Innovador / Diferenciador","— Por definir")</f>
        <v>Definido</v>
      </c>
      <c r="E35" s="119">
        <f t="shared" si="3"/>
        <v>0.61764705882352944</v>
      </c>
      <c r="F35" s="114" t="str">
        <f t="shared" si="4"/>
        <v>Base operativa existente</v>
      </c>
      <c r="G35" s="114" t="str">
        <f t="shared" si="5"/>
        <v>Estandarización y medición</v>
      </c>
      <c r="H35" s="114" t="str">
        <f t="shared" si="6"/>
        <v>Formalizar procesos, métricas y gobierno</v>
      </c>
      <c r="I35" s="113"/>
      <c r="J35" s="113"/>
      <c r="K35" s="113"/>
      <c r="L35" s="113"/>
      <c r="M35" s="113"/>
      <c r="N35" s="113"/>
      <c r="O35" s="238"/>
    </row>
    <row r="36" spans="1:15" ht="39.5" x14ac:dyDescent="0.35">
      <c r="A36" s="238"/>
      <c r="B36" s="114" t="str">
        <f t="shared" si="2"/>
        <v>SURA Canales Masivos</v>
      </c>
      <c r="C36" s="114" t="str">
        <f t="shared" si="2"/>
        <v>N2</v>
      </c>
      <c r="D36" s="114" t="str" cm="1">
        <f t="array" ref="D36">_xlfn.SWITCH(C36,"N0","Reactivo / Sin estructura","N1","Inicial / Ad hoc","N2","Definido","N3","Gestionado","N4","Optimizado","N5","Innovador / Diferenciador","— Por definir")</f>
        <v>Definido</v>
      </c>
      <c r="E36" s="119">
        <f t="shared" si="3"/>
        <v>0.58823529411764708</v>
      </c>
      <c r="F36" s="114" t="str">
        <f t="shared" si="4"/>
        <v>Base operativa existente</v>
      </c>
      <c r="G36" s="114" t="str">
        <f t="shared" si="5"/>
        <v>Estandarización y medición</v>
      </c>
      <c r="H36" s="114" t="str">
        <f t="shared" si="6"/>
        <v>Formalizar procesos, métricas y gobierno</v>
      </c>
      <c r="I36" s="113"/>
      <c r="J36" s="113"/>
      <c r="K36" s="113"/>
      <c r="L36" s="113"/>
      <c r="M36" s="113"/>
      <c r="N36" s="113"/>
      <c r="O36" s="238"/>
    </row>
    <row r="37" spans="1:15" ht="65.5" x14ac:dyDescent="0.35">
      <c r="A37" s="238"/>
      <c r="B37" s="114" t="str">
        <f t="shared" si="2"/>
        <v>BCO COES Integracion</v>
      </c>
      <c r="C37" s="114" t="str">
        <f t="shared" si="2"/>
        <v>N1</v>
      </c>
      <c r="D37" s="114" t="str" cm="1">
        <f t="array" ref="D37">_xlfn.SWITCH(C37,"N0","Reactivo / Sin estructura","N1","Inicial / Ad hoc","N2","Definido","N3","Gestionado","N4","Optimizado","N5","Innovador / Diferenciador","— Por definir")</f>
        <v>Inicial / Ad hoc</v>
      </c>
      <c r="E37" s="119">
        <f t="shared" si="3"/>
        <v>0.73529411764705888</v>
      </c>
      <c r="F37" s="114" t="str">
        <f t="shared" si="4"/>
        <v>Buenas prácticas ITIL consolidadas</v>
      </c>
      <c r="G37" s="114" t="str">
        <f t="shared" si="5"/>
        <v>Escalamiento a automatización</v>
      </c>
      <c r="H37" s="114" t="str">
        <f t="shared" si="6"/>
        <v>Escalar autoservicio, analítica e IA</v>
      </c>
      <c r="I37" s="113"/>
      <c r="J37" s="113"/>
      <c r="K37" s="113"/>
      <c r="L37" s="113"/>
      <c r="M37" s="113"/>
      <c r="N37" s="113"/>
      <c r="O37" s="238"/>
    </row>
    <row r="38" spans="1:15" ht="65.5" x14ac:dyDescent="0.35">
      <c r="A38" s="238"/>
      <c r="B38" s="114" t="str">
        <f t="shared" si="2"/>
        <v>BCO COES Datos</v>
      </c>
      <c r="C38" s="114" t="e">
        <f t="shared" si="2"/>
        <v>#REF!</v>
      </c>
      <c r="D38" s="114" t="e" cm="1">
        <f t="array" ref="D38">_xlfn.SWITCH(C38,"N0","Reactivo / Sin estructura","N1","Inicial / Ad hoc","N2","Definido","N3","Gestionado","N4","Optimizado","N5","Innovador / Diferenciador","— Por definir")</f>
        <v>#REF!</v>
      </c>
      <c r="E38" s="119">
        <f t="shared" si="3"/>
        <v>0.73529411764705888</v>
      </c>
      <c r="F38" s="114" t="str">
        <f t="shared" si="4"/>
        <v>Buenas prácticas ITIL consolidadas</v>
      </c>
      <c r="G38" s="114" t="str">
        <f t="shared" si="5"/>
        <v>Escalamiento a automatización</v>
      </c>
      <c r="H38" s="114" t="str">
        <f t="shared" si="6"/>
        <v>Escalar autoservicio, analítica e IA</v>
      </c>
      <c r="I38" s="113"/>
      <c r="J38" s="113"/>
      <c r="K38" s="113"/>
      <c r="L38" s="113"/>
      <c r="M38" s="113"/>
      <c r="N38" s="113"/>
      <c r="O38" s="238"/>
    </row>
    <row r="39" spans="1:15" ht="65.5" x14ac:dyDescent="0.35">
      <c r="A39" s="238"/>
      <c r="B39" s="114" t="str">
        <f t="shared" si="2"/>
        <v>BCO Soporte</v>
      </c>
      <c r="C39" s="114" t="str">
        <f t="shared" si="2"/>
        <v>N1</v>
      </c>
      <c r="D39" s="114" t="str" cm="1">
        <f t="array" ref="D39">_xlfn.SWITCH(C39,"N0","Reactivo / Sin estructura","N1","Inicial / Ad hoc","N2","Definido","N3","Gestionado","N4","Optimizado","N5","Innovador / Diferenciador","— Por definir")</f>
        <v>Inicial / Ad hoc</v>
      </c>
      <c r="E39" s="119">
        <f t="shared" si="3"/>
        <v>0.73529411764705888</v>
      </c>
      <c r="F39" s="114" t="str">
        <f t="shared" si="4"/>
        <v>Buenas prácticas ITIL consolidadas</v>
      </c>
      <c r="G39" s="114" t="str">
        <f t="shared" si="5"/>
        <v>Escalamiento a automatización</v>
      </c>
      <c r="H39" s="114" t="str">
        <f t="shared" si="6"/>
        <v>Escalar autoservicio, analítica e IA</v>
      </c>
      <c r="I39" s="113"/>
      <c r="J39" s="113"/>
      <c r="K39" s="113"/>
      <c r="L39" s="113"/>
      <c r="M39" s="113"/>
      <c r="N39" s="113"/>
      <c r="O39" s="238"/>
    </row>
    <row r="40" spans="1:15" ht="65.5" x14ac:dyDescent="0.35">
      <c r="A40" s="238"/>
      <c r="B40" s="114" t="str">
        <f t="shared" si="2"/>
        <v>BCO COES Emma</v>
      </c>
      <c r="C40" s="114" t="str">
        <f t="shared" si="2"/>
        <v>N1</v>
      </c>
      <c r="D40" s="114" t="str" cm="1">
        <f t="array" ref="D40">_xlfn.SWITCH(C40,"N0","Reactivo / Sin estructura","N1","Inicial / Ad hoc","N2","Definido","N3","Gestionado","N4","Optimizado","N5","Innovador / Diferenciador","— Por definir")</f>
        <v>Inicial / Ad hoc</v>
      </c>
      <c r="E40" s="119">
        <f t="shared" si="3"/>
        <v>0.73529411764705888</v>
      </c>
      <c r="F40" s="114" t="str">
        <f t="shared" si="4"/>
        <v>Buenas prácticas ITIL consolidadas</v>
      </c>
      <c r="G40" s="114" t="str">
        <f t="shared" si="5"/>
        <v>Escalamiento a automatización</v>
      </c>
      <c r="H40" s="114" t="str">
        <f t="shared" si="6"/>
        <v>Escalar autoservicio, analítica e IA</v>
      </c>
      <c r="I40" s="113"/>
      <c r="J40" s="113"/>
      <c r="K40" s="113"/>
      <c r="L40" s="113"/>
      <c r="M40" s="113"/>
      <c r="N40" s="113"/>
      <c r="O40" s="238"/>
    </row>
    <row r="41" spans="1:15" ht="65.5" x14ac:dyDescent="0.35">
      <c r="A41" s="238"/>
      <c r="B41" s="114" t="str">
        <f t="shared" si="2"/>
        <v>BCO Emma Iseries</v>
      </c>
      <c r="C41" s="114" t="str">
        <f t="shared" si="2"/>
        <v>N1</v>
      </c>
      <c r="D41" s="114" t="str" cm="1">
        <f t="array" ref="D41">_xlfn.SWITCH(C41,"N0","Reactivo / Sin estructura","N1","Inicial / Ad hoc","N2","Definido","N3","Gestionado","N4","Optimizado","N5","Innovador / Diferenciador","— Por definir")</f>
        <v>Inicial / Ad hoc</v>
      </c>
      <c r="E41" s="119">
        <f t="shared" si="3"/>
        <v>0.73529411764705888</v>
      </c>
      <c r="F41" s="114" t="str">
        <f t="shared" si="4"/>
        <v>Buenas prácticas ITIL consolidadas</v>
      </c>
      <c r="G41" s="114" t="str">
        <f t="shared" si="5"/>
        <v>Escalamiento a automatización</v>
      </c>
      <c r="H41" s="114" t="str">
        <f t="shared" si="6"/>
        <v>Escalar autoservicio, analítica e IA</v>
      </c>
      <c r="I41" s="113"/>
      <c r="J41" s="113"/>
      <c r="K41" s="113"/>
      <c r="L41" s="113"/>
      <c r="M41" s="113"/>
      <c r="N41" s="113"/>
      <c r="O41" s="238"/>
    </row>
    <row r="42" spans="1:15" ht="52.5" x14ac:dyDescent="0.35">
      <c r="A42" s="238"/>
      <c r="B42" s="114" t="str">
        <f t="shared" si="2"/>
        <v>AES</v>
      </c>
      <c r="C42" s="114" t="str">
        <f t="shared" si="2"/>
        <v>N1</v>
      </c>
      <c r="D42" s="114" t="str" cm="1">
        <f t="array" ref="D42">_xlfn.SWITCH(C42,"N0","Reactivo / Sin estructura","N1","Inicial / Ad hoc","N2","Definido","N3","Gestionado","N4","Optimizado","N5","Innovador / Diferenciador","— Por definir")</f>
        <v>Inicial / Ad hoc</v>
      </c>
      <c r="E42" s="119">
        <f t="shared" si="3"/>
        <v>0.29411764705882398</v>
      </c>
      <c r="F42" s="114" t="str">
        <f t="shared" si="4"/>
        <v>Información o práctica incompleta</v>
      </c>
      <c r="G42" s="114" t="str">
        <f t="shared" si="5"/>
        <v>Bajo cumplimiento / datos pendientes</v>
      </c>
      <c r="H42" s="114" t="str">
        <f t="shared" si="6"/>
        <v>Completar levantamiento y priorizar quick wins</v>
      </c>
      <c r="I42" s="113"/>
      <c r="J42" s="113"/>
      <c r="K42" s="113"/>
      <c r="L42" s="113"/>
      <c r="M42" s="113"/>
      <c r="N42" s="113"/>
      <c r="O42" s="238"/>
    </row>
    <row r="43" spans="1:15" ht="39.5" x14ac:dyDescent="0.35">
      <c r="A43" s="238"/>
      <c r="B43" s="114" t="str">
        <f t="shared" si="2"/>
        <v>XM</v>
      </c>
      <c r="C43" s="114" t="str">
        <f t="shared" si="2"/>
        <v>N2</v>
      </c>
      <c r="D43" s="114" t="str" cm="1">
        <f t="array" ref="D43">_xlfn.SWITCH(C43,"N0","Reactivo / Sin estructura","N1","Inicial / Ad hoc","N2","Definido","N3","Gestionado","N4","Optimizado","N5","Innovador / Diferenciador","— Por definir")</f>
        <v>Definido</v>
      </c>
      <c r="E43" s="119">
        <f t="shared" si="3"/>
        <v>0.5</v>
      </c>
      <c r="F43" s="114" t="str">
        <f t="shared" si="4"/>
        <v>Base operativa existente</v>
      </c>
      <c r="G43" s="114" t="str">
        <f t="shared" si="5"/>
        <v>Estandarización y medición</v>
      </c>
      <c r="H43" s="114" t="str">
        <f t="shared" si="6"/>
        <v>Formalizar procesos, métricas y gobierno</v>
      </c>
      <c r="I43" s="113"/>
      <c r="J43" s="113"/>
      <c r="K43" s="113"/>
      <c r="L43" s="113"/>
      <c r="M43" s="113"/>
      <c r="N43" s="113"/>
      <c r="O43" s="238"/>
    </row>
    <row r="44" spans="1:15" x14ac:dyDescent="0.35">
      <c r="A44" s="238"/>
      <c r="B44" s="113"/>
      <c r="C44" s="113"/>
      <c r="D44" s="113"/>
      <c r="E44" s="113"/>
      <c r="F44" s="113"/>
      <c r="G44" s="113"/>
      <c r="H44" s="113"/>
      <c r="I44" s="113"/>
      <c r="J44" s="113"/>
      <c r="K44" s="113"/>
      <c r="L44" s="113"/>
      <c r="M44" s="113"/>
      <c r="N44" s="113"/>
      <c r="O44" s="238"/>
    </row>
    <row r="45" spans="1:15" x14ac:dyDescent="0.35">
      <c r="A45" s="238"/>
      <c r="B45" s="302" t="s">
        <v>141</v>
      </c>
      <c r="C45" s="302"/>
      <c r="D45" s="302"/>
      <c r="E45" s="302"/>
      <c r="F45" s="302"/>
      <c r="G45" s="302"/>
      <c r="H45" s="302"/>
      <c r="I45" s="302"/>
      <c r="J45" s="302"/>
      <c r="K45" s="302"/>
      <c r="L45" s="302"/>
      <c r="M45" s="302"/>
      <c r="N45" s="302"/>
      <c r="O45" s="238"/>
    </row>
    <row r="46" spans="1:15" ht="27" customHeight="1" x14ac:dyDescent="0.35">
      <c r="A46" s="238"/>
      <c r="B46" s="130" t="s">
        <v>142</v>
      </c>
      <c r="C46" s="130" t="s">
        <v>143</v>
      </c>
      <c r="D46" s="130" t="s">
        <v>144</v>
      </c>
      <c r="E46" s="130" t="s">
        <v>145</v>
      </c>
      <c r="F46" s="130" t="s">
        <v>146</v>
      </c>
      <c r="G46" s="130" t="s">
        <v>147</v>
      </c>
      <c r="H46" s="130" t="s">
        <v>148</v>
      </c>
      <c r="I46" s="130" t="s">
        <v>149</v>
      </c>
      <c r="J46" s="130" t="s">
        <v>150</v>
      </c>
      <c r="K46" s="130" t="s">
        <v>151</v>
      </c>
      <c r="L46" s="130" t="s">
        <v>125</v>
      </c>
      <c r="M46" s="130" t="s">
        <v>126</v>
      </c>
      <c r="N46" s="130" t="s">
        <v>127</v>
      </c>
      <c r="O46" s="238" t="s">
        <v>152</v>
      </c>
    </row>
    <row r="47" spans="1:15" x14ac:dyDescent="0.35">
      <c r="A47" s="238"/>
      <c r="B47" s="131" t="s">
        <v>153</v>
      </c>
      <c r="C47" s="176" t="str">
        <f>IF(OR('SURA Cotizadores'!C99="Sí",'SURA Cotizadores'!C99="Si"),"✓",IF('SURA Cotizadores'!C99="Parcial","~",""))</f>
        <v>~</v>
      </c>
      <c r="D47" s="176" t="str">
        <f>IF(OR('SURA Digital Venta'!C100="Sí",'SURA Digital Venta'!C100="Si"),"✓",IF('SURA Digital Venta'!C100="Parcial","~",""))</f>
        <v>~</v>
      </c>
      <c r="E47" s="176" t="str">
        <f>IF(OR('SURA Automatizacion'!C100="Sí",'SURA Automatizacion'!C100="Si"),"✓",IF('SURA Automatizacion'!C100="Parcial","~",""))</f>
        <v>~</v>
      </c>
      <c r="F47" s="176" t="str">
        <f>IF(OR('SURA Canales Masivos'!C100="Sí",'SURA Canales Masivos'!C100="Si"),"✓",IF('SURA Canales Masivos'!C100="Parcial","~",""))</f>
        <v>~</v>
      </c>
      <c r="G47" s="176" t="str">
        <f>IF(OR('BCO COES Integracion'!C101="Sí",'BCO COES Integracion'!C101="Si"),"✓",IF('BCO COES Integracion'!C101="Parcial","~",""))</f>
        <v>~</v>
      </c>
      <c r="H47" s="176" t="str">
        <f>IF(OR('BCO COES Datos'!C101="Sí",'BCO COES Datos'!C101="Si"),"✓",IF('BCO COES Datos'!C101="Parcial","~",""))</f>
        <v>~</v>
      </c>
      <c r="I47" s="176" t="str">
        <f>IF(OR('BCO Soporte'!C102="Sí",'BCO Soporte'!C102="Si"),"✓",IF('BCO Soporte'!C102="Parcial","~",""))</f>
        <v/>
      </c>
      <c r="J47" s="176" t="str">
        <f>IF(OR('BCO COES Emma'!C101="Sí",'BCO COES Emma'!C101="Si"),"✓",IF('BCO COES Emma'!C101="Parcial","~",""))</f>
        <v>~</v>
      </c>
      <c r="K47" s="176" t="str">
        <f>IF(OR('BCO Emma Iseries'!C101="Sí",'BCO Emma Iseries'!C101="Si"),"✓",IF('BCO Emma Iseries'!C101="Parcial","~",""))</f>
        <v/>
      </c>
      <c r="L47" s="176" t="str">
        <f>IF(OR(AES!C98="Sí",AES!C98="Si"),"✓",IF(AES!C98="Parcial","~",""))</f>
        <v/>
      </c>
      <c r="M47" s="176" t="str">
        <f>IF(OR(XM!C100="Sí",XM!C100="Si"),"✓",IF(XM!C100="Parcial","~",""))</f>
        <v>~</v>
      </c>
      <c r="N47" s="177" t="str">
        <f>IF(OR(MEDICARTE!C101="Sí",MEDICARTE!C101="Si"),"✓",IF(MEDICARTE!C101="Parcial","~",""))</f>
        <v/>
      </c>
      <c r="O47" s="238">
        <f t="shared" ref="O47:O69" si="7">COUNTIF(C47:N47,"✓")+0.5*COUNTIF(C47:N47,"~")</f>
        <v>4</v>
      </c>
    </row>
    <row r="48" spans="1:15" x14ac:dyDescent="0.35">
      <c r="A48" s="238"/>
      <c r="B48" s="131" t="s">
        <v>154</v>
      </c>
      <c r="C48" s="176" t="str">
        <f>IF(OR('SURA Cotizadores'!C100="Sí",'SURA Cotizadores'!C100="Si"),"✓",IF('SURA Cotizadores'!C100="Parcial","~",""))</f>
        <v>✓</v>
      </c>
      <c r="D48" s="176" t="str">
        <f>IF(OR('SURA Digital Venta'!C101="Sí",'SURA Digital Venta'!C101="Si"),"✓",IF('SURA Digital Venta'!C101="Parcial","~",""))</f>
        <v>✓</v>
      </c>
      <c r="E48" s="176" t="str">
        <f>IF(OR('SURA Automatizacion'!C101="Sí",'SURA Automatizacion'!C101="Si"),"✓",IF('SURA Automatizacion'!C101="Parcial","~",""))</f>
        <v/>
      </c>
      <c r="F48" s="176" t="str">
        <f>IF(OR('SURA Canales Masivos'!C101="Sí",'SURA Canales Masivos'!C101="Si"),"✓",IF('SURA Canales Masivos'!C101="Parcial","~",""))</f>
        <v>✓</v>
      </c>
      <c r="G48" s="176" t="str">
        <f>IF(OR('BCO COES Integracion'!C102="Sí",'BCO COES Integracion'!C102="Si"),"✓",IF('BCO COES Integracion'!C102="Parcial","~",""))</f>
        <v/>
      </c>
      <c r="H48" s="176" t="str">
        <f>IF(OR('BCO COES Datos'!C102="Sí",'BCO COES Datos'!C102="Si"),"✓",IF('BCO COES Datos'!C102="Parcial","~",""))</f>
        <v/>
      </c>
      <c r="I48" s="176" t="str">
        <f>IF(OR('BCO Soporte'!C103="Sí",'BCO Soporte'!C103="Si"),"✓",IF('BCO Soporte'!C103="Parcial","~",""))</f>
        <v>~</v>
      </c>
      <c r="J48" s="176" t="str">
        <f>IF(OR('BCO COES Emma'!C102="Sí",'BCO COES Emma'!C102="Si"),"✓",IF('BCO COES Emma'!C102="Parcial","~",""))</f>
        <v/>
      </c>
      <c r="K48" s="176" t="str">
        <f>IF(OR('BCO Emma Iseries'!C102="Sí",'BCO Emma Iseries'!C102="Si"),"✓",IF('BCO Emma Iseries'!C102="Parcial","~",""))</f>
        <v/>
      </c>
      <c r="L48" s="176" t="str">
        <f>IF(OR(AES!C99="Sí",AES!C99="Si"),"✓",IF(AES!C99="Parcial","~",""))</f>
        <v/>
      </c>
      <c r="M48" s="176" t="str">
        <f>IF(OR(XM!C101="Sí",XM!C101="Si"),"✓",IF(XM!C101="Parcial","~",""))</f>
        <v/>
      </c>
      <c r="N48" s="177" t="str">
        <f>IF(OR(MEDICARTE!C102="Sí",MEDICARTE!C102="Si"),"✓",IF(MEDICARTE!C102="Parcial","~",""))</f>
        <v/>
      </c>
      <c r="O48" s="238">
        <f t="shared" si="7"/>
        <v>3.5</v>
      </c>
    </row>
    <row r="49" spans="1:15" x14ac:dyDescent="0.35">
      <c r="A49" s="238"/>
      <c r="B49" s="131" t="s">
        <v>155</v>
      </c>
      <c r="C49" s="176" t="str">
        <f>IF(OR('SURA Cotizadores'!C101="Sí",'SURA Cotizadores'!C101="Si"),"✓",IF('SURA Cotizadores'!C101="Parcial","~",""))</f>
        <v>✓</v>
      </c>
      <c r="D49" s="176" t="str">
        <f>IF(OR('SURA Digital Venta'!C102="Sí",'SURA Digital Venta'!C102="Si"),"✓",IF('SURA Digital Venta'!C102="Parcial","~",""))</f>
        <v>✓</v>
      </c>
      <c r="E49" s="176" t="str">
        <f>IF(OR('SURA Automatizacion'!C102="Sí",'SURA Automatizacion'!C102="Si"),"✓",IF('SURA Automatizacion'!C102="Parcial","~",""))</f>
        <v>✓</v>
      </c>
      <c r="F49" s="176" t="str">
        <f>IF(OR('SURA Canales Masivos'!C102="Sí",'SURA Canales Masivos'!C102="Si"),"✓",IF('SURA Canales Masivos'!C102="Parcial","~",""))</f>
        <v>✓</v>
      </c>
      <c r="G49" s="176" t="str">
        <f>IF(OR('BCO COES Integracion'!C103="Sí",'BCO COES Integracion'!C103="Si"),"✓",IF('BCO COES Integracion'!C103="Parcial","~",""))</f>
        <v>~</v>
      </c>
      <c r="H49" s="176" t="str">
        <f>IF(OR('BCO COES Datos'!C103="Sí",'BCO COES Datos'!C103="Si"),"✓",IF('BCO COES Datos'!C103="Parcial","~",""))</f>
        <v>~</v>
      </c>
      <c r="I49" s="176" t="str">
        <f>IF(OR('BCO Soporte'!C104="Sí",'BCO Soporte'!C104="Si"),"✓",IF('BCO Soporte'!C104="Parcial","~",""))</f>
        <v/>
      </c>
      <c r="J49" s="176" t="str">
        <f>IF(OR('BCO COES Emma'!C103="Sí",'BCO COES Emma'!C103="Si"),"✓",IF('BCO COES Emma'!C103="Parcial","~",""))</f>
        <v>~</v>
      </c>
      <c r="K49" s="176" t="str">
        <f>IF(OR('BCO Emma Iseries'!C103="Sí",'BCO Emma Iseries'!C103="Si"),"✓",IF('BCO Emma Iseries'!C103="Parcial","~",""))</f>
        <v/>
      </c>
      <c r="L49" s="176" t="str">
        <f>IF(OR(AES!C100="Sí",AES!C100="Si"),"✓",IF(AES!C100="Parcial","~",""))</f>
        <v/>
      </c>
      <c r="M49" s="176" t="str">
        <f>IF(OR(XM!C102="Sí",XM!C102="Si"),"✓",IF(XM!C102="Parcial","~",""))</f>
        <v>✓</v>
      </c>
      <c r="N49" s="177" t="str">
        <f>IF(OR(MEDICARTE!C103="Sí",MEDICARTE!C103="Si"),"✓",IF(MEDICARTE!C103="Parcial","~",""))</f>
        <v/>
      </c>
      <c r="O49" s="238">
        <f t="shared" si="7"/>
        <v>6.5</v>
      </c>
    </row>
    <row r="50" spans="1:15" x14ac:dyDescent="0.35">
      <c r="A50" s="238"/>
      <c r="B50" s="131" t="s">
        <v>156</v>
      </c>
      <c r="C50" s="176" t="str">
        <f>IF(OR('SURA Cotizadores'!C102="Sí",'SURA Cotizadores'!C102="Si"),"✓",IF('SURA Cotizadores'!C102="Parcial","~",""))</f>
        <v>~</v>
      </c>
      <c r="D50" s="176" t="str">
        <f>IF(OR('SURA Digital Venta'!C103="Sí",'SURA Digital Venta'!C103="Si"),"✓",IF('SURA Digital Venta'!C103="Parcial","~",""))</f>
        <v>~</v>
      </c>
      <c r="E50" s="176" t="str">
        <f>IF(OR('SURA Automatizacion'!C103="Sí",'SURA Automatizacion'!C103="Si"),"✓",IF('SURA Automatizacion'!C103="Parcial","~",""))</f>
        <v>~</v>
      </c>
      <c r="F50" s="176" t="str">
        <f>IF(OR('SURA Canales Masivos'!C103="Sí",'SURA Canales Masivos'!C103="Si"),"✓",IF('SURA Canales Masivos'!C103="Parcial","~",""))</f>
        <v>~</v>
      </c>
      <c r="G50" s="176" t="str">
        <f>IF(OR('BCO COES Integracion'!C104="Sí",'BCO COES Integracion'!C104="Si"),"✓",IF('BCO COES Integracion'!C104="Parcial","~",""))</f>
        <v/>
      </c>
      <c r="H50" s="176" t="str">
        <f>IF(OR('BCO COES Datos'!C104="Sí",'BCO COES Datos'!C104="Si"),"✓",IF('BCO COES Datos'!C104="Parcial","~",""))</f>
        <v/>
      </c>
      <c r="I50" s="176" t="str">
        <f>IF(OR('BCO Soporte'!C105="Sí",'BCO Soporte'!C105="Si"),"✓",IF('BCO Soporte'!C105="Parcial","~",""))</f>
        <v/>
      </c>
      <c r="J50" s="176" t="str">
        <f>IF(OR('BCO COES Emma'!C104="Sí",'BCO COES Emma'!C104="Si"),"✓",IF('BCO COES Emma'!C104="Parcial","~",""))</f>
        <v/>
      </c>
      <c r="K50" s="176" t="str">
        <f>IF(OR('BCO Emma Iseries'!C104="Sí",'BCO Emma Iseries'!C104="Si"),"✓",IF('BCO Emma Iseries'!C104="Parcial","~",""))</f>
        <v/>
      </c>
      <c r="L50" s="176" t="str">
        <f>IF(OR(AES!C101="Sí",AES!C101="Si"),"✓",IF(AES!C101="Parcial","~",""))</f>
        <v>~</v>
      </c>
      <c r="M50" s="176" t="str">
        <f>IF(OR(XM!C103="Sí",XM!C103="Si"),"✓",IF(XM!C103="Parcial","~",""))</f>
        <v>~</v>
      </c>
      <c r="N50" s="177" t="str">
        <f>IF(OR(MEDICARTE!C104="Sí",MEDICARTE!C104="Si"),"✓",IF(MEDICARTE!C104="Parcial","~",""))</f>
        <v/>
      </c>
      <c r="O50" s="238">
        <f t="shared" si="7"/>
        <v>3</v>
      </c>
    </row>
    <row r="51" spans="1:15" x14ac:dyDescent="0.35">
      <c r="A51" s="238"/>
      <c r="B51" s="131" t="s">
        <v>157</v>
      </c>
      <c r="C51" s="176" t="str">
        <f>IF(OR('SURA Cotizadores'!C103="Sí",'SURA Cotizadores'!C103="Si"),"✓",IF('SURA Cotizadores'!C103="Parcial","~",""))</f>
        <v/>
      </c>
      <c r="D51" s="176" t="str">
        <f>IF(OR('SURA Digital Venta'!C104="Sí",'SURA Digital Venta'!C104="Si"),"✓",IF('SURA Digital Venta'!C104="Parcial","~",""))</f>
        <v/>
      </c>
      <c r="E51" s="176" t="str">
        <f>IF(OR('SURA Automatizacion'!C104="Sí",'SURA Automatizacion'!C104="Si"),"✓",IF('SURA Automatizacion'!C104="Parcial","~",""))</f>
        <v/>
      </c>
      <c r="F51" s="176" t="str">
        <f>IF(OR('SURA Canales Masivos'!C104="Sí",'SURA Canales Masivos'!C104="Si"),"✓",IF('SURA Canales Masivos'!C104="Parcial","~",""))</f>
        <v/>
      </c>
      <c r="G51" s="176" t="str">
        <f>IF(OR('BCO COES Integracion'!C105="Sí",'BCO COES Integracion'!C105="Si"),"✓",IF('BCO COES Integracion'!C105="Parcial","~",""))</f>
        <v/>
      </c>
      <c r="H51" s="176" t="str">
        <f>IF(OR('BCO COES Datos'!C105="Sí",'BCO COES Datos'!C105="Si"),"✓",IF('BCO COES Datos'!C105="Parcial","~",""))</f>
        <v/>
      </c>
      <c r="I51" s="176" t="str">
        <f>IF(OR('BCO Soporte'!C106="Sí",'BCO Soporte'!C106="Si"),"✓",IF('BCO Soporte'!C106="Parcial","~",""))</f>
        <v/>
      </c>
      <c r="J51" s="176" t="str">
        <f>IF(OR('BCO COES Emma'!C105="Sí",'BCO COES Emma'!C105="Si"),"✓",IF('BCO COES Emma'!C105="Parcial","~",""))</f>
        <v/>
      </c>
      <c r="K51" s="176" t="str">
        <f>IF(OR('BCO Emma Iseries'!C105="Sí",'BCO Emma Iseries'!C105="Si"),"✓",IF('BCO Emma Iseries'!C105="Parcial","~",""))</f>
        <v/>
      </c>
      <c r="L51" s="176" t="str">
        <f>IF(OR(AES!C102="Sí",AES!C102="Si"),"✓",IF(AES!C102="Parcial","~",""))</f>
        <v/>
      </c>
      <c r="M51" s="176" t="str">
        <f>IF(OR(XM!C104="Sí",XM!C104="Si"),"✓",IF(XM!C104="Parcial","~",""))</f>
        <v/>
      </c>
      <c r="N51" s="177" t="str">
        <f>IF(OR(MEDICARTE!C105="Sí",MEDICARTE!C105="Si"),"✓",IF(MEDICARTE!C105="Parcial","~",""))</f>
        <v/>
      </c>
      <c r="O51" s="238">
        <f t="shared" si="7"/>
        <v>0</v>
      </c>
    </row>
    <row r="52" spans="1:15" x14ac:dyDescent="0.35">
      <c r="A52" s="238"/>
      <c r="B52" s="131" t="s">
        <v>158</v>
      </c>
      <c r="C52" s="176" t="str">
        <f>IF(OR('SURA Cotizadores'!C104="Sí",'SURA Cotizadores'!C104="Si"),"✓",IF('SURA Cotizadores'!C104="Parcial","~",""))</f>
        <v>~</v>
      </c>
      <c r="D52" s="176" t="str">
        <f>IF(OR('SURA Digital Venta'!C105="Sí",'SURA Digital Venta'!C105="Si"),"✓",IF('SURA Digital Venta'!C105="Parcial","~",""))</f>
        <v>~</v>
      </c>
      <c r="E52" s="176" t="str">
        <f>IF(OR('SURA Automatizacion'!C105="Sí",'SURA Automatizacion'!C105="Si"),"✓",IF('SURA Automatizacion'!C105="Parcial","~",""))</f>
        <v>~</v>
      </c>
      <c r="F52" s="176" t="str">
        <f>IF(OR('SURA Canales Masivos'!C105="Sí",'SURA Canales Masivos'!C105="Si"),"✓",IF('SURA Canales Masivos'!C105="Parcial","~",""))</f>
        <v>~</v>
      </c>
      <c r="G52" s="176" t="str">
        <f>IF(OR('BCO COES Integracion'!C106="Sí",'BCO COES Integracion'!C106="Si"),"✓",IF('BCO COES Integracion'!C106="Parcial","~",""))</f>
        <v/>
      </c>
      <c r="H52" s="176" t="str">
        <f>IF(OR('BCO COES Datos'!C106="Sí",'BCO COES Datos'!C106="Si"),"✓",IF('BCO COES Datos'!C106="Parcial","~",""))</f>
        <v/>
      </c>
      <c r="I52" s="176" t="str">
        <f>IF(OR('BCO Soporte'!C107="Sí",'BCO Soporte'!C107="Si"),"✓",IF('BCO Soporte'!C107="Parcial","~",""))</f>
        <v/>
      </c>
      <c r="J52" s="176" t="str">
        <f>IF(OR('BCO COES Emma'!C106="Sí",'BCO COES Emma'!C106="Si"),"✓",IF('BCO COES Emma'!C106="Parcial","~",""))</f>
        <v/>
      </c>
      <c r="K52" s="176" t="str">
        <f>IF(OR('BCO Emma Iseries'!C106="Sí",'BCO Emma Iseries'!C106="Si"),"✓",IF('BCO Emma Iseries'!C106="Parcial","~",""))</f>
        <v/>
      </c>
      <c r="L52" s="176" t="str">
        <f>IF(OR(AES!C103="Sí",AES!C103="Si"),"✓",IF(AES!C103="Parcial","~",""))</f>
        <v>~</v>
      </c>
      <c r="M52" s="176" t="str">
        <f>IF(OR(XM!C105="Sí",XM!C105="Si"),"✓",IF(XM!C105="Parcial","~",""))</f>
        <v>~</v>
      </c>
      <c r="N52" s="177" t="str">
        <f>IF(OR(MEDICARTE!C106="Sí",MEDICARTE!C106="Si"),"✓",IF(MEDICARTE!C106="Parcial","~",""))</f>
        <v/>
      </c>
      <c r="O52" s="238">
        <f t="shared" si="7"/>
        <v>3</v>
      </c>
    </row>
    <row r="53" spans="1:15" x14ac:dyDescent="0.35">
      <c r="A53" s="238"/>
      <c r="B53" s="131" t="s">
        <v>159</v>
      </c>
      <c r="C53" s="176" t="str">
        <f>IF(OR('SURA Cotizadores'!C105="Sí",'SURA Cotizadores'!C105="Si"),"✓",IF('SURA Cotizadores'!C105="Parcial","~",""))</f>
        <v>~</v>
      </c>
      <c r="D53" s="176" t="str">
        <f>IF(OR('SURA Digital Venta'!C106="Sí",'SURA Digital Venta'!C106="Si"),"✓",IF('SURA Digital Venta'!C106="Parcial","~",""))</f>
        <v>✓</v>
      </c>
      <c r="E53" s="176" t="str">
        <f>IF(OR('SURA Automatizacion'!C106="Sí",'SURA Automatizacion'!C106="Si"),"✓",IF('SURA Automatizacion'!C106="Parcial","~",""))</f>
        <v>✓</v>
      </c>
      <c r="F53" s="176" t="str">
        <f>IF(OR('SURA Canales Masivos'!C106="Sí",'SURA Canales Masivos'!C106="Si"),"✓",IF('SURA Canales Masivos'!C106="Parcial","~",""))</f>
        <v>~</v>
      </c>
      <c r="G53" s="176" t="str">
        <f>IF(OR('BCO COES Integracion'!C107="Sí",'BCO COES Integracion'!C107="Si"),"✓",IF('BCO COES Integracion'!C107="Parcial","~",""))</f>
        <v/>
      </c>
      <c r="H53" s="176" t="str">
        <f>IF(OR('BCO COES Datos'!C107="Sí",'BCO COES Datos'!C107="Si"),"✓",IF('BCO COES Datos'!C107="Parcial","~",""))</f>
        <v/>
      </c>
      <c r="I53" s="176" t="str">
        <f>IF(OR('BCO Soporte'!C108="Sí",'BCO Soporte'!C108="Si"),"✓",IF('BCO Soporte'!C108="Parcial","~",""))</f>
        <v>~</v>
      </c>
      <c r="J53" s="176" t="str">
        <f>IF(OR('BCO COES Emma'!C107="Sí",'BCO COES Emma'!C107="Si"),"✓",IF('BCO COES Emma'!C107="Parcial","~",""))</f>
        <v/>
      </c>
      <c r="K53" s="176" t="str">
        <f>IF(OR('BCO Emma Iseries'!C107="Sí",'BCO Emma Iseries'!C107="Si"),"✓",IF('BCO Emma Iseries'!C107="Parcial","~",""))</f>
        <v/>
      </c>
      <c r="L53" s="176" t="str">
        <f>IF(OR(AES!C104="Sí",AES!C104="Si"),"✓",IF(AES!C104="Parcial","~",""))</f>
        <v/>
      </c>
      <c r="M53" s="176" t="str">
        <f>IF(OR(XM!C106="Sí",XM!C106="Si"),"✓",IF(XM!C106="Parcial","~",""))</f>
        <v>✓</v>
      </c>
      <c r="N53" s="177" t="str">
        <f>IF(OR(MEDICARTE!C107="Sí",MEDICARTE!C107="Si"),"✓",IF(MEDICARTE!C107="Parcial","~",""))</f>
        <v/>
      </c>
      <c r="O53" s="238">
        <f t="shared" si="7"/>
        <v>4.5</v>
      </c>
    </row>
    <row r="54" spans="1:15" x14ac:dyDescent="0.35">
      <c r="A54" s="238"/>
      <c r="B54" s="131" t="s">
        <v>160</v>
      </c>
      <c r="C54" s="176" t="str">
        <f>IF(OR('SURA Cotizadores'!C106="Sí",'SURA Cotizadores'!C106="Si"),"✓",IF('SURA Cotizadores'!C106="Parcial","~",""))</f>
        <v>~</v>
      </c>
      <c r="D54" s="176" t="str">
        <f>IF(OR('SURA Digital Venta'!C107="Sí",'SURA Digital Venta'!C107="Si"),"✓",IF('SURA Digital Venta'!C107="Parcial","~",""))</f>
        <v>~</v>
      </c>
      <c r="E54" s="176" t="str">
        <f>IF(OR('SURA Automatizacion'!C107="Sí",'SURA Automatizacion'!C107="Si"),"✓",IF('SURA Automatizacion'!C107="Parcial","~",""))</f>
        <v>~</v>
      </c>
      <c r="F54" s="176" t="str">
        <f>IF(OR('SURA Canales Masivos'!C107="Sí",'SURA Canales Masivos'!C107="Si"),"✓",IF('SURA Canales Masivos'!C107="Parcial","~",""))</f>
        <v>~</v>
      </c>
      <c r="G54" s="176" t="str">
        <f>IF(OR('BCO COES Integracion'!C108="Sí",'BCO COES Integracion'!C108="Si"),"✓",IF('BCO COES Integracion'!C108="Parcial","~",""))</f>
        <v>~</v>
      </c>
      <c r="H54" s="176" t="str">
        <f>IF(OR('BCO COES Datos'!C108="Sí",'BCO COES Datos'!C108="Si"),"✓",IF('BCO COES Datos'!C108="Parcial","~",""))</f>
        <v>~</v>
      </c>
      <c r="I54" s="176" t="str">
        <f>IF(OR('BCO Soporte'!C109="Sí",'BCO Soporte'!C109="Si"),"✓",IF('BCO Soporte'!C109="Parcial","~",""))</f>
        <v>~</v>
      </c>
      <c r="J54" s="176" t="str">
        <f>IF(OR('BCO COES Emma'!C108="Sí",'BCO COES Emma'!C108="Si"),"✓",IF('BCO COES Emma'!C108="Parcial","~",""))</f>
        <v>~</v>
      </c>
      <c r="K54" s="176" t="str">
        <f>IF(OR('BCO Emma Iseries'!C108="Sí",'BCO Emma Iseries'!C108="Si"),"✓",IF('BCO Emma Iseries'!C108="Parcial","~",""))</f>
        <v/>
      </c>
      <c r="L54" s="176" t="str">
        <f>IF(OR(AES!C105="Sí",AES!C105="Si"),"✓",IF(AES!C105="Parcial","~",""))</f>
        <v/>
      </c>
      <c r="M54" s="176" t="str">
        <f>IF(OR(XM!C107="Sí",XM!C107="Si"),"✓",IF(XM!C107="Parcial","~",""))</f>
        <v>✓</v>
      </c>
      <c r="N54" s="177" t="str">
        <f>IF(OR(MEDICARTE!C108="Sí",MEDICARTE!C108="Si"),"✓",IF(MEDICARTE!C108="Parcial","~",""))</f>
        <v/>
      </c>
      <c r="O54" s="238">
        <f t="shared" si="7"/>
        <v>5</v>
      </c>
    </row>
    <row r="55" spans="1:15" x14ac:dyDescent="0.35">
      <c r="A55" s="238"/>
      <c r="B55" s="131" t="s">
        <v>161</v>
      </c>
      <c r="C55" s="176" t="str">
        <f>IF(OR('SURA Cotizadores'!C107="Sí",'SURA Cotizadores'!C107="Si"),"✓",IF('SURA Cotizadores'!C107="Parcial","~",""))</f>
        <v>✓</v>
      </c>
      <c r="D55" s="176" t="str">
        <f>IF(OR('SURA Digital Venta'!C108="Sí",'SURA Digital Venta'!C108="Si"),"✓",IF('SURA Digital Venta'!C108="Parcial","~",""))</f>
        <v>✓</v>
      </c>
      <c r="E55" s="176" t="str">
        <f>IF(OR('SURA Automatizacion'!C108="Sí",'SURA Automatizacion'!C108="Si"),"✓",IF('SURA Automatizacion'!C108="Parcial","~",""))</f>
        <v>✓</v>
      </c>
      <c r="F55" s="176" t="str">
        <f>IF(OR('SURA Canales Masivos'!C108="Sí",'SURA Canales Masivos'!C108="Si"),"✓",IF('SURA Canales Masivos'!C108="Parcial","~",""))</f>
        <v>✓</v>
      </c>
      <c r="G55" s="176" t="str">
        <f>IF(OR('BCO COES Integracion'!C109="Sí",'BCO COES Integracion'!C109="Si"),"✓",IF('BCO COES Integracion'!C109="Parcial","~",""))</f>
        <v>~</v>
      </c>
      <c r="H55" s="176" t="str">
        <f>IF(OR('BCO COES Datos'!C109="Sí",'BCO COES Datos'!C109="Si"),"✓",IF('BCO COES Datos'!C109="Parcial","~",""))</f>
        <v>~</v>
      </c>
      <c r="I55" s="176" t="str">
        <f>IF(OR('BCO Soporte'!C110="Sí",'BCO Soporte'!C110="Si"),"✓",IF('BCO Soporte'!C110="Parcial","~",""))</f>
        <v>~</v>
      </c>
      <c r="J55" s="176" t="str">
        <f>IF(OR('BCO COES Emma'!C109="Sí",'BCO COES Emma'!C109="Si"),"✓",IF('BCO COES Emma'!C109="Parcial","~",""))</f>
        <v>~</v>
      </c>
      <c r="K55" s="176" t="str">
        <f>IF(OR('BCO Emma Iseries'!C109="Sí",'BCO Emma Iseries'!C109="Si"),"✓",IF('BCO Emma Iseries'!C109="Parcial","~",""))</f>
        <v/>
      </c>
      <c r="L55" s="176" t="str">
        <f>IF(OR(AES!C106="Sí",AES!C106="Si"),"✓",IF(AES!C106="Parcial","~",""))</f>
        <v>~</v>
      </c>
      <c r="M55" s="176" t="str">
        <f>IF(OR(XM!C108="Sí",XM!C108="Si"),"✓",IF(XM!C108="Parcial","~",""))</f>
        <v>~</v>
      </c>
      <c r="N55" s="177" t="str">
        <f>IF(OR(MEDICARTE!C109="Sí",MEDICARTE!C109="Si"),"✓",IF(MEDICARTE!C109="Parcial","~",""))</f>
        <v/>
      </c>
      <c r="O55" s="238">
        <f t="shared" si="7"/>
        <v>7</v>
      </c>
    </row>
    <row r="56" spans="1:15" x14ac:dyDescent="0.35">
      <c r="A56" s="238"/>
      <c r="B56" s="131" t="s">
        <v>162</v>
      </c>
      <c r="C56" s="176" t="str">
        <f>IF(OR('SURA Cotizadores'!C108="Sí",'SURA Cotizadores'!C108="Si"),"✓",IF('SURA Cotizadores'!C108="Parcial","~",""))</f>
        <v>~</v>
      </c>
      <c r="D56" s="176" t="str">
        <f>IF(OR('SURA Digital Venta'!C109="Sí",'SURA Digital Venta'!C109="Si"),"✓",IF('SURA Digital Venta'!C109="Parcial","~",""))</f>
        <v>~</v>
      </c>
      <c r="E56" s="176" t="str">
        <f>IF(OR('SURA Automatizacion'!C109="Sí",'SURA Automatizacion'!C109="Si"),"✓",IF('SURA Automatizacion'!C109="Parcial","~",""))</f>
        <v>~</v>
      </c>
      <c r="F56" s="176" t="str">
        <f>IF(OR('SURA Canales Masivos'!C109="Sí",'SURA Canales Masivos'!C109="Si"),"✓",IF('SURA Canales Masivos'!C109="Parcial","~",""))</f>
        <v>~</v>
      </c>
      <c r="G56" s="176" t="str">
        <f>IF(OR('BCO COES Integracion'!C110="Sí",'BCO COES Integracion'!C110="Si"),"✓",IF('BCO COES Integracion'!C110="Parcial","~",""))</f>
        <v>~</v>
      </c>
      <c r="H56" s="176" t="str">
        <f>IF(OR('BCO COES Datos'!C110="Sí",'BCO COES Datos'!C110="Si"),"✓",IF('BCO COES Datos'!C110="Parcial","~",""))</f>
        <v>~</v>
      </c>
      <c r="I56" s="176" t="str">
        <f>IF(OR('BCO Soporte'!C111="Sí",'BCO Soporte'!C111="Si"),"✓",IF('BCO Soporte'!C111="Parcial","~",""))</f>
        <v/>
      </c>
      <c r="J56" s="176" t="str">
        <f>IF(OR('BCO COES Emma'!C110="Sí",'BCO COES Emma'!C110="Si"),"✓",IF('BCO COES Emma'!C110="Parcial","~",""))</f>
        <v>~</v>
      </c>
      <c r="K56" s="176" t="str">
        <f>IF(OR('BCO Emma Iseries'!C110="Sí",'BCO Emma Iseries'!C110="Si"),"✓",IF('BCO Emma Iseries'!C110="Parcial","~",""))</f>
        <v/>
      </c>
      <c r="L56" s="176" t="str">
        <f>IF(OR(AES!C107="Sí",AES!C107="Si"),"✓",IF(AES!C107="Parcial","~",""))</f>
        <v>~</v>
      </c>
      <c r="M56" s="176" t="str">
        <f>IF(OR(XM!C109="Sí",XM!C109="Si"),"✓",IF(XM!C109="Parcial","~",""))</f>
        <v>~</v>
      </c>
      <c r="N56" s="177" t="str">
        <f>IF(OR(MEDICARTE!C110="Sí",MEDICARTE!C110="Si"),"✓",IF(MEDICARTE!C110="Parcial","~",""))</f>
        <v/>
      </c>
      <c r="O56" s="238">
        <f t="shared" si="7"/>
        <v>4.5</v>
      </c>
    </row>
    <row r="57" spans="1:15" ht="18" customHeight="1" x14ac:dyDescent="0.35">
      <c r="A57" s="238"/>
      <c r="B57" s="131" t="s">
        <v>163</v>
      </c>
      <c r="C57" s="176" t="str">
        <f>IF(OR('SURA Cotizadores'!C109="Sí",'SURA Cotizadores'!C109="Si"),"✓",IF('SURA Cotizadores'!C109="Parcial","~",""))</f>
        <v>~</v>
      </c>
      <c r="D57" s="176" t="str">
        <f>IF(OR('SURA Digital Venta'!C110="Sí",'SURA Digital Venta'!C110="Si"),"✓",IF('SURA Digital Venta'!C110="Parcial","~",""))</f>
        <v>~</v>
      </c>
      <c r="E57" s="176" t="str">
        <f>IF(OR('SURA Automatizacion'!C110="Sí",'SURA Automatizacion'!C110="Si"),"✓",IF('SURA Automatizacion'!C110="Parcial","~",""))</f>
        <v>~</v>
      </c>
      <c r="F57" s="176" t="str">
        <f>IF(OR('SURA Canales Masivos'!C110="Sí",'SURA Canales Masivos'!C110="Si"),"✓",IF('SURA Canales Masivos'!C110="Parcial","~",""))</f>
        <v>~</v>
      </c>
      <c r="G57" s="176" t="str">
        <f>IF(OR('BCO COES Integracion'!C111="Sí",'BCO COES Integracion'!C111="Si"),"✓",IF('BCO COES Integracion'!C111="Parcial","~",""))</f>
        <v/>
      </c>
      <c r="H57" s="176" t="str">
        <f>IF(OR('BCO COES Datos'!C111="Sí",'BCO COES Datos'!C111="Si"),"✓",IF('BCO COES Datos'!C111="Parcial","~",""))</f>
        <v/>
      </c>
      <c r="I57" s="176" t="str">
        <f>IF(OR('BCO Soporte'!C112="Sí",'BCO Soporte'!C112="Si"),"✓",IF('BCO Soporte'!C112="Parcial","~",""))</f>
        <v>~</v>
      </c>
      <c r="J57" s="176" t="str">
        <f>IF(OR('BCO COES Emma'!C111="Sí",'BCO COES Emma'!C111="Si"),"✓",IF('BCO COES Emma'!C111="Parcial","~",""))</f>
        <v/>
      </c>
      <c r="K57" s="176" t="str">
        <f>IF(OR('BCO Emma Iseries'!C111="Sí",'BCO Emma Iseries'!C111="Si"),"✓",IF('BCO Emma Iseries'!C111="Parcial","~",""))</f>
        <v/>
      </c>
      <c r="L57" s="176" t="str">
        <f>IF(OR(AES!C108="Sí",AES!C108="Si"),"✓",IF(AES!C108="Parcial","~",""))</f>
        <v>✓</v>
      </c>
      <c r="M57" s="176" t="str">
        <f>IF(OR(XM!C110="Sí",XM!C110="Si"),"✓",IF(XM!C110="Parcial","~",""))</f>
        <v>✓</v>
      </c>
      <c r="N57" s="177" t="str">
        <f>IF(OR(MEDICARTE!C111="Sí",MEDICARTE!C111="Si"),"✓",IF(MEDICARTE!C111="Parcial","~",""))</f>
        <v/>
      </c>
      <c r="O57" s="238">
        <f t="shared" si="7"/>
        <v>4.5</v>
      </c>
    </row>
    <row r="58" spans="1:15" x14ac:dyDescent="0.35">
      <c r="A58" s="238"/>
      <c r="B58" s="131" t="s">
        <v>164</v>
      </c>
      <c r="C58" s="176" t="str">
        <f>IF(OR('SURA Cotizadores'!C110="Sí",'SURA Cotizadores'!C110="Si"),"✓",IF('SURA Cotizadores'!C110="Parcial","~",""))</f>
        <v>~</v>
      </c>
      <c r="D58" s="176" t="str">
        <f>IF(OR('SURA Digital Venta'!C111="Sí",'SURA Digital Venta'!C111="Si"),"✓",IF('SURA Digital Venta'!C111="Parcial","~",""))</f>
        <v>~</v>
      </c>
      <c r="E58" s="176" t="str">
        <f>IF(OR('SURA Automatizacion'!C111="Sí",'SURA Automatizacion'!C111="Si"),"✓",IF('SURA Automatizacion'!C111="Parcial","~",""))</f>
        <v>~</v>
      </c>
      <c r="F58" s="176" t="str">
        <f>IF(OR('SURA Canales Masivos'!C111="Sí",'SURA Canales Masivos'!C111="Si"),"✓",IF('SURA Canales Masivos'!C111="Parcial","~",""))</f>
        <v>~</v>
      </c>
      <c r="G58" s="176" t="str">
        <f>IF(OR('BCO COES Integracion'!C112="Sí",'BCO COES Integracion'!C112="Si"),"✓",IF('BCO COES Integracion'!C112="Parcial","~",""))</f>
        <v>~</v>
      </c>
      <c r="H58" s="176" t="str">
        <f>IF(OR('BCO COES Datos'!C112="Sí",'BCO COES Datos'!C112="Si"),"✓",IF('BCO COES Datos'!C112="Parcial","~",""))</f>
        <v>~</v>
      </c>
      <c r="I58" s="176" t="str">
        <f>IF(OR('BCO Soporte'!C113="Sí",'BCO Soporte'!C113="Si"),"✓",IF('BCO Soporte'!C113="Parcial","~",""))</f>
        <v>~</v>
      </c>
      <c r="J58" s="176" t="str">
        <f>IF(OR('BCO COES Emma'!C112="Sí",'BCO COES Emma'!C112="Si"),"✓",IF('BCO COES Emma'!C112="Parcial","~",""))</f>
        <v>~</v>
      </c>
      <c r="K58" s="176" t="str">
        <f>IF(OR('BCO Emma Iseries'!C112="Sí",'BCO Emma Iseries'!C112="Si"),"✓",IF('BCO Emma Iseries'!C112="Parcial","~",""))</f>
        <v/>
      </c>
      <c r="L58" s="176" t="str">
        <f>IF(OR(AES!C109="Sí",AES!C109="Si"),"✓",IF(AES!C109="Parcial","~",""))</f>
        <v>~</v>
      </c>
      <c r="M58" s="176" t="str">
        <f>IF(OR(XM!C111="Sí",XM!C111="Si"),"✓",IF(XM!C111="Parcial","~",""))</f>
        <v>✓</v>
      </c>
      <c r="N58" s="177" t="str">
        <f>IF(OR(MEDICARTE!C112="Sí",MEDICARTE!C112="Si"),"✓",IF(MEDICARTE!C112="Parcial","~",""))</f>
        <v/>
      </c>
      <c r="O58" s="238">
        <f t="shared" si="7"/>
        <v>5.5</v>
      </c>
    </row>
    <row r="59" spans="1:15" x14ac:dyDescent="0.35">
      <c r="A59" s="238"/>
      <c r="B59" s="131" t="s">
        <v>165</v>
      </c>
      <c r="C59" s="176" t="str">
        <f>IF(OR('SURA Cotizadores'!C111="Sí",'SURA Cotizadores'!C111="Si"),"✓",IF('SURA Cotizadores'!C111="Parcial","~",""))</f>
        <v>✓</v>
      </c>
      <c r="D59" s="176" t="str">
        <f>IF(OR('SURA Digital Venta'!C112="Sí",'SURA Digital Venta'!C112="Si"),"✓",IF('SURA Digital Venta'!C112="Parcial","~",""))</f>
        <v>✓</v>
      </c>
      <c r="E59" s="176" t="str">
        <f>IF(OR('SURA Automatizacion'!C112="Sí",'SURA Automatizacion'!C112="Si"),"✓",IF('SURA Automatizacion'!C112="Parcial","~",""))</f>
        <v>✓</v>
      </c>
      <c r="F59" s="176" t="str">
        <f>IF(OR('SURA Canales Masivos'!C112="Sí",'SURA Canales Masivos'!C112="Si"),"✓",IF('SURA Canales Masivos'!C112="Parcial","~",""))</f>
        <v>✓</v>
      </c>
      <c r="G59" s="176" t="str">
        <f>IF(OR('BCO COES Integracion'!C113="Sí",'BCO COES Integracion'!C113="Si"),"✓",IF('BCO COES Integracion'!C113="Parcial","~",""))</f>
        <v>~</v>
      </c>
      <c r="H59" s="176" t="str">
        <f>IF(OR('BCO COES Datos'!C113="Sí",'BCO COES Datos'!C113="Si"),"✓",IF('BCO COES Datos'!C113="Parcial","~",""))</f>
        <v>~</v>
      </c>
      <c r="I59" s="176" t="str">
        <f>IF(OR('BCO Soporte'!C114="Sí",'BCO Soporte'!C114="Si"),"✓",IF('BCO Soporte'!C114="Parcial","~",""))</f>
        <v>~</v>
      </c>
      <c r="J59" s="176" t="str">
        <f>IF(OR('BCO COES Emma'!C113="Sí",'BCO COES Emma'!C113="Si"),"✓",IF('BCO COES Emma'!C113="Parcial","~",""))</f>
        <v>~</v>
      </c>
      <c r="K59" s="176" t="str">
        <f>IF(OR('BCO Emma Iseries'!C113="Sí",'BCO Emma Iseries'!C113="Si"),"✓",IF('BCO Emma Iseries'!C113="Parcial","~",""))</f>
        <v/>
      </c>
      <c r="L59" s="176" t="str">
        <f>IF(OR(AES!C110="Sí",AES!C110="Si"),"✓",IF(AES!C110="Parcial","~",""))</f>
        <v>~</v>
      </c>
      <c r="M59" s="176" t="str">
        <f>IF(OR(XM!C112="Sí",XM!C112="Si"),"✓",IF(XM!C112="Parcial","~",""))</f>
        <v>~</v>
      </c>
      <c r="N59" s="177" t="str">
        <f>IF(OR(MEDICARTE!C113="Sí",MEDICARTE!C113="Si"),"✓",IF(MEDICARTE!C113="Parcial","~",""))</f>
        <v/>
      </c>
      <c r="O59" s="238">
        <f t="shared" si="7"/>
        <v>7</v>
      </c>
    </row>
    <row r="60" spans="1:15" x14ac:dyDescent="0.35">
      <c r="A60" s="238"/>
      <c r="B60" s="131" t="s">
        <v>166</v>
      </c>
      <c r="C60" s="176" t="str">
        <f>IF(OR('SURA Cotizadores'!C112="Sí",'SURA Cotizadores'!C112="Si"),"✓",IF('SURA Cotizadores'!C112="Parcial","~",""))</f>
        <v>~</v>
      </c>
      <c r="D60" s="176" t="str">
        <f>IF(OR('SURA Digital Venta'!C113="Sí",'SURA Digital Venta'!C113="Si"),"✓",IF('SURA Digital Venta'!C113="Parcial","~",""))</f>
        <v>~</v>
      </c>
      <c r="E60" s="176" t="str">
        <f>IF(OR('SURA Automatizacion'!C113="Sí",'SURA Automatizacion'!C113="Si"),"✓",IF('SURA Automatizacion'!C113="Parcial","~",""))</f>
        <v/>
      </c>
      <c r="F60" s="176" t="str">
        <f>IF(OR('SURA Canales Masivos'!C113="Sí",'SURA Canales Masivos'!C113="Si"),"✓",IF('SURA Canales Masivos'!C113="Parcial","~",""))</f>
        <v>✓</v>
      </c>
      <c r="G60" s="176" t="str">
        <f>IF(OR('BCO COES Integracion'!C114="Sí",'BCO COES Integracion'!C114="Si"),"✓",IF('BCO COES Integracion'!C114="Parcial","~",""))</f>
        <v>~</v>
      </c>
      <c r="H60" s="176" t="str">
        <f>IF(OR('BCO COES Datos'!C114="Sí",'BCO COES Datos'!C114="Si"),"✓",IF('BCO COES Datos'!C114="Parcial","~",""))</f>
        <v>~</v>
      </c>
      <c r="I60" s="176" t="str">
        <f>IF(OR('BCO Soporte'!C115="Sí",'BCO Soporte'!C115="Si"),"✓",IF('BCO Soporte'!C115="Parcial","~",""))</f>
        <v>~</v>
      </c>
      <c r="J60" s="176" t="str">
        <f>IF(OR('BCO COES Emma'!C114="Sí",'BCO COES Emma'!C114="Si"),"✓",IF('BCO COES Emma'!C114="Parcial","~",""))</f>
        <v>~</v>
      </c>
      <c r="K60" s="176" t="str">
        <f>IF(OR('BCO Emma Iseries'!C114="Sí",'BCO Emma Iseries'!C114="Si"),"✓",IF('BCO Emma Iseries'!C114="Parcial","~",""))</f>
        <v/>
      </c>
      <c r="L60" s="176" t="str">
        <f>IF(OR(AES!C111="Sí",AES!C111="Si"),"✓",IF(AES!C111="Parcial","~",""))</f>
        <v/>
      </c>
      <c r="M60" s="176" t="str">
        <f>IF(OR(XM!C113="Sí",XM!C113="Si"),"✓",IF(XM!C113="Parcial","~",""))</f>
        <v>✓</v>
      </c>
      <c r="N60" s="177" t="str">
        <f>IF(OR(MEDICARTE!C114="Sí",MEDICARTE!C114="Si"),"✓",IF(MEDICARTE!C114="Parcial","~",""))</f>
        <v/>
      </c>
      <c r="O60" s="238">
        <f t="shared" si="7"/>
        <v>5</v>
      </c>
    </row>
    <row r="61" spans="1:15" x14ac:dyDescent="0.35">
      <c r="A61" s="238"/>
      <c r="B61" s="131" t="s">
        <v>167</v>
      </c>
      <c r="C61" s="176" t="str">
        <f>IF(OR('SURA Cotizadores'!C113="Sí",'SURA Cotizadores'!C113="Si"),"✓",IF('SURA Cotizadores'!C113="Parcial","~",""))</f>
        <v>~</v>
      </c>
      <c r="D61" s="176" t="str">
        <f>IF(OR('SURA Digital Venta'!C114="Sí",'SURA Digital Venta'!C114="Si"),"✓",IF('SURA Digital Venta'!C114="Parcial","~",""))</f>
        <v>~</v>
      </c>
      <c r="E61" s="176" t="str">
        <f>IF(OR('SURA Automatizacion'!C114="Sí",'SURA Automatizacion'!C114="Si"),"✓",IF('SURA Automatizacion'!C114="Parcial","~",""))</f>
        <v>~</v>
      </c>
      <c r="F61" s="176" t="str">
        <f>IF(OR('SURA Canales Masivos'!C114="Sí",'SURA Canales Masivos'!C114="Si"),"✓",IF('SURA Canales Masivos'!C114="Parcial","~",""))</f>
        <v>~</v>
      </c>
      <c r="G61" s="176" t="str">
        <f>IF(OR('BCO COES Integracion'!C115="Sí",'BCO COES Integracion'!C115="Si"),"✓",IF('BCO COES Integracion'!C115="Parcial","~",""))</f>
        <v>~</v>
      </c>
      <c r="H61" s="176" t="str">
        <f>IF(OR('BCO COES Datos'!C115="Sí",'BCO COES Datos'!C115="Si"),"✓",IF('BCO COES Datos'!C115="Parcial","~",""))</f>
        <v>~</v>
      </c>
      <c r="I61" s="176" t="str">
        <f>IF(OR('BCO Soporte'!C116="Sí",'BCO Soporte'!C116="Si"),"✓",IF('BCO Soporte'!C116="Parcial","~",""))</f>
        <v>✓</v>
      </c>
      <c r="J61" s="176" t="str">
        <f>IF(OR('BCO COES Emma'!C115="Sí",'BCO COES Emma'!C115="Si"),"✓",IF('BCO COES Emma'!C115="Parcial","~",""))</f>
        <v>~</v>
      </c>
      <c r="K61" s="176" t="str">
        <f>IF(OR('BCO Emma Iseries'!C115="Sí",'BCO Emma Iseries'!C115="Si"),"✓",IF('BCO Emma Iseries'!C115="Parcial","~",""))</f>
        <v/>
      </c>
      <c r="L61" s="176" t="str">
        <f>IF(OR(AES!C112="Sí",AES!C112="Si"),"✓",IF(AES!C112="Parcial","~",""))</f>
        <v/>
      </c>
      <c r="M61" s="176" t="str">
        <f>IF(OR(XM!C114="Sí",XM!C114="Si"),"✓",IF(XM!C114="Parcial","~",""))</f>
        <v>~</v>
      </c>
      <c r="N61" s="177" t="str">
        <f>IF(OR(MEDICARTE!C115="Sí",MEDICARTE!C115="Si"),"✓",IF(MEDICARTE!C115="Parcial","~",""))</f>
        <v/>
      </c>
      <c r="O61" s="238">
        <f t="shared" si="7"/>
        <v>5</v>
      </c>
    </row>
    <row r="62" spans="1:15" x14ac:dyDescent="0.35">
      <c r="A62" s="238"/>
      <c r="B62" s="131" t="s">
        <v>168</v>
      </c>
      <c r="C62" s="176" t="str">
        <f>IF(OR('SURA Cotizadores'!C114="Sí",'SURA Cotizadores'!C114="Si"),"✓",IF('SURA Cotizadores'!C114="Parcial","~",""))</f>
        <v>✓</v>
      </c>
      <c r="D62" s="176" t="str">
        <f>IF(OR('SURA Digital Venta'!C115="Sí",'SURA Digital Venta'!C115="Si"),"✓",IF('SURA Digital Venta'!C115="Parcial","~",""))</f>
        <v>✓</v>
      </c>
      <c r="E62" s="176" t="str">
        <f>IF(OR('SURA Automatizacion'!C115="Sí",'SURA Automatizacion'!C115="Si"),"✓",IF('SURA Automatizacion'!C115="Parcial","~",""))</f>
        <v>✓</v>
      </c>
      <c r="F62" s="176" t="str">
        <f>IF(OR('SURA Canales Masivos'!C115="Sí",'SURA Canales Masivos'!C115="Si"),"✓",IF('SURA Canales Masivos'!C115="Parcial","~",""))</f>
        <v>✓</v>
      </c>
      <c r="G62" s="176" t="str">
        <f>IF(OR('BCO COES Integracion'!C116="Sí",'BCO COES Integracion'!C116="Si"),"✓",IF('BCO COES Integracion'!C116="Parcial","~",""))</f>
        <v>✓</v>
      </c>
      <c r="H62" s="176" t="str">
        <f>IF(OR('BCO COES Datos'!C116="Sí",'BCO COES Datos'!C116="Si"),"✓",IF('BCO COES Datos'!C116="Parcial","~",""))</f>
        <v>✓</v>
      </c>
      <c r="I62" s="176" t="str">
        <f>IF(OR('BCO Soporte'!C117="Sí",'BCO Soporte'!C117="Si"),"✓",IF('BCO Soporte'!C117="Parcial","~",""))</f>
        <v>~</v>
      </c>
      <c r="J62" s="176" t="str">
        <f>IF(OR('BCO COES Emma'!C116="Sí",'BCO COES Emma'!C116="Si"),"✓",IF('BCO COES Emma'!C116="Parcial","~",""))</f>
        <v>✓</v>
      </c>
      <c r="K62" s="176" t="str">
        <f>IF(OR('BCO Emma Iseries'!C116="Sí",'BCO Emma Iseries'!C116="Si"),"✓",IF('BCO Emma Iseries'!C116="Parcial","~",""))</f>
        <v/>
      </c>
      <c r="L62" s="176" t="str">
        <f>IF(OR(AES!C113="Sí",AES!C113="Si"),"✓",IF(AES!C113="Parcial","~",""))</f>
        <v>✓</v>
      </c>
      <c r="M62" s="176" t="str">
        <f>IF(OR(XM!C115="Sí",XM!C115="Si"),"✓",IF(XM!C115="Parcial","~",""))</f>
        <v>✓</v>
      </c>
      <c r="N62" s="177" t="str">
        <f>IF(OR(MEDICARTE!C116="Sí",MEDICARTE!C116="Si"),"✓",IF(MEDICARTE!C116="Parcial","~",""))</f>
        <v/>
      </c>
      <c r="O62" s="238">
        <f t="shared" si="7"/>
        <v>9.5</v>
      </c>
    </row>
    <row r="63" spans="1:15" x14ac:dyDescent="0.35">
      <c r="A63" s="238"/>
      <c r="B63" s="131" t="s">
        <v>169</v>
      </c>
      <c r="C63" s="176" t="str">
        <f>IF(OR('SURA Cotizadores'!C115="Sí",'SURA Cotizadores'!C115="Si"),"✓",IF('SURA Cotizadores'!C115="Parcial","~",""))</f>
        <v>~</v>
      </c>
      <c r="D63" s="176" t="str">
        <f>IF(OR('SURA Digital Venta'!C116="Sí",'SURA Digital Venta'!C116="Si"),"✓",IF('SURA Digital Venta'!C116="Parcial","~",""))</f>
        <v>~</v>
      </c>
      <c r="E63" s="176" t="str">
        <f>IF(OR('SURA Automatizacion'!C116="Sí",'SURA Automatizacion'!C116="Si"),"✓",IF('SURA Automatizacion'!C116="Parcial","~",""))</f>
        <v>~</v>
      </c>
      <c r="F63" s="176" t="str">
        <f>IF(OR('SURA Canales Masivos'!C116="Sí",'SURA Canales Masivos'!C116="Si"),"✓",IF('SURA Canales Masivos'!C116="Parcial","~",""))</f>
        <v>✓</v>
      </c>
      <c r="G63" s="176" t="str">
        <f>IF(OR('BCO COES Integracion'!C117="Sí",'BCO COES Integracion'!C117="Si"),"✓",IF('BCO COES Integracion'!C117="Parcial","~",""))</f>
        <v>~</v>
      </c>
      <c r="H63" s="176" t="str">
        <f>IF(OR('BCO COES Datos'!C117="Sí",'BCO COES Datos'!C117="Si"),"✓",IF('BCO COES Datos'!C117="Parcial","~",""))</f>
        <v>~</v>
      </c>
      <c r="I63" s="176" t="str">
        <f>IF(OR('BCO Soporte'!C118="Sí",'BCO Soporte'!C118="Si"),"✓",IF('BCO Soporte'!C118="Parcial","~",""))</f>
        <v>~</v>
      </c>
      <c r="J63" s="176" t="str">
        <f>IF(OR('BCO COES Emma'!C117="Sí",'BCO COES Emma'!C117="Si"),"✓",IF('BCO COES Emma'!C117="Parcial","~",""))</f>
        <v>~</v>
      </c>
      <c r="K63" s="176" t="str">
        <f>IF(OR('BCO Emma Iseries'!C117="Sí",'BCO Emma Iseries'!C117="Si"),"✓",IF('BCO Emma Iseries'!C117="Parcial","~",""))</f>
        <v/>
      </c>
      <c r="L63" s="176" t="str">
        <f>IF(OR(AES!C114="Sí",AES!C114="Si"),"✓",IF(AES!C114="Parcial","~",""))</f>
        <v>✓</v>
      </c>
      <c r="M63" s="176" t="str">
        <f>IF(OR(XM!C116="Sí",XM!C116="Si"),"✓",IF(XM!C116="Parcial","~",""))</f>
        <v>✓</v>
      </c>
      <c r="N63" s="177" t="str">
        <f>IF(OR(MEDICARTE!C117="Sí",MEDICARTE!C117="Si"),"✓",IF(MEDICARTE!C117="Parcial","~",""))</f>
        <v/>
      </c>
      <c r="O63" s="238">
        <f t="shared" si="7"/>
        <v>6.5</v>
      </c>
    </row>
    <row r="64" spans="1:15" x14ac:dyDescent="0.35">
      <c r="A64" s="238"/>
      <c r="B64" s="131" t="s">
        <v>170</v>
      </c>
      <c r="C64" s="176" t="str">
        <f>IF(OR('SURA Cotizadores'!C116="Sí",'SURA Cotizadores'!C116="Si"),"✓",IF('SURA Cotizadores'!C116="Parcial","~",""))</f>
        <v>~</v>
      </c>
      <c r="D64" s="176" t="str">
        <f>IF(OR('SURA Digital Venta'!C117="Sí",'SURA Digital Venta'!C117="Si"),"✓",IF('SURA Digital Venta'!C117="Parcial","~",""))</f>
        <v>~</v>
      </c>
      <c r="E64" s="176" t="str">
        <f>IF(OR('SURA Automatizacion'!C117="Sí",'SURA Automatizacion'!C117="Si"),"✓",IF('SURA Automatizacion'!C117="Parcial","~",""))</f>
        <v>~</v>
      </c>
      <c r="F64" s="176" t="str">
        <f>IF(OR('SURA Canales Masivos'!C117="Sí",'SURA Canales Masivos'!C117="Si"),"✓",IF('SURA Canales Masivos'!C117="Parcial","~",""))</f>
        <v>~</v>
      </c>
      <c r="G64" s="176" t="str">
        <f>IF(OR('BCO COES Integracion'!C118="Sí",'BCO COES Integracion'!C118="Si"),"✓",IF('BCO COES Integracion'!C118="Parcial","~",""))</f>
        <v>~</v>
      </c>
      <c r="H64" s="176" t="str">
        <f>IF(OR('BCO COES Datos'!C118="Sí",'BCO COES Datos'!C118="Si"),"✓",IF('BCO COES Datos'!C118="Parcial","~",""))</f>
        <v>~</v>
      </c>
      <c r="I64" s="176" t="str">
        <f>IF(OR('BCO Soporte'!C119="Sí",'BCO Soporte'!C119="Si"),"✓",IF('BCO Soporte'!C119="Parcial","~",""))</f>
        <v>✓</v>
      </c>
      <c r="J64" s="176" t="str">
        <f>IF(OR('BCO COES Emma'!C118="Sí",'BCO COES Emma'!C118="Si"),"✓",IF('BCO COES Emma'!C118="Parcial","~",""))</f>
        <v>~</v>
      </c>
      <c r="K64" s="176" t="str">
        <f>IF(OR('BCO Emma Iseries'!C118="Sí",'BCO Emma Iseries'!C118="Si"),"✓",IF('BCO Emma Iseries'!C118="Parcial","~",""))</f>
        <v/>
      </c>
      <c r="L64" s="176" t="str">
        <f>IF(OR(AES!C115="Sí",AES!C115="Si"),"✓",IF(AES!C115="Parcial","~",""))</f>
        <v/>
      </c>
      <c r="M64" s="176" t="str">
        <f>IF(OR(XM!C117="Sí",XM!C117="Si"),"✓",IF(XM!C117="Parcial","~",""))</f>
        <v>✓</v>
      </c>
      <c r="N64" s="177" t="str">
        <f>IF(OR(MEDICARTE!C118="Sí",MEDICARTE!C118="Si"),"✓",IF(MEDICARTE!C118="Parcial","~",""))</f>
        <v/>
      </c>
      <c r="O64" s="238">
        <f t="shared" si="7"/>
        <v>5.5</v>
      </c>
    </row>
    <row r="65" spans="1:15" x14ac:dyDescent="0.35">
      <c r="A65" s="238"/>
      <c r="B65" s="131" t="s">
        <v>171</v>
      </c>
      <c r="C65" s="176" t="str">
        <f>IF(OR('SURA Cotizadores'!C117="Sí",'SURA Cotizadores'!C117="Si"),"✓",IF('SURA Cotizadores'!C117="Parcial","~",""))</f>
        <v>✓</v>
      </c>
      <c r="D65" s="176"/>
      <c r="E65" s="176"/>
      <c r="F65" s="176"/>
      <c r="G65" s="176"/>
      <c r="H65" s="176"/>
      <c r="I65" s="176"/>
      <c r="J65" s="176"/>
      <c r="K65" s="176"/>
      <c r="L65" s="176"/>
      <c r="M65" s="176"/>
      <c r="N65" s="177"/>
      <c r="O65" s="238">
        <f t="shared" si="7"/>
        <v>1</v>
      </c>
    </row>
    <row r="66" spans="1:15" x14ac:dyDescent="0.35">
      <c r="A66" s="238"/>
      <c r="B66" s="131" t="s">
        <v>172</v>
      </c>
      <c r="C66" s="176" t="str">
        <f>IF(OR('SURA Cotizadores'!C118="Sí",'SURA Cotizadores'!C118="Si"),"✓",IF('SURA Cotizadores'!C118="Parcial","~",""))</f>
        <v>✓</v>
      </c>
      <c r="D66" s="176" t="str">
        <f>IF(OR('SURA Digital Venta'!C118="Sí",'SURA Digital Venta'!C118="Si"),"✓",IF('SURA Digital Venta'!C118="Parcial","~",""))</f>
        <v>✓</v>
      </c>
      <c r="E66" s="176" t="str">
        <f>IF(OR('SURA Automatizacion'!C118="Sí",'SURA Automatizacion'!C118="Si"),"✓",IF('SURA Automatizacion'!C118="Parcial","~",""))</f>
        <v>✓</v>
      </c>
      <c r="F66" s="176" t="str">
        <f>IF(OR('SURA Canales Masivos'!C118="Sí",'SURA Canales Masivos'!C118="Si"),"✓",IF('SURA Canales Masivos'!C118="Parcial","~",""))</f>
        <v>✓</v>
      </c>
      <c r="G66" s="176" t="str">
        <f>IF(OR('BCO COES Integracion'!C119="Sí",'BCO COES Integracion'!C119="Si"),"✓",IF('BCO COES Integracion'!C119="Parcial","~",""))</f>
        <v>✓</v>
      </c>
      <c r="H66" s="176" t="str">
        <f>IF(OR('BCO COES Datos'!C119="Sí",'BCO COES Datos'!C119="Si"),"✓",IF('BCO COES Datos'!C119="Parcial","~",""))</f>
        <v>✓</v>
      </c>
      <c r="I66" s="176" t="str">
        <f>IF(OR('BCO Soporte'!C120="Sí",'BCO Soporte'!C120="Si"),"✓",IF('BCO Soporte'!C120="Parcial","~",""))</f>
        <v>~</v>
      </c>
      <c r="J66" s="176" t="str">
        <f>IF(OR('BCO COES Emma'!C119="Sí",'BCO COES Emma'!C119="Si"),"✓",IF('BCO COES Emma'!C119="Parcial","~",""))</f>
        <v>✓</v>
      </c>
      <c r="K66" s="176" t="str">
        <f>IF(OR('BCO Emma Iseries'!C119="Sí",'BCO Emma Iseries'!C119="Si"),"✓",IF('BCO Emma Iseries'!C119="Parcial","~",""))</f>
        <v>✓</v>
      </c>
      <c r="L66" s="176" t="str">
        <f>IF(OR(AES!C116="Sí",AES!C116="Si"),"✓",IF(AES!C116="Parcial","~",""))</f>
        <v>✓</v>
      </c>
      <c r="M66" s="176" t="str">
        <f>IF(OR(XM!C118="Sí",XM!C118="Si"),"✓",IF(XM!C118="Parcial","~",""))</f>
        <v>✓</v>
      </c>
      <c r="N66" s="177" t="str">
        <f>IF(OR(MEDICARTE!C119="Sí",MEDICARTE!C119="Si"),"✓",IF(MEDICARTE!C119="Parcial","~",""))</f>
        <v>✓</v>
      </c>
      <c r="O66" s="238">
        <f t="shared" si="7"/>
        <v>11.5</v>
      </c>
    </row>
    <row r="67" spans="1:15" x14ac:dyDescent="0.35">
      <c r="A67" s="238"/>
      <c r="B67" s="131" t="s">
        <v>173</v>
      </c>
      <c r="C67" s="176" t="str">
        <f>IF(OR('SURA Cotizadores'!C119="Sí",'SURA Cotizadores'!C119="Si"),"✓",IF('SURA Cotizadores'!C119="Parcial","~",""))</f>
        <v/>
      </c>
      <c r="D67" s="176" t="str">
        <f>IF(OR('SURA Digital Venta'!C119="Sí",'SURA Digital Venta'!C119="Si"),"✓",IF('SURA Digital Venta'!C119="Parcial","~",""))</f>
        <v/>
      </c>
      <c r="E67" s="176" t="str">
        <f>IF(OR('SURA Automatizacion'!C119="Sí",'SURA Automatizacion'!C119="Si"),"✓",IF('SURA Automatizacion'!C119="Parcial","~",""))</f>
        <v/>
      </c>
      <c r="F67" s="176" t="str">
        <f>IF(OR('SURA Canales Masivos'!C119="Sí",'SURA Canales Masivos'!C119="Si"),"✓",IF('SURA Canales Masivos'!C119="Parcial","~",""))</f>
        <v/>
      </c>
      <c r="G67" s="176" t="str">
        <f>IF(OR('BCO COES Integracion'!C120="Sí",'BCO COES Integracion'!C120="Si"),"✓",IF('BCO COES Integracion'!C120="Parcial","~",""))</f>
        <v>~</v>
      </c>
      <c r="H67" s="176" t="str">
        <f>IF(OR('BCO COES Datos'!C120="Sí",'BCO COES Datos'!C120="Si"),"✓",IF('BCO COES Datos'!C120="Parcial","~",""))</f>
        <v>~</v>
      </c>
      <c r="I67" s="176" t="str">
        <f>IF(OR('BCO Soporte'!C121="Sí",'BCO Soporte'!C121="Si"),"✓",IF('BCO Soporte'!C121="Parcial","~",""))</f>
        <v>~</v>
      </c>
      <c r="J67" s="176" t="str">
        <f>IF(OR('BCO COES Emma'!C120="Sí",'BCO COES Emma'!C120="Si"),"✓",IF('BCO COES Emma'!C120="Parcial","~",""))</f>
        <v>~</v>
      </c>
      <c r="K67" s="176" t="str">
        <f>IF(OR('BCO Emma Iseries'!C120="Sí",'BCO Emma Iseries'!C120="Si"),"✓",IF('BCO Emma Iseries'!C120="Parcial","~",""))</f>
        <v/>
      </c>
      <c r="L67" s="176" t="str">
        <f>IF(OR(AES!C117="Sí",AES!C117="Si"),"✓",IF(AES!C117="Parcial","~",""))</f>
        <v/>
      </c>
      <c r="M67" s="176" t="str">
        <f>IF(OR(XM!C119="Sí",XM!C119="Si"),"✓",IF(XM!C119="Parcial","~",""))</f>
        <v>✓</v>
      </c>
      <c r="N67" s="177" t="str">
        <f>IF(OR(MEDICARTE!C120="Sí",MEDICARTE!C120="Si"),"✓",IF(MEDICARTE!C120="Parcial","~",""))</f>
        <v/>
      </c>
      <c r="O67" s="238">
        <f t="shared" si="7"/>
        <v>3</v>
      </c>
    </row>
    <row r="68" spans="1:15" x14ac:dyDescent="0.35">
      <c r="A68" s="238"/>
      <c r="B68" s="131" t="s">
        <v>174</v>
      </c>
      <c r="C68" s="176" t="str">
        <f>IF(OR('SURA Cotizadores'!C120="Sí",'SURA Cotizadores'!C120="Si"),"✓",IF('SURA Cotizadores'!C120="Parcial","~",""))</f>
        <v/>
      </c>
      <c r="D68" s="176" t="str">
        <f>IF(OR('SURA Digital Venta'!C120="Sí",'SURA Digital Venta'!C120="Si"),"✓",IF('SURA Digital Venta'!C120="Parcial","~",""))</f>
        <v/>
      </c>
      <c r="E68" s="176" t="str">
        <f>IF(OR('SURA Automatizacion'!C120="Sí",'SURA Automatizacion'!C120="Si"),"✓",IF('SURA Automatizacion'!C120="Parcial","~",""))</f>
        <v/>
      </c>
      <c r="F68" s="176" t="str">
        <f>IF(OR('SURA Canales Masivos'!C120="Sí",'SURA Canales Masivos'!C120="Si"),"✓",IF('SURA Canales Masivos'!C120="Parcial","~",""))</f>
        <v/>
      </c>
      <c r="G68" s="176" t="str">
        <f>IF(OR('BCO COES Integracion'!C121="Sí",'BCO COES Integracion'!C121="Si"),"✓",IF('BCO COES Integracion'!C121="Parcial","~",""))</f>
        <v>~</v>
      </c>
      <c r="H68" s="176" t="str">
        <f>IF(OR('BCO COES Datos'!C121="Sí",'BCO COES Datos'!C121="Si"),"✓",IF('BCO COES Datos'!C121="Parcial","~",""))</f>
        <v>~</v>
      </c>
      <c r="I68" s="176"/>
      <c r="J68" s="176" t="str">
        <f>IF(OR('BCO COES Emma'!C121="Sí",'BCO COES Emma'!C121="Si"),"✓",IF('BCO COES Emma'!C121="Parcial","~",""))</f>
        <v>~</v>
      </c>
      <c r="K68" s="176" t="str">
        <f>IF(OR('BCO Emma Iseries'!C121="Sí",'BCO Emma Iseries'!C121="Si"),"✓",IF('BCO Emma Iseries'!C121="Parcial","~",""))</f>
        <v/>
      </c>
      <c r="L68" s="176" t="str">
        <f>IF(OR(AES!C118="Sí",AES!C118="Si"),"✓",IF(AES!C118="Parcial","~",""))</f>
        <v/>
      </c>
      <c r="M68" s="176" t="str">
        <f>IF(OR(XM!C120="Sí",XM!C120="Si"),"✓",IF(XM!C120="Parcial","~",""))</f>
        <v>✓</v>
      </c>
      <c r="N68" s="177" t="str">
        <f>IF(OR(MEDICARTE!C121="Sí",MEDICARTE!C121="Si"),"✓",IF(MEDICARTE!C121="Parcial","~",""))</f>
        <v/>
      </c>
      <c r="O68" s="238">
        <f t="shared" si="7"/>
        <v>2.5</v>
      </c>
    </row>
    <row r="69" spans="1:15" x14ac:dyDescent="0.35">
      <c r="A69" s="238"/>
      <c r="B69" s="178" t="s">
        <v>175</v>
      </c>
      <c r="C69" s="178" t="str">
        <f>IF(OR('SURA Cotizadores'!C121="Sí",'SURA Cotizadores'!C121="Si"),"✓",IF('SURA Cotizadores'!C121="Parcial","~",""))</f>
        <v/>
      </c>
      <c r="D69" s="178" t="str">
        <f>IF(OR('SURA Digital Venta'!C121="Sí",'SURA Digital Venta'!C121="Si"),"✓",IF('SURA Digital Venta'!C121="Parcial","~",""))</f>
        <v/>
      </c>
      <c r="E69" s="178" t="str">
        <f>IF(OR('SURA Automatizacion'!C121="Sí",'SURA Automatizacion'!C121="Si"),"✓",IF('SURA Automatizacion'!C121="Parcial","~",""))</f>
        <v/>
      </c>
      <c r="F69" s="178" t="str">
        <f>IF(OR('SURA Canales Masivos'!C121="Sí",'SURA Canales Masivos'!C121="Si"),"✓",IF('SURA Canales Masivos'!C121="Parcial","~",""))</f>
        <v/>
      </c>
      <c r="G69" s="178" t="str">
        <f>IF(OR('BCO COES Integracion'!C122="Sí",'BCO COES Integracion'!C122="Si"),"✓",IF('BCO COES Integracion'!C122="Parcial","~",""))</f>
        <v>✓</v>
      </c>
      <c r="H69" s="178" t="str">
        <f>IF(OR('BCO COES Datos'!C122="Sí",'BCO COES Datos'!C122="Si"),"✓",IF('BCO COES Datos'!C122="Parcial","~",""))</f>
        <v>✓</v>
      </c>
      <c r="I69" s="178" t="str">
        <f>IF(OR('BCO Soporte'!C123="Sí",'BCO Soporte'!C123="Si"),"✓",IF('BCO Soporte'!C123="Parcial","~",""))</f>
        <v>✓</v>
      </c>
      <c r="J69" s="178" t="str">
        <f>IF(OR('BCO COES Emma'!C122="Sí",'BCO COES Emma'!C122="Si"),"✓",IF('BCO COES Emma'!C122="Parcial","~",""))</f>
        <v>✓</v>
      </c>
      <c r="K69" s="178" t="str">
        <f>IF(OR('BCO Emma Iseries'!C122="Sí",'BCO Emma Iseries'!C122="Si"),"✓",IF('BCO Emma Iseries'!C122="Parcial","~",""))</f>
        <v>✓</v>
      </c>
      <c r="L69" s="178" t="str">
        <f>IF(OR(AES!C119="Sí",AES!C119="Si"),"✓",IF(AES!C119="Parcial","~",""))</f>
        <v/>
      </c>
      <c r="M69" s="178" t="str">
        <f>IF(OR(XM!C121="Sí",XM!C121="Si"),"✓",IF(XM!C121="Parcial","~",""))</f>
        <v>~</v>
      </c>
      <c r="N69" s="178" t="str">
        <f>IF(OR(MEDICARTE!C122="Sí",MEDICARTE!C122="Si"),"✓",IF(MEDICARTE!C122="Parcial","~",""))</f>
        <v/>
      </c>
      <c r="O69" s="238">
        <f t="shared" si="7"/>
        <v>5.5</v>
      </c>
    </row>
    <row r="70" spans="1:15" x14ac:dyDescent="0.35">
      <c r="A70" s="238"/>
      <c r="B70" s="178"/>
      <c r="C70" s="178"/>
      <c r="D70" s="178"/>
      <c r="E70" s="178"/>
      <c r="F70" s="178"/>
      <c r="G70" s="178"/>
      <c r="H70" s="178"/>
      <c r="I70" s="178"/>
      <c r="J70" s="178"/>
      <c r="K70" s="178"/>
      <c r="L70" s="178"/>
      <c r="M70" s="178"/>
      <c r="N70" s="178"/>
      <c r="O70" s="238"/>
    </row>
    <row r="71" spans="1:15" x14ac:dyDescent="0.35">
      <c r="A71" s="238"/>
      <c r="B71" s="178"/>
      <c r="C71" s="178"/>
      <c r="D71" s="178"/>
      <c r="E71" s="178"/>
      <c r="F71" s="178"/>
      <c r="G71" s="178"/>
      <c r="H71" s="178"/>
      <c r="I71" s="178"/>
      <c r="J71" s="178"/>
      <c r="K71" s="178"/>
      <c r="L71" s="178"/>
      <c r="M71" s="178"/>
      <c r="N71" s="178"/>
      <c r="O71" s="238"/>
    </row>
    <row r="72" spans="1:15" x14ac:dyDescent="0.35">
      <c r="A72" s="238"/>
      <c r="B72" s="178"/>
      <c r="C72" s="178"/>
      <c r="D72" s="178"/>
      <c r="E72" s="178"/>
      <c r="F72" s="178"/>
      <c r="G72" s="178"/>
      <c r="H72" s="178"/>
      <c r="I72" s="178"/>
      <c r="J72" s="178"/>
      <c r="K72" s="178"/>
      <c r="L72" s="178"/>
      <c r="M72" s="178"/>
      <c r="N72" s="178"/>
      <c r="O72" s="238"/>
    </row>
    <row r="73" spans="1:15" x14ac:dyDescent="0.35">
      <c r="A73" s="238"/>
      <c r="B73" s="178"/>
      <c r="C73" s="178"/>
      <c r="D73" s="178"/>
      <c r="E73" s="178"/>
      <c r="F73" s="178"/>
      <c r="G73" s="178"/>
      <c r="H73" s="178"/>
      <c r="I73" s="178"/>
      <c r="J73" s="178"/>
      <c r="K73" s="178"/>
      <c r="L73" s="178"/>
      <c r="M73" s="178"/>
      <c r="N73" s="178"/>
      <c r="O73" s="238"/>
    </row>
    <row r="74" spans="1:15" x14ac:dyDescent="0.35">
      <c r="A74" s="238"/>
      <c r="B74" s="178"/>
      <c r="C74" s="178"/>
      <c r="D74" s="178"/>
      <c r="E74" s="178"/>
      <c r="F74" s="178"/>
      <c r="G74" s="178"/>
      <c r="H74" s="178"/>
      <c r="I74" s="178"/>
      <c r="J74" s="178"/>
      <c r="K74" s="178"/>
      <c r="L74" s="178"/>
      <c r="M74" s="178"/>
      <c r="N74" s="178"/>
      <c r="O74" s="238"/>
    </row>
    <row r="75" spans="1:15" x14ac:dyDescent="0.35">
      <c r="A75" s="238"/>
      <c r="B75" s="178"/>
      <c r="C75" s="178"/>
      <c r="D75" s="178"/>
      <c r="E75" s="178"/>
      <c r="F75" s="178"/>
      <c r="G75" s="178"/>
      <c r="H75" s="178"/>
      <c r="I75" s="178"/>
      <c r="J75" s="178"/>
      <c r="K75" s="178"/>
      <c r="L75" s="178"/>
      <c r="M75" s="178"/>
      <c r="N75" s="178"/>
      <c r="O75" s="238"/>
    </row>
    <row r="76" spans="1:15" x14ac:dyDescent="0.35">
      <c r="A76" s="238"/>
      <c r="B76" s="178"/>
      <c r="C76" s="178"/>
      <c r="D76" s="178"/>
      <c r="E76" s="178"/>
      <c r="F76" s="178"/>
      <c r="G76" s="178"/>
      <c r="H76" s="178"/>
      <c r="I76" s="178"/>
      <c r="J76" s="178"/>
      <c r="K76" s="178"/>
      <c r="L76" s="178"/>
      <c r="M76" s="178"/>
      <c r="N76" s="178"/>
      <c r="O76" s="238"/>
    </row>
    <row r="77" spans="1:15" x14ac:dyDescent="0.35">
      <c r="A77" s="238"/>
      <c r="B77" s="113"/>
      <c r="C77" s="113"/>
      <c r="D77" s="113"/>
      <c r="E77" s="113"/>
      <c r="F77" s="113"/>
      <c r="G77" s="113"/>
      <c r="H77" s="113"/>
      <c r="I77" s="113"/>
      <c r="J77" s="113"/>
      <c r="K77" s="113"/>
      <c r="L77" s="113"/>
      <c r="M77" s="113"/>
      <c r="N77" s="113"/>
      <c r="O77" s="238"/>
    </row>
    <row r="78" spans="1:15" x14ac:dyDescent="0.35">
      <c r="A78" s="238"/>
      <c r="B78" s="113"/>
      <c r="C78" s="113"/>
      <c r="D78" s="113"/>
      <c r="E78" s="113"/>
      <c r="F78" s="113"/>
      <c r="G78" s="113"/>
      <c r="H78" s="113"/>
      <c r="I78" s="113"/>
      <c r="J78" s="113"/>
      <c r="K78" s="113"/>
      <c r="L78" s="113"/>
      <c r="M78" s="113"/>
      <c r="N78" s="113"/>
      <c r="O78" s="238"/>
    </row>
    <row r="79" spans="1:15" x14ac:dyDescent="0.35">
      <c r="A79" s="238"/>
      <c r="B79" s="113"/>
      <c r="C79" s="113"/>
      <c r="D79" s="113"/>
      <c r="E79" s="113"/>
      <c r="F79" s="113"/>
      <c r="G79" s="113"/>
      <c r="H79" s="113"/>
      <c r="I79" s="113"/>
      <c r="J79" s="113"/>
      <c r="K79" s="113"/>
      <c r="L79" s="113"/>
      <c r="M79" s="113"/>
      <c r="N79" s="113"/>
      <c r="O79" s="238"/>
    </row>
    <row r="80" spans="1:15" x14ac:dyDescent="0.35">
      <c r="A80" s="238"/>
      <c r="B80" s="113"/>
      <c r="C80" s="113"/>
      <c r="D80" s="113"/>
      <c r="E80" s="113"/>
      <c r="F80" s="113"/>
      <c r="G80" s="113"/>
      <c r="H80" s="113"/>
      <c r="I80" s="113"/>
      <c r="J80" s="113"/>
      <c r="K80" s="113"/>
      <c r="L80" s="113"/>
      <c r="M80" s="113"/>
      <c r="N80" s="113"/>
      <c r="O80" s="238"/>
    </row>
    <row r="81" spans="1:15" x14ac:dyDescent="0.35">
      <c r="A81" s="238"/>
      <c r="B81" s="113"/>
      <c r="C81" s="113"/>
      <c r="D81" s="113"/>
      <c r="E81" s="113"/>
      <c r="F81" s="113"/>
      <c r="G81" s="113"/>
      <c r="H81" s="113"/>
      <c r="I81" s="113"/>
      <c r="J81" s="113"/>
      <c r="K81" s="113"/>
      <c r="L81" s="113"/>
      <c r="M81" s="113"/>
      <c r="N81" s="113"/>
      <c r="O81" s="238"/>
    </row>
    <row r="82" spans="1:15" x14ac:dyDescent="0.35">
      <c r="A82" s="238"/>
      <c r="B82" s="113"/>
      <c r="C82" s="113"/>
      <c r="D82" s="113"/>
      <c r="E82" s="113"/>
      <c r="F82" s="113"/>
      <c r="G82" s="113"/>
      <c r="H82" s="113"/>
      <c r="I82" s="113"/>
      <c r="J82" s="113"/>
      <c r="K82" s="113"/>
      <c r="L82" s="113"/>
      <c r="M82" s="113"/>
      <c r="N82" s="113"/>
      <c r="O82" s="238"/>
    </row>
    <row r="83" spans="1:15" x14ac:dyDescent="0.35">
      <c r="A83" s="238"/>
      <c r="B83" s="113"/>
      <c r="C83" s="113"/>
      <c r="D83" s="113"/>
      <c r="E83" s="113"/>
      <c r="F83" s="113"/>
      <c r="G83" s="113"/>
      <c r="H83" s="113"/>
      <c r="I83" s="113"/>
      <c r="J83" s="113"/>
      <c r="K83" s="113"/>
      <c r="L83" s="113"/>
      <c r="M83" s="113"/>
      <c r="N83" s="113"/>
      <c r="O83" s="238"/>
    </row>
    <row r="84" spans="1:15" x14ac:dyDescent="0.35">
      <c r="A84" s="238"/>
      <c r="B84" s="113"/>
      <c r="C84" s="113"/>
      <c r="D84" s="113"/>
      <c r="E84" s="113"/>
      <c r="F84" s="113"/>
      <c r="G84" s="113"/>
      <c r="H84" s="113"/>
      <c r="I84" s="113"/>
      <c r="J84" s="113"/>
      <c r="K84" s="113"/>
      <c r="L84" s="113"/>
      <c r="M84" s="113"/>
      <c r="N84" s="113"/>
      <c r="O84" s="238"/>
    </row>
    <row r="85" spans="1:15" x14ac:dyDescent="0.35">
      <c r="A85" s="238"/>
      <c r="B85" s="113"/>
      <c r="C85" s="113"/>
      <c r="D85" s="113"/>
      <c r="E85" s="113"/>
      <c r="F85" s="113"/>
      <c r="G85" s="113"/>
      <c r="H85" s="113"/>
      <c r="I85" s="113"/>
      <c r="J85" s="113"/>
      <c r="K85" s="113"/>
      <c r="L85" s="113"/>
      <c r="M85" s="113"/>
      <c r="N85" s="113"/>
      <c r="O85" s="238"/>
    </row>
    <row r="86" spans="1:15" x14ac:dyDescent="0.35">
      <c r="A86" s="238"/>
      <c r="B86" s="113"/>
      <c r="C86" s="113"/>
      <c r="D86" s="113"/>
      <c r="E86" s="113"/>
      <c r="F86" s="113"/>
      <c r="G86" s="113"/>
      <c r="H86" s="113"/>
      <c r="I86" s="113"/>
      <c r="J86" s="113"/>
      <c r="K86" s="113"/>
      <c r="L86" s="113"/>
      <c r="M86" s="113"/>
      <c r="N86" s="113"/>
      <c r="O86" s="238"/>
    </row>
    <row r="87" spans="1:15" x14ac:dyDescent="0.35">
      <c r="A87" s="238"/>
      <c r="B87" s="113"/>
      <c r="C87" s="113"/>
      <c r="D87" s="113"/>
      <c r="E87" s="113"/>
      <c r="F87" s="113"/>
      <c r="G87" s="113"/>
      <c r="H87" s="113"/>
      <c r="I87" s="113"/>
      <c r="J87" s="113"/>
      <c r="K87" s="113"/>
      <c r="L87" s="113"/>
      <c r="M87" s="113"/>
      <c r="N87" s="113"/>
      <c r="O87" s="238"/>
    </row>
    <row r="88" spans="1:15" x14ac:dyDescent="0.35">
      <c r="A88" s="238"/>
      <c r="B88" s="113"/>
      <c r="C88" s="113"/>
      <c r="D88" s="113"/>
      <c r="E88" s="113"/>
      <c r="F88" s="113"/>
      <c r="G88" s="113"/>
      <c r="H88" s="113"/>
      <c r="I88" s="113"/>
      <c r="J88" s="113"/>
      <c r="K88" s="113"/>
      <c r="L88" s="113"/>
      <c r="M88" s="113"/>
      <c r="N88" s="113"/>
      <c r="O88" s="238"/>
    </row>
    <row r="89" spans="1:15" x14ac:dyDescent="0.35">
      <c r="A89" s="238"/>
      <c r="B89" s="113"/>
      <c r="C89" s="113"/>
      <c r="D89" s="113"/>
      <c r="E89" s="113"/>
      <c r="F89" s="113"/>
      <c r="G89" s="113"/>
      <c r="H89" s="113"/>
      <c r="I89" s="113"/>
      <c r="J89" s="113"/>
      <c r="K89" s="113"/>
      <c r="L89" s="113"/>
      <c r="M89" s="113"/>
      <c r="N89" s="113"/>
      <c r="O89" s="238"/>
    </row>
    <row r="90" spans="1:15" x14ac:dyDescent="0.35">
      <c r="A90" s="238"/>
      <c r="B90" s="113"/>
      <c r="C90" s="113"/>
      <c r="D90" s="113"/>
      <c r="E90" s="113"/>
      <c r="F90" s="113"/>
      <c r="G90" s="113"/>
      <c r="H90" s="113"/>
      <c r="I90" s="113"/>
      <c r="J90" s="113"/>
      <c r="K90" s="113"/>
      <c r="L90" s="113"/>
      <c r="M90" s="113"/>
      <c r="N90" s="113"/>
      <c r="O90" s="238"/>
    </row>
    <row r="91" spans="1:15" x14ac:dyDescent="0.35">
      <c r="A91" s="238"/>
      <c r="B91" s="113"/>
      <c r="C91" s="113"/>
      <c r="D91" s="113"/>
      <c r="E91" s="113"/>
      <c r="F91" s="113"/>
      <c r="G91" s="113"/>
      <c r="H91" s="113"/>
      <c r="I91" s="113"/>
      <c r="J91" s="113"/>
      <c r="K91" s="113"/>
      <c r="L91" s="113"/>
      <c r="M91" s="113"/>
      <c r="N91" s="113"/>
      <c r="O91" s="238"/>
    </row>
    <row r="92" spans="1:15" x14ac:dyDescent="0.35">
      <c r="A92" s="238"/>
      <c r="B92" s="113"/>
      <c r="C92" s="113"/>
      <c r="D92" s="113"/>
      <c r="E92" s="113"/>
      <c r="F92" s="113"/>
      <c r="G92" s="113"/>
      <c r="H92" s="113"/>
      <c r="I92" s="113"/>
      <c r="J92" s="113"/>
      <c r="K92" s="113"/>
      <c r="L92" s="113"/>
      <c r="M92" s="113"/>
      <c r="N92" s="113"/>
      <c r="O92" s="238"/>
    </row>
    <row r="93" spans="1:15" x14ac:dyDescent="0.35">
      <c r="A93" s="238"/>
      <c r="B93" s="113"/>
      <c r="C93" s="113"/>
      <c r="D93" s="113"/>
      <c r="E93" s="113"/>
      <c r="F93" s="113"/>
      <c r="G93" s="113"/>
      <c r="H93" s="113"/>
      <c r="I93" s="113"/>
      <c r="J93" s="113"/>
      <c r="K93" s="113"/>
      <c r="L93" s="113"/>
      <c r="M93" s="113"/>
      <c r="N93" s="113"/>
      <c r="O93" s="238"/>
    </row>
    <row r="94" spans="1:15" x14ac:dyDescent="0.35">
      <c r="A94" s="238"/>
      <c r="B94" s="113"/>
      <c r="C94" s="113"/>
      <c r="D94" s="113"/>
      <c r="E94" s="113"/>
      <c r="F94" s="113"/>
      <c r="G94" s="113"/>
      <c r="H94" s="113"/>
      <c r="I94" s="113"/>
      <c r="J94" s="113"/>
      <c r="K94" s="113"/>
      <c r="L94" s="113"/>
      <c r="M94" s="113"/>
      <c r="N94" s="113"/>
      <c r="O94" s="238"/>
    </row>
    <row r="95" spans="1:15" x14ac:dyDescent="0.35">
      <c r="A95" s="238"/>
      <c r="B95" s="113"/>
      <c r="C95" s="113"/>
      <c r="D95" s="113"/>
      <c r="E95" s="113"/>
      <c r="F95" s="113"/>
      <c r="G95" s="113"/>
      <c r="H95" s="113"/>
      <c r="I95" s="113"/>
      <c r="J95" s="113"/>
      <c r="K95" s="113"/>
      <c r="L95" s="113"/>
      <c r="M95" s="113"/>
      <c r="N95" s="113"/>
      <c r="O95" s="238"/>
    </row>
    <row r="96" spans="1:15" x14ac:dyDescent="0.35">
      <c r="A96" s="238"/>
      <c r="B96" s="113"/>
      <c r="C96" s="113"/>
      <c r="D96" s="113"/>
      <c r="E96" s="113"/>
      <c r="F96" s="113"/>
      <c r="G96" s="113"/>
      <c r="H96" s="113"/>
      <c r="I96" s="113"/>
      <c r="J96" s="113"/>
      <c r="K96" s="113"/>
      <c r="L96" s="113"/>
      <c r="M96" s="113"/>
      <c r="N96" s="113"/>
      <c r="O96" s="238"/>
    </row>
    <row r="97" spans="1:15" x14ac:dyDescent="0.35">
      <c r="A97" s="238"/>
      <c r="B97" s="113"/>
      <c r="C97" s="113"/>
      <c r="D97" s="113"/>
      <c r="E97" s="113"/>
      <c r="F97" s="113"/>
      <c r="G97" s="113"/>
      <c r="H97" s="113"/>
      <c r="I97" s="113"/>
      <c r="J97" s="113"/>
      <c r="K97" s="113"/>
      <c r="L97" s="113"/>
      <c r="M97" s="113"/>
      <c r="N97" s="113"/>
      <c r="O97" s="238"/>
    </row>
    <row r="98" spans="1:15" x14ac:dyDescent="0.35">
      <c r="A98" s="238"/>
      <c r="B98" s="113"/>
      <c r="C98" s="113"/>
      <c r="D98" s="113"/>
      <c r="E98" s="113"/>
      <c r="F98" s="113"/>
      <c r="G98" s="113"/>
      <c r="H98" s="113"/>
      <c r="I98" s="113"/>
      <c r="J98" s="113"/>
      <c r="K98" s="113"/>
      <c r="L98" s="113"/>
      <c r="M98" s="113"/>
      <c r="N98" s="113"/>
      <c r="O98" s="238"/>
    </row>
    <row r="99" spans="1:15" x14ac:dyDescent="0.35">
      <c r="A99" s="238"/>
      <c r="B99" s="113"/>
      <c r="C99" s="113"/>
      <c r="D99" s="113"/>
      <c r="E99" s="113"/>
      <c r="F99" s="113"/>
      <c r="G99" s="113"/>
      <c r="H99" s="113"/>
      <c r="I99" s="113"/>
      <c r="J99" s="113"/>
      <c r="K99" s="113"/>
      <c r="L99" s="113"/>
      <c r="M99" s="113"/>
      <c r="N99" s="113"/>
      <c r="O99" s="238"/>
    </row>
    <row r="100" spans="1:15" x14ac:dyDescent="0.35">
      <c r="A100" s="238"/>
      <c r="B100" s="113"/>
      <c r="C100" s="113"/>
      <c r="D100" s="113"/>
      <c r="E100" s="113"/>
      <c r="F100" s="113"/>
      <c r="G100" s="113"/>
      <c r="H100" s="113"/>
      <c r="I100" s="113"/>
      <c r="J100" s="113"/>
      <c r="K100" s="113"/>
      <c r="L100" s="113"/>
      <c r="M100" s="113"/>
      <c r="N100" s="113"/>
      <c r="O100" s="238"/>
    </row>
    <row r="101" spans="1:15" x14ac:dyDescent="0.35">
      <c r="A101" s="238"/>
      <c r="B101" s="113"/>
      <c r="C101" s="113"/>
      <c r="D101" s="113"/>
      <c r="E101" s="113"/>
      <c r="F101" s="113"/>
      <c r="G101" s="113"/>
      <c r="H101" s="113"/>
      <c r="I101" s="113"/>
      <c r="J101" s="113"/>
      <c r="K101" s="113"/>
      <c r="L101" s="113"/>
      <c r="M101" s="113"/>
      <c r="N101" s="113"/>
      <c r="O101" s="238"/>
    </row>
    <row r="102" spans="1:15" x14ac:dyDescent="0.35">
      <c r="A102" s="238"/>
      <c r="B102" s="113"/>
      <c r="C102" s="113"/>
      <c r="D102" s="113"/>
      <c r="E102" s="113"/>
      <c r="F102" s="113"/>
      <c r="G102" s="113"/>
      <c r="H102" s="113"/>
      <c r="I102" s="113"/>
      <c r="J102" s="113"/>
      <c r="K102" s="113"/>
      <c r="L102" s="113"/>
      <c r="M102" s="113"/>
      <c r="N102" s="113"/>
      <c r="O102" s="238"/>
    </row>
    <row r="103" spans="1:15" x14ac:dyDescent="0.35">
      <c r="A103" s="238"/>
      <c r="B103" s="113"/>
      <c r="C103" s="113"/>
      <c r="D103" s="113"/>
      <c r="E103" s="113"/>
      <c r="F103" s="113"/>
      <c r="G103" s="113"/>
      <c r="H103" s="113"/>
      <c r="I103" s="113"/>
      <c r="J103" s="113"/>
      <c r="K103" s="113"/>
      <c r="L103" s="113"/>
      <c r="M103" s="113"/>
      <c r="N103" s="113"/>
      <c r="O103" s="238"/>
    </row>
    <row r="104" spans="1:15" x14ac:dyDescent="0.35">
      <c r="A104" s="238"/>
      <c r="B104" s="113"/>
      <c r="C104" s="113"/>
      <c r="D104" s="113"/>
      <c r="E104" s="113"/>
      <c r="F104" s="113"/>
      <c r="G104" s="113"/>
      <c r="H104" s="113"/>
      <c r="I104" s="113"/>
      <c r="J104" s="113"/>
      <c r="K104" s="113"/>
      <c r="L104" s="113"/>
      <c r="M104" s="113"/>
      <c r="N104" s="113"/>
      <c r="O104" s="238"/>
    </row>
    <row r="105" spans="1:15" x14ac:dyDescent="0.35">
      <c r="A105" s="238"/>
      <c r="B105" s="113"/>
      <c r="C105" s="113"/>
      <c r="D105" s="113"/>
      <c r="E105" s="113"/>
      <c r="F105" s="113"/>
      <c r="G105" s="113"/>
      <c r="H105" s="113"/>
      <c r="I105" s="113"/>
      <c r="J105" s="113"/>
      <c r="K105" s="113"/>
      <c r="L105" s="113"/>
      <c r="M105" s="113"/>
      <c r="N105" s="113"/>
      <c r="O105" s="238"/>
    </row>
    <row r="106" spans="1:15" x14ac:dyDescent="0.35">
      <c r="A106" s="238"/>
      <c r="B106" s="113"/>
      <c r="C106" s="113"/>
      <c r="D106" s="113"/>
      <c r="E106" s="113"/>
      <c r="F106" s="113"/>
      <c r="G106" s="113"/>
      <c r="H106" s="113"/>
      <c r="I106" s="113"/>
      <c r="J106" s="113"/>
      <c r="K106" s="113"/>
      <c r="L106" s="113"/>
      <c r="M106" s="113"/>
      <c r="N106" s="113"/>
      <c r="O106" s="238"/>
    </row>
    <row r="107" spans="1:15" x14ac:dyDescent="0.35">
      <c r="A107" s="238"/>
      <c r="B107" s="113"/>
      <c r="C107" s="113"/>
      <c r="D107" s="113"/>
      <c r="E107" s="113"/>
      <c r="F107" s="113"/>
      <c r="G107" s="113"/>
      <c r="H107" s="113"/>
      <c r="I107" s="113"/>
      <c r="J107" s="113"/>
      <c r="K107" s="113"/>
      <c r="L107" s="113"/>
      <c r="M107" s="113"/>
      <c r="N107" s="113"/>
      <c r="O107" s="238"/>
    </row>
    <row r="108" spans="1:15" x14ac:dyDescent="0.35">
      <c r="A108" s="238"/>
      <c r="B108" s="113"/>
      <c r="C108" s="113"/>
      <c r="D108" s="113"/>
      <c r="E108" s="113"/>
      <c r="F108" s="113"/>
      <c r="G108" s="113"/>
      <c r="H108" s="113"/>
      <c r="I108" s="113"/>
      <c r="J108" s="113"/>
      <c r="K108" s="113"/>
      <c r="L108" s="113"/>
      <c r="M108" s="113"/>
      <c r="N108" s="113"/>
      <c r="O108" s="238"/>
    </row>
    <row r="109" spans="1:15" x14ac:dyDescent="0.35">
      <c r="A109" s="238"/>
      <c r="B109" s="113"/>
      <c r="C109" s="113"/>
      <c r="D109" s="113"/>
      <c r="E109" s="113"/>
      <c r="F109" s="113"/>
      <c r="G109" s="113"/>
      <c r="H109" s="113"/>
      <c r="I109" s="113"/>
      <c r="J109" s="113"/>
      <c r="K109" s="113"/>
      <c r="L109" s="113"/>
      <c r="M109" s="113"/>
      <c r="N109" s="113"/>
      <c r="O109" s="238"/>
    </row>
    <row r="110" spans="1:15" x14ac:dyDescent="0.35">
      <c r="A110" s="238"/>
      <c r="B110" s="113"/>
      <c r="C110" s="113"/>
      <c r="D110" s="113"/>
      <c r="E110" s="113"/>
      <c r="F110" s="113"/>
      <c r="G110" s="113"/>
      <c r="H110" s="113"/>
      <c r="I110" s="113"/>
      <c r="J110" s="113"/>
      <c r="K110" s="113"/>
      <c r="L110" s="113"/>
      <c r="M110" s="113"/>
      <c r="N110" s="113"/>
      <c r="O110" s="238"/>
    </row>
    <row r="111" spans="1:15" x14ac:dyDescent="0.35">
      <c r="A111" s="238"/>
      <c r="B111" s="113"/>
      <c r="C111" s="113"/>
      <c r="D111" s="113"/>
      <c r="E111" s="113"/>
      <c r="F111" s="113"/>
      <c r="G111" s="113"/>
      <c r="H111" s="113"/>
      <c r="I111" s="113"/>
      <c r="J111" s="113"/>
      <c r="K111" s="113"/>
      <c r="L111" s="113"/>
      <c r="M111" s="113"/>
      <c r="N111" s="113"/>
      <c r="O111" s="238"/>
    </row>
    <row r="112" spans="1:15" x14ac:dyDescent="0.35">
      <c r="A112" s="238"/>
      <c r="B112" s="113"/>
      <c r="C112" s="113"/>
      <c r="D112" s="113"/>
      <c r="E112" s="113"/>
      <c r="F112" s="113"/>
      <c r="G112" s="113"/>
      <c r="H112" s="113"/>
      <c r="I112" s="113"/>
      <c r="J112" s="113"/>
      <c r="K112" s="113"/>
      <c r="L112" s="113"/>
      <c r="M112" s="113"/>
      <c r="N112" s="113"/>
      <c r="O112" s="238"/>
    </row>
    <row r="113" spans="1:15" x14ac:dyDescent="0.35">
      <c r="A113" s="238"/>
      <c r="B113" s="237"/>
      <c r="C113" s="237"/>
      <c r="D113" s="237"/>
      <c r="E113" s="237"/>
      <c r="F113" s="237"/>
      <c r="G113" s="237"/>
      <c r="H113" s="237"/>
      <c r="I113" s="237"/>
      <c r="J113" s="237"/>
      <c r="K113" s="237"/>
      <c r="L113" s="237"/>
      <c r="M113" s="237"/>
      <c r="N113" s="237"/>
      <c r="O113" s="238"/>
    </row>
    <row r="114" spans="1:15" x14ac:dyDescent="0.35">
      <c r="A114" s="238"/>
      <c r="B114" s="237"/>
      <c r="C114" s="237"/>
      <c r="D114" s="237"/>
      <c r="E114" s="237"/>
      <c r="F114" s="237"/>
      <c r="G114" s="237"/>
      <c r="H114" s="237"/>
      <c r="I114" s="237"/>
      <c r="J114" s="237"/>
      <c r="K114" s="237"/>
      <c r="L114" s="237"/>
      <c r="M114" s="237"/>
      <c r="N114" s="237"/>
      <c r="O114" s="238"/>
    </row>
    <row r="115" spans="1:15" x14ac:dyDescent="0.35">
      <c r="A115" s="238"/>
      <c r="B115" s="302" t="s">
        <v>176</v>
      </c>
      <c r="C115" s="302"/>
      <c r="D115" s="302"/>
      <c r="E115" s="302"/>
      <c r="F115" s="302"/>
      <c r="G115" s="302"/>
      <c r="H115" s="302"/>
      <c r="I115" s="302"/>
      <c r="J115" s="302"/>
      <c r="K115" s="302"/>
      <c r="L115" s="302"/>
      <c r="M115" s="302"/>
      <c r="N115" s="302"/>
      <c r="O115" s="238"/>
    </row>
    <row r="116" spans="1:15" x14ac:dyDescent="0.35">
      <c r="A116" s="238"/>
      <c r="B116" s="238"/>
      <c r="C116" s="238"/>
      <c r="D116" s="238"/>
      <c r="E116" s="238"/>
      <c r="F116" s="238"/>
      <c r="G116" s="238"/>
      <c r="H116" s="238"/>
      <c r="I116" s="238"/>
      <c r="J116" s="238"/>
      <c r="K116" s="238"/>
      <c r="L116" s="238"/>
      <c r="M116" s="238"/>
      <c r="N116" s="238"/>
      <c r="O116" s="238"/>
    </row>
    <row r="117" spans="1:15" x14ac:dyDescent="0.35">
      <c r="A117" s="238"/>
      <c r="B117" s="238"/>
      <c r="C117" s="238"/>
      <c r="D117" s="238"/>
      <c r="E117" s="238"/>
      <c r="F117" s="238"/>
      <c r="G117" s="238"/>
      <c r="H117" s="238"/>
      <c r="I117" s="238"/>
      <c r="J117" s="238"/>
      <c r="K117" s="238"/>
      <c r="L117" s="238"/>
      <c r="M117" s="238"/>
      <c r="N117" s="238"/>
      <c r="O117" s="238"/>
    </row>
    <row r="118" spans="1:15" x14ac:dyDescent="0.35">
      <c r="A118" s="238"/>
      <c r="B118" s="238"/>
      <c r="C118" s="238"/>
      <c r="D118" s="238"/>
      <c r="E118" s="238"/>
      <c r="F118" s="238"/>
      <c r="G118" s="238"/>
      <c r="H118" s="238"/>
      <c r="I118" s="238"/>
      <c r="J118" s="238"/>
      <c r="K118" s="238"/>
      <c r="L118" s="238"/>
      <c r="M118" s="238"/>
      <c r="N118" s="238"/>
      <c r="O118" s="238"/>
    </row>
    <row r="119" spans="1:15" x14ac:dyDescent="0.35">
      <c r="A119" s="238"/>
      <c r="B119" s="238"/>
      <c r="C119" s="238"/>
      <c r="D119" s="238"/>
      <c r="E119" s="238"/>
      <c r="F119" s="238"/>
      <c r="G119" s="238"/>
      <c r="H119" s="238"/>
      <c r="I119" s="238"/>
      <c r="J119" s="238"/>
      <c r="K119" s="238"/>
      <c r="L119" s="238"/>
      <c r="M119" s="238"/>
      <c r="N119" s="238"/>
      <c r="O119" s="238"/>
    </row>
    <row r="120" spans="1:15" x14ac:dyDescent="0.35">
      <c r="A120" s="238"/>
      <c r="B120" s="238"/>
      <c r="C120" s="238"/>
      <c r="D120" s="238"/>
      <c r="E120" s="238"/>
      <c r="F120" s="238"/>
      <c r="G120" s="238"/>
      <c r="H120" s="238"/>
      <c r="I120" s="238"/>
      <c r="J120" s="238"/>
      <c r="K120" s="238"/>
      <c r="L120" s="238"/>
      <c r="M120" s="238"/>
      <c r="N120" s="238"/>
      <c r="O120" s="238"/>
    </row>
    <row r="121" spans="1:15" x14ac:dyDescent="0.35">
      <c r="A121" s="238"/>
      <c r="B121" s="238"/>
      <c r="C121" s="238"/>
      <c r="D121" s="238"/>
      <c r="E121" s="238"/>
      <c r="F121" s="238"/>
      <c r="G121" s="238"/>
      <c r="H121" s="238"/>
      <c r="I121" s="238"/>
      <c r="J121" s="238"/>
      <c r="K121" s="238"/>
      <c r="L121" s="238"/>
      <c r="M121" s="238"/>
      <c r="N121" s="238"/>
      <c r="O121" s="238"/>
    </row>
    <row r="122" spans="1:15" x14ac:dyDescent="0.35">
      <c r="A122" s="238"/>
      <c r="B122" s="238"/>
      <c r="C122" s="238"/>
      <c r="D122" s="238"/>
      <c r="E122" s="238"/>
      <c r="F122" s="238"/>
      <c r="G122" s="238"/>
      <c r="H122" s="238"/>
      <c r="I122" s="238"/>
      <c r="J122" s="238"/>
      <c r="K122" s="238"/>
      <c r="L122" s="238"/>
      <c r="M122" s="238"/>
      <c r="N122" s="238"/>
      <c r="O122" s="238"/>
    </row>
    <row r="125" spans="1:15" x14ac:dyDescent="0.35">
      <c r="A125" s="238"/>
      <c r="B125" s="238"/>
      <c r="C125" s="238"/>
      <c r="D125" s="238"/>
      <c r="E125" s="238"/>
      <c r="F125" s="238"/>
      <c r="G125" s="238"/>
      <c r="H125" s="238"/>
      <c r="I125" s="238"/>
      <c r="J125" s="238"/>
      <c r="K125" s="238"/>
      <c r="L125" s="238"/>
      <c r="M125" s="238"/>
      <c r="N125" s="238"/>
      <c r="O125" s="238"/>
    </row>
  </sheetData>
  <mergeCells count="9">
    <mergeCell ref="B115:N115"/>
    <mergeCell ref="B45:N45"/>
    <mergeCell ref="B22:N22"/>
    <mergeCell ref="C5:H5"/>
    <mergeCell ref="I2:J5"/>
    <mergeCell ref="B2:B5"/>
    <mergeCell ref="C2:H2"/>
    <mergeCell ref="C3:H3"/>
    <mergeCell ref="C4:H4"/>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DDE5F-4617-4AFE-AC77-DDEDA40FECB7}">
  <dimension ref="B2:P130"/>
  <sheetViews>
    <sheetView showGridLines="0" topLeftCell="A88" zoomScaleNormal="100" workbookViewId="0">
      <selection activeCell="T21" sqref="T21"/>
    </sheetView>
  </sheetViews>
  <sheetFormatPr baseColWidth="10" defaultColWidth="8.54296875" defaultRowHeight="14.5" x14ac:dyDescent="0.35"/>
  <cols>
    <col min="1" max="1" width="3" style="1" customWidth="1"/>
    <col min="2" max="16" width="9.54296875" style="1" customWidth="1"/>
    <col min="17" max="16384" width="8.54296875" style="1"/>
  </cols>
  <sheetData>
    <row r="2" spans="2:16" ht="18" customHeight="1" x14ac:dyDescent="0.35">
      <c r="B2" s="321"/>
      <c r="C2" s="322"/>
      <c r="D2" s="322"/>
      <c r="E2" s="331" t="s">
        <v>177</v>
      </c>
      <c r="F2" s="332"/>
      <c r="G2" s="332"/>
      <c r="H2" s="332"/>
      <c r="I2" s="332"/>
      <c r="J2" s="332"/>
      <c r="K2" s="332"/>
      <c r="L2" s="332"/>
      <c r="M2" s="333"/>
      <c r="N2" s="327" t="s">
        <v>102</v>
      </c>
      <c r="O2" s="322"/>
      <c r="P2" s="328"/>
    </row>
    <row r="3" spans="2:16" ht="14.5" customHeight="1" x14ac:dyDescent="0.35">
      <c r="B3" s="323"/>
      <c r="C3" s="324"/>
      <c r="D3" s="324"/>
      <c r="E3" s="334" t="s">
        <v>178</v>
      </c>
      <c r="F3" s="335"/>
      <c r="G3" s="335"/>
      <c r="H3" s="335"/>
      <c r="I3" s="335"/>
      <c r="J3" s="335"/>
      <c r="K3" s="335"/>
      <c r="L3" s="335"/>
      <c r="M3" s="336"/>
      <c r="N3" s="324"/>
      <c r="O3" s="324"/>
      <c r="P3" s="329"/>
    </row>
    <row r="4" spans="2:16" ht="14.5" customHeight="1" x14ac:dyDescent="0.35">
      <c r="B4" s="323"/>
      <c r="C4" s="324"/>
      <c r="D4" s="324"/>
      <c r="E4" s="323"/>
      <c r="F4" s="324"/>
      <c r="G4" s="324"/>
      <c r="H4" s="324"/>
      <c r="I4" s="324"/>
      <c r="J4" s="324"/>
      <c r="K4" s="324"/>
      <c r="L4" s="324"/>
      <c r="M4" s="329"/>
      <c r="N4" s="324"/>
      <c r="O4" s="324"/>
      <c r="P4" s="329"/>
    </row>
    <row r="5" spans="2:16" ht="14.5" customHeight="1" x14ac:dyDescent="0.35">
      <c r="B5" s="325"/>
      <c r="C5" s="326"/>
      <c r="D5" s="326"/>
      <c r="E5" s="337" t="s">
        <v>104</v>
      </c>
      <c r="F5" s="326"/>
      <c r="G5" s="326"/>
      <c r="H5" s="326"/>
      <c r="I5" s="326"/>
      <c r="J5" s="326"/>
      <c r="K5" s="326"/>
      <c r="L5" s="326"/>
      <c r="M5" s="330"/>
      <c r="N5" s="326"/>
      <c r="O5" s="326"/>
      <c r="P5" s="330"/>
    </row>
    <row r="6" spans="2:16" x14ac:dyDescent="0.35">
      <c r="B6" s="70"/>
      <c r="C6" s="70"/>
      <c r="D6" s="70"/>
      <c r="E6" s="70"/>
      <c r="F6" s="70"/>
      <c r="G6" s="70"/>
      <c r="H6" s="70"/>
      <c r="I6" s="70"/>
      <c r="J6" s="70"/>
      <c r="K6" s="70"/>
      <c r="L6" s="70"/>
      <c r="M6" s="70"/>
      <c r="N6" s="70"/>
      <c r="O6" s="70"/>
      <c r="P6" s="70"/>
    </row>
    <row r="7" spans="2:16" ht="16" x14ac:dyDescent="0.4">
      <c r="B7" s="320" t="s">
        <v>179</v>
      </c>
      <c r="C7" s="320"/>
      <c r="D7" s="320"/>
      <c r="E7" s="320"/>
      <c r="F7" s="320"/>
      <c r="G7" s="320"/>
      <c r="H7" s="320"/>
      <c r="I7" s="320"/>
      <c r="J7" s="320"/>
      <c r="K7" s="320"/>
      <c r="L7" s="320"/>
      <c r="M7" s="320"/>
      <c r="N7" s="320"/>
      <c r="O7" s="320"/>
      <c r="P7" s="320"/>
    </row>
    <row r="8" spans="2:16" x14ac:dyDescent="0.35">
      <c r="B8" s="90"/>
      <c r="C8" s="90"/>
      <c r="D8" s="90"/>
      <c r="E8" s="90"/>
      <c r="F8" s="90"/>
      <c r="G8" s="90"/>
      <c r="H8" s="90"/>
      <c r="I8" s="90"/>
      <c r="J8" s="90"/>
      <c r="K8" s="90"/>
      <c r="L8" s="90"/>
      <c r="M8" s="90"/>
      <c r="N8" s="90"/>
      <c r="O8" s="90"/>
      <c r="P8" s="90"/>
    </row>
    <row r="9" spans="2:16" x14ac:dyDescent="0.35">
      <c r="B9" s="90"/>
      <c r="C9" s="90"/>
      <c r="D9" s="90"/>
      <c r="E9" s="90"/>
      <c r="F9" s="90"/>
      <c r="G9" s="90"/>
      <c r="H9" s="90"/>
      <c r="I9" s="90"/>
      <c r="J9" s="90"/>
      <c r="K9" s="90"/>
      <c r="L9" s="90"/>
      <c r="M9" s="90"/>
      <c r="N9" s="90"/>
      <c r="O9" s="90"/>
      <c r="P9" s="90"/>
    </row>
    <row r="10" spans="2:16" x14ac:dyDescent="0.35">
      <c r="B10" s="90"/>
      <c r="C10" s="90"/>
      <c r="D10" s="90"/>
      <c r="E10" s="90"/>
      <c r="F10" s="90"/>
      <c r="G10" s="90"/>
      <c r="H10" s="90"/>
      <c r="I10" s="90"/>
      <c r="J10" s="90"/>
      <c r="K10" s="90"/>
      <c r="L10" s="90"/>
      <c r="M10" s="90"/>
      <c r="N10" s="90"/>
      <c r="O10" s="90"/>
      <c r="P10" s="90"/>
    </row>
    <row r="11" spans="2:16" x14ac:dyDescent="0.35">
      <c r="B11" s="90"/>
      <c r="C11" s="90"/>
      <c r="D11" s="90"/>
      <c r="E11" s="90"/>
      <c r="F11" s="90"/>
      <c r="G11" s="90"/>
      <c r="H11" s="90"/>
      <c r="I11" s="90"/>
      <c r="J11" s="90"/>
      <c r="K11" s="90"/>
      <c r="L11" s="90"/>
      <c r="M11" s="90"/>
      <c r="N11" s="90"/>
      <c r="O11" s="90"/>
      <c r="P11" s="90"/>
    </row>
    <row r="12" spans="2:16" x14ac:dyDescent="0.35">
      <c r="B12" s="90"/>
      <c r="C12" s="90"/>
      <c r="D12" s="90"/>
      <c r="E12" s="90"/>
      <c r="F12" s="90"/>
      <c r="G12" s="90"/>
      <c r="H12" s="90"/>
      <c r="I12" s="90"/>
      <c r="J12" s="90"/>
      <c r="K12" s="90"/>
      <c r="L12" s="90"/>
      <c r="M12" s="90"/>
      <c r="N12" s="90"/>
      <c r="O12" s="90"/>
      <c r="P12" s="90"/>
    </row>
    <row r="13" spans="2:16" x14ac:dyDescent="0.35">
      <c r="B13" s="90"/>
      <c r="C13" s="90"/>
      <c r="D13" s="90"/>
      <c r="E13" s="90"/>
      <c r="F13" s="90"/>
      <c r="G13" s="90"/>
      <c r="H13" s="90"/>
      <c r="I13" s="90"/>
      <c r="J13" s="90"/>
      <c r="K13" s="90"/>
      <c r="L13" s="90"/>
      <c r="M13" s="90"/>
      <c r="N13" s="90"/>
      <c r="O13" s="90"/>
      <c r="P13" s="90"/>
    </row>
    <row r="14" spans="2:16" x14ac:dyDescent="0.35">
      <c r="B14" s="90"/>
      <c r="C14" s="90"/>
      <c r="D14" s="90"/>
      <c r="E14" s="90"/>
      <c r="F14" s="90"/>
      <c r="G14" s="90"/>
      <c r="H14" s="90"/>
      <c r="I14" s="90"/>
      <c r="J14" s="90"/>
      <c r="K14" s="90"/>
      <c r="L14" s="90"/>
      <c r="M14" s="90"/>
      <c r="N14" s="90"/>
      <c r="O14" s="90"/>
      <c r="P14" s="90"/>
    </row>
    <row r="15" spans="2:16" x14ac:dyDescent="0.35">
      <c r="B15" s="90"/>
      <c r="C15" s="90"/>
      <c r="D15" s="90"/>
      <c r="E15" s="90"/>
      <c r="F15" s="90"/>
      <c r="G15" s="90"/>
      <c r="H15" s="90"/>
      <c r="I15" s="90"/>
      <c r="J15" s="90"/>
      <c r="K15" s="90"/>
      <c r="L15" s="90"/>
      <c r="M15" s="90"/>
      <c r="N15" s="90"/>
      <c r="O15" s="90"/>
      <c r="P15" s="90"/>
    </row>
    <row r="16" spans="2:16" x14ac:dyDescent="0.35">
      <c r="B16" s="90"/>
      <c r="C16" s="90"/>
      <c r="D16" s="90"/>
      <c r="E16" s="90"/>
      <c r="F16" s="90"/>
      <c r="G16" s="90"/>
      <c r="H16" s="90"/>
      <c r="I16" s="90"/>
      <c r="J16" s="90"/>
      <c r="K16" s="90"/>
      <c r="L16" s="90"/>
      <c r="M16" s="90"/>
      <c r="N16" s="90"/>
      <c r="O16" s="90"/>
      <c r="P16" s="90"/>
    </row>
    <row r="17" spans="2:16" x14ac:dyDescent="0.35">
      <c r="B17" s="90"/>
      <c r="C17" s="90"/>
      <c r="D17" s="90"/>
      <c r="E17" s="90"/>
      <c r="F17" s="90"/>
      <c r="G17" s="90"/>
      <c r="H17" s="90"/>
      <c r="I17" s="90"/>
      <c r="J17" s="90"/>
      <c r="K17" s="90"/>
      <c r="L17" s="90"/>
      <c r="M17" s="90"/>
      <c r="N17" s="90"/>
      <c r="O17" s="90"/>
      <c r="P17" s="90"/>
    </row>
    <row r="18" spans="2:16" x14ac:dyDescent="0.35">
      <c r="B18" s="90"/>
      <c r="C18" s="90"/>
      <c r="D18" s="90"/>
      <c r="E18" s="90"/>
      <c r="F18" s="90"/>
      <c r="G18" s="90"/>
      <c r="H18" s="90"/>
      <c r="I18" s="90"/>
      <c r="J18" s="90"/>
      <c r="K18" s="90"/>
      <c r="L18" s="90"/>
      <c r="M18" s="90"/>
      <c r="N18" s="90"/>
      <c r="O18" s="90"/>
      <c r="P18" s="90"/>
    </row>
    <row r="19" spans="2:16" x14ac:dyDescent="0.35">
      <c r="B19" s="90"/>
      <c r="C19" s="90"/>
      <c r="D19" s="90"/>
      <c r="E19" s="90"/>
      <c r="F19" s="90"/>
      <c r="G19" s="90"/>
      <c r="H19" s="90"/>
      <c r="I19" s="90"/>
      <c r="J19" s="90"/>
      <c r="K19" s="90"/>
      <c r="L19" s="90"/>
      <c r="M19" s="90"/>
      <c r="N19" s="90"/>
      <c r="O19" s="90"/>
      <c r="P19" s="90"/>
    </row>
    <row r="20" spans="2:16" x14ac:dyDescent="0.35">
      <c r="B20" s="90"/>
      <c r="C20" s="90"/>
      <c r="D20" s="90"/>
      <c r="E20" s="90"/>
      <c r="F20" s="90"/>
      <c r="G20" s="90"/>
      <c r="H20" s="90"/>
      <c r="I20" s="90"/>
      <c r="J20" s="90"/>
      <c r="K20" s="90"/>
      <c r="L20" s="90"/>
      <c r="M20" s="90"/>
      <c r="N20" s="90"/>
      <c r="O20" s="90"/>
      <c r="P20" s="90"/>
    </row>
    <row r="21" spans="2:16" x14ac:dyDescent="0.35">
      <c r="B21" s="90"/>
      <c r="C21" s="90"/>
      <c r="D21" s="90"/>
      <c r="E21" s="90"/>
      <c r="F21" s="90"/>
      <c r="G21" s="90"/>
      <c r="H21" s="90"/>
      <c r="I21" s="90"/>
      <c r="J21" s="90"/>
      <c r="K21" s="90"/>
      <c r="L21" s="90"/>
      <c r="M21" s="90"/>
      <c r="N21" s="90"/>
      <c r="O21" s="90"/>
      <c r="P21" s="90"/>
    </row>
    <row r="22" spans="2:16" x14ac:dyDescent="0.35">
      <c r="B22" s="90"/>
      <c r="C22" s="90"/>
      <c r="D22" s="90"/>
      <c r="E22" s="90"/>
      <c r="F22" s="90"/>
      <c r="G22" s="90"/>
      <c r="H22" s="90"/>
      <c r="I22" s="90"/>
      <c r="J22" s="90"/>
      <c r="K22" s="90"/>
      <c r="L22" s="90"/>
      <c r="M22" s="90"/>
      <c r="N22" s="90"/>
      <c r="O22" s="90"/>
      <c r="P22" s="90"/>
    </row>
    <row r="23" spans="2:16" x14ac:dyDescent="0.35">
      <c r="B23" s="90"/>
      <c r="C23" s="90"/>
      <c r="D23" s="90"/>
      <c r="E23" s="90"/>
      <c r="F23" s="90"/>
      <c r="G23" s="90"/>
      <c r="H23" s="90"/>
      <c r="I23" s="90"/>
      <c r="J23" s="90"/>
      <c r="K23" s="90"/>
      <c r="L23" s="90"/>
      <c r="M23" s="90"/>
      <c r="N23" s="90"/>
      <c r="O23" s="90"/>
      <c r="P23" s="90"/>
    </row>
    <row r="24" spans="2:16" x14ac:dyDescent="0.35">
      <c r="B24" s="90"/>
      <c r="C24" s="90"/>
      <c r="D24" s="90"/>
      <c r="E24" s="90"/>
      <c r="F24" s="90"/>
      <c r="G24" s="90"/>
      <c r="H24" s="90"/>
      <c r="I24" s="90"/>
      <c r="J24" s="90"/>
      <c r="K24" s="90"/>
      <c r="L24" s="90"/>
      <c r="M24" s="90"/>
      <c r="N24" s="90"/>
      <c r="O24" s="90"/>
      <c r="P24" s="90"/>
    </row>
    <row r="25" spans="2:16" x14ac:dyDescent="0.35">
      <c r="B25" s="90"/>
      <c r="C25" s="90"/>
      <c r="D25" s="90"/>
      <c r="E25" s="90"/>
      <c r="F25" s="90"/>
      <c r="G25" s="90"/>
      <c r="H25" s="90"/>
      <c r="I25" s="90"/>
      <c r="J25" s="90"/>
      <c r="K25" s="90"/>
      <c r="L25" s="90"/>
      <c r="M25" s="90"/>
      <c r="N25" s="90"/>
      <c r="O25" s="90"/>
      <c r="P25" s="90"/>
    </row>
    <row r="26" spans="2:16" x14ac:dyDescent="0.35">
      <c r="B26" s="90"/>
      <c r="C26" s="90"/>
      <c r="D26" s="90"/>
      <c r="E26" s="90"/>
      <c r="F26" s="90"/>
      <c r="G26" s="90"/>
      <c r="H26" s="90"/>
      <c r="I26" s="90"/>
      <c r="J26" s="90"/>
      <c r="K26" s="90"/>
      <c r="L26" s="90"/>
      <c r="M26" s="90"/>
      <c r="N26" s="90"/>
      <c r="O26" s="90"/>
      <c r="P26" s="90"/>
    </row>
    <row r="27" spans="2:16" x14ac:dyDescent="0.35">
      <c r="B27" s="90"/>
      <c r="C27" s="90"/>
      <c r="D27" s="90"/>
      <c r="E27" s="90"/>
      <c r="F27" s="90"/>
      <c r="G27" s="90"/>
      <c r="H27" s="90"/>
      <c r="I27" s="90"/>
      <c r="J27" s="90"/>
      <c r="K27" s="90"/>
      <c r="L27" s="90"/>
      <c r="M27" s="90"/>
      <c r="N27" s="90"/>
      <c r="O27" s="90"/>
      <c r="P27" s="90"/>
    </row>
    <row r="28" spans="2:16" x14ac:dyDescent="0.35">
      <c r="B28" s="90"/>
      <c r="C28" s="90"/>
      <c r="D28" s="90"/>
      <c r="E28" s="90"/>
      <c r="F28" s="90"/>
      <c r="G28" s="90"/>
      <c r="H28" s="90"/>
      <c r="I28" s="90"/>
      <c r="J28" s="90"/>
      <c r="K28" s="90"/>
      <c r="L28" s="90"/>
      <c r="M28" s="90"/>
      <c r="N28" s="90"/>
      <c r="O28" s="90"/>
      <c r="P28" s="90"/>
    </row>
    <row r="29" spans="2:16" x14ac:dyDescent="0.35">
      <c r="B29" s="90"/>
      <c r="C29" s="90"/>
      <c r="D29" s="90"/>
      <c r="E29" s="90"/>
      <c r="F29" s="90"/>
      <c r="G29" s="90"/>
      <c r="H29" s="90"/>
      <c r="I29" s="90"/>
      <c r="J29" s="90"/>
      <c r="K29" s="90"/>
      <c r="L29" s="90"/>
      <c r="M29" s="90"/>
      <c r="N29" s="90"/>
      <c r="O29" s="90"/>
      <c r="P29" s="90"/>
    </row>
    <row r="30" spans="2:16" x14ac:dyDescent="0.35">
      <c r="B30" s="90"/>
      <c r="C30" s="90"/>
      <c r="D30" s="90"/>
      <c r="E30" s="90"/>
      <c r="F30" s="90"/>
      <c r="G30" s="90"/>
      <c r="H30" s="90"/>
      <c r="I30" s="90"/>
      <c r="J30" s="90"/>
      <c r="K30" s="90"/>
      <c r="L30" s="90"/>
      <c r="M30" s="90"/>
      <c r="N30" s="90"/>
      <c r="O30" s="90"/>
      <c r="P30" s="90"/>
    </row>
    <row r="31" spans="2:16" x14ac:dyDescent="0.35">
      <c r="B31" s="90"/>
      <c r="C31" s="90"/>
      <c r="D31" s="90"/>
      <c r="E31" s="90"/>
      <c r="F31" s="90"/>
      <c r="G31" s="90"/>
      <c r="H31" s="90"/>
      <c r="I31" s="90"/>
      <c r="J31" s="90"/>
      <c r="K31" s="90"/>
      <c r="L31" s="90"/>
      <c r="M31" s="90"/>
      <c r="N31" s="90"/>
      <c r="O31" s="90"/>
      <c r="P31" s="90"/>
    </row>
    <row r="32" spans="2:16" x14ac:dyDescent="0.35">
      <c r="B32" s="90"/>
      <c r="C32" s="90"/>
      <c r="D32" s="90"/>
      <c r="E32" s="90"/>
      <c r="F32" s="90"/>
      <c r="G32" s="90"/>
      <c r="H32" s="90"/>
      <c r="I32" s="90"/>
      <c r="J32" s="90"/>
      <c r="K32" s="90"/>
      <c r="L32" s="90"/>
      <c r="M32" s="90"/>
      <c r="N32" s="90"/>
      <c r="O32" s="90"/>
      <c r="P32" s="90"/>
    </row>
    <row r="33" spans="2:16" x14ac:dyDescent="0.35">
      <c r="B33" s="90"/>
      <c r="C33" s="90"/>
      <c r="D33" s="90"/>
      <c r="E33" s="90"/>
      <c r="F33" s="90"/>
      <c r="G33" s="90"/>
      <c r="H33" s="90"/>
      <c r="I33" s="90"/>
      <c r="J33" s="90"/>
      <c r="K33" s="90"/>
      <c r="L33" s="90"/>
      <c r="M33" s="90"/>
      <c r="N33" s="90"/>
      <c r="O33" s="90"/>
      <c r="P33" s="90"/>
    </row>
    <row r="34" spans="2:16" x14ac:dyDescent="0.35">
      <c r="B34" s="90"/>
      <c r="C34" s="90"/>
      <c r="D34" s="90"/>
      <c r="E34" s="90"/>
      <c r="F34" s="90"/>
      <c r="G34" s="90"/>
      <c r="H34" s="90"/>
      <c r="I34" s="90"/>
      <c r="J34" s="90"/>
      <c r="K34" s="90"/>
      <c r="L34" s="90"/>
      <c r="M34" s="90"/>
      <c r="N34" s="90"/>
      <c r="O34" s="90"/>
      <c r="P34" s="90"/>
    </row>
    <row r="35" spans="2:16" x14ac:dyDescent="0.35">
      <c r="B35" s="90"/>
      <c r="C35" s="90"/>
      <c r="D35" s="90"/>
      <c r="E35" s="90"/>
      <c r="F35" s="90"/>
      <c r="G35" s="90"/>
      <c r="H35" s="90"/>
      <c r="I35" s="90"/>
      <c r="J35" s="90"/>
      <c r="K35" s="90"/>
      <c r="L35" s="90"/>
      <c r="M35" s="90"/>
      <c r="N35" s="90"/>
      <c r="O35" s="90"/>
      <c r="P35" s="90"/>
    </row>
    <row r="36" spans="2:16" x14ac:dyDescent="0.35">
      <c r="B36" s="90"/>
      <c r="C36" s="90"/>
      <c r="D36" s="90"/>
      <c r="E36" s="90"/>
      <c r="F36" s="90"/>
      <c r="G36" s="90"/>
      <c r="H36" s="90"/>
      <c r="I36" s="90"/>
      <c r="J36" s="90"/>
      <c r="K36" s="90"/>
      <c r="L36" s="90"/>
      <c r="M36" s="90"/>
      <c r="N36" s="90"/>
      <c r="O36" s="90"/>
      <c r="P36" s="90"/>
    </row>
    <row r="37" spans="2:16" x14ac:dyDescent="0.35">
      <c r="B37" s="90"/>
      <c r="C37" s="90"/>
      <c r="D37" s="90"/>
      <c r="E37" s="90"/>
      <c r="F37" s="90"/>
      <c r="G37" s="90"/>
      <c r="H37" s="90"/>
      <c r="I37" s="90"/>
      <c r="J37" s="90"/>
      <c r="K37" s="90"/>
      <c r="L37" s="90"/>
      <c r="M37" s="90"/>
      <c r="N37" s="90"/>
      <c r="O37" s="90"/>
      <c r="P37" s="90"/>
    </row>
    <row r="38" spans="2:16" x14ac:dyDescent="0.35">
      <c r="B38" s="90"/>
      <c r="C38" s="90"/>
      <c r="D38" s="90"/>
      <c r="E38" s="90"/>
      <c r="F38" s="90"/>
      <c r="G38" s="90"/>
      <c r="H38" s="90"/>
      <c r="I38" s="90"/>
      <c r="J38" s="90"/>
      <c r="K38" s="90"/>
      <c r="L38" s="90"/>
      <c r="M38" s="90"/>
      <c r="N38" s="90"/>
      <c r="O38" s="90"/>
      <c r="P38" s="90"/>
    </row>
    <row r="39" spans="2:16" x14ac:dyDescent="0.35">
      <c r="B39" s="90"/>
      <c r="C39" s="90"/>
      <c r="D39" s="90"/>
      <c r="E39" s="90"/>
      <c r="F39" s="90"/>
      <c r="G39" s="90"/>
      <c r="H39" s="90"/>
      <c r="I39" s="90"/>
      <c r="J39" s="90"/>
      <c r="K39" s="90"/>
      <c r="L39" s="90"/>
      <c r="M39" s="90"/>
      <c r="N39" s="90"/>
      <c r="O39" s="90"/>
      <c r="P39" s="90"/>
    </row>
    <row r="40" spans="2:16" x14ac:dyDescent="0.35">
      <c r="B40" s="90"/>
      <c r="C40" s="90"/>
      <c r="D40" s="90"/>
      <c r="E40" s="90"/>
      <c r="F40" s="90"/>
      <c r="G40" s="90"/>
      <c r="H40" s="90"/>
      <c r="I40" s="90"/>
      <c r="J40" s="90"/>
      <c r="K40" s="90"/>
      <c r="L40" s="90"/>
      <c r="M40" s="90"/>
      <c r="N40" s="90"/>
      <c r="O40" s="90"/>
      <c r="P40" s="90"/>
    </row>
    <row r="41" spans="2:16" x14ac:dyDescent="0.35">
      <c r="B41" s="90"/>
      <c r="C41" s="90"/>
      <c r="D41" s="90"/>
      <c r="E41" s="90"/>
      <c r="F41" s="90"/>
      <c r="G41" s="90"/>
      <c r="H41" s="90"/>
      <c r="I41" s="90"/>
      <c r="J41" s="90"/>
      <c r="K41" s="90"/>
      <c r="L41" s="90"/>
      <c r="M41" s="90"/>
      <c r="N41" s="90"/>
      <c r="O41" s="90"/>
      <c r="P41" s="90"/>
    </row>
    <row r="42" spans="2:16" x14ac:dyDescent="0.35">
      <c r="B42" s="90"/>
      <c r="C42" s="90"/>
      <c r="D42" s="90"/>
      <c r="E42" s="90"/>
      <c r="F42" s="90"/>
      <c r="G42" s="90"/>
      <c r="H42" s="90"/>
      <c r="I42" s="90"/>
      <c r="J42" s="90"/>
      <c r="K42" s="90"/>
      <c r="L42" s="90"/>
      <c r="M42" s="90"/>
      <c r="N42" s="90"/>
      <c r="O42" s="90"/>
      <c r="P42" s="90"/>
    </row>
    <row r="43" spans="2:16" x14ac:dyDescent="0.35">
      <c r="B43" s="90"/>
      <c r="C43" s="90"/>
      <c r="D43" s="90"/>
      <c r="E43" s="90"/>
      <c r="F43" s="90"/>
      <c r="G43" s="90"/>
      <c r="H43" s="90"/>
      <c r="I43" s="90"/>
      <c r="J43" s="90"/>
      <c r="K43" s="90"/>
      <c r="L43" s="90"/>
      <c r="M43" s="90"/>
      <c r="N43" s="90"/>
      <c r="O43" s="90"/>
      <c r="P43" s="90"/>
    </row>
    <row r="44" spans="2:16" x14ac:dyDescent="0.35">
      <c r="B44" s="90"/>
      <c r="C44" s="90"/>
      <c r="D44" s="90"/>
      <c r="E44" s="90"/>
      <c r="F44" s="90"/>
      <c r="G44" s="90"/>
      <c r="H44" s="90"/>
      <c r="I44" s="90"/>
      <c r="J44" s="90"/>
      <c r="K44" s="90"/>
      <c r="L44" s="90"/>
      <c r="M44" s="90"/>
      <c r="N44" s="90"/>
      <c r="O44" s="90"/>
      <c r="P44" s="90"/>
    </row>
    <row r="45" spans="2:16" x14ac:dyDescent="0.35">
      <c r="B45" s="90"/>
      <c r="C45" s="90"/>
      <c r="D45" s="90"/>
      <c r="E45" s="90"/>
      <c r="F45" s="90"/>
      <c r="G45" s="90"/>
      <c r="H45" s="90"/>
      <c r="I45" s="90"/>
      <c r="J45" s="90"/>
      <c r="K45" s="90"/>
      <c r="L45" s="90"/>
      <c r="M45" s="90"/>
      <c r="N45" s="90"/>
      <c r="O45" s="90"/>
      <c r="P45" s="90"/>
    </row>
    <row r="46" spans="2:16" x14ac:dyDescent="0.35">
      <c r="B46" s="90"/>
      <c r="C46" s="90"/>
      <c r="D46" s="90"/>
      <c r="E46" s="90"/>
      <c r="F46" s="90"/>
      <c r="G46" s="90"/>
      <c r="H46" s="90"/>
      <c r="I46" s="90"/>
      <c r="J46" s="90"/>
      <c r="K46" s="90"/>
      <c r="L46" s="90"/>
      <c r="M46" s="90"/>
      <c r="N46" s="90"/>
      <c r="O46" s="90"/>
      <c r="P46" s="90"/>
    </row>
    <row r="47" spans="2:16" x14ac:dyDescent="0.35">
      <c r="B47" s="90"/>
      <c r="C47" s="90"/>
      <c r="D47" s="90"/>
      <c r="E47" s="90"/>
      <c r="F47" s="90"/>
      <c r="G47" s="90"/>
      <c r="H47" s="90"/>
      <c r="I47" s="90"/>
      <c r="J47" s="90"/>
      <c r="K47" s="90"/>
      <c r="L47" s="90"/>
      <c r="M47" s="90"/>
      <c r="N47" s="90"/>
      <c r="O47" s="90"/>
      <c r="P47" s="90"/>
    </row>
    <row r="48" spans="2:16" x14ac:dyDescent="0.35">
      <c r="B48" s="90"/>
      <c r="C48" s="90"/>
      <c r="D48" s="90"/>
      <c r="E48" s="90"/>
      <c r="F48" s="90"/>
      <c r="G48" s="90"/>
      <c r="H48" s="90"/>
      <c r="I48" s="90"/>
      <c r="J48" s="90"/>
      <c r="K48" s="90"/>
      <c r="L48" s="90"/>
      <c r="M48" s="90"/>
      <c r="N48" s="90"/>
      <c r="O48" s="90"/>
      <c r="P48" s="90"/>
    </row>
    <row r="49" spans="2:16" x14ac:dyDescent="0.35">
      <c r="B49" s="90"/>
      <c r="C49" s="90"/>
      <c r="D49" s="90"/>
      <c r="E49" s="90"/>
      <c r="F49" s="90"/>
      <c r="G49" s="90"/>
      <c r="H49" s="90"/>
      <c r="I49" s="90"/>
      <c r="J49" s="90"/>
      <c r="K49" s="90"/>
      <c r="L49" s="90"/>
      <c r="M49" s="90"/>
      <c r="N49" s="90"/>
      <c r="O49" s="90"/>
      <c r="P49" s="90"/>
    </row>
    <row r="50" spans="2:16" x14ac:dyDescent="0.35">
      <c r="B50" s="90"/>
      <c r="C50" s="90"/>
      <c r="D50" s="90"/>
      <c r="E50" s="90"/>
      <c r="F50" s="90"/>
      <c r="G50" s="90"/>
      <c r="H50" s="90"/>
      <c r="I50" s="90"/>
      <c r="J50" s="90"/>
      <c r="K50" s="90"/>
      <c r="L50" s="90"/>
      <c r="M50" s="90"/>
      <c r="N50" s="90"/>
      <c r="O50" s="90"/>
      <c r="P50" s="90"/>
    </row>
    <row r="51" spans="2:16" x14ac:dyDescent="0.35">
      <c r="B51" s="90"/>
      <c r="C51" s="90"/>
      <c r="D51" s="90"/>
      <c r="E51" s="90"/>
      <c r="F51" s="90"/>
      <c r="G51" s="90"/>
      <c r="H51" s="90"/>
      <c r="I51" s="90"/>
      <c r="J51" s="90"/>
      <c r="K51" s="90"/>
      <c r="L51" s="90"/>
      <c r="M51" s="90"/>
      <c r="N51" s="90"/>
      <c r="O51" s="90"/>
      <c r="P51" s="90"/>
    </row>
    <row r="52" spans="2:16" x14ac:dyDescent="0.35">
      <c r="B52" s="90"/>
      <c r="C52" s="90"/>
      <c r="D52" s="90"/>
      <c r="E52" s="90"/>
      <c r="F52" s="90"/>
      <c r="G52" s="90"/>
      <c r="H52" s="90"/>
      <c r="I52" s="90"/>
      <c r="J52" s="90"/>
      <c r="K52" s="90"/>
      <c r="L52" s="90"/>
      <c r="M52" s="90"/>
      <c r="N52" s="90"/>
      <c r="O52" s="90"/>
      <c r="P52" s="90"/>
    </row>
    <row r="53" spans="2:16" x14ac:dyDescent="0.35">
      <c r="B53" s="90"/>
      <c r="C53" s="90"/>
      <c r="D53" s="90"/>
      <c r="E53" s="90"/>
      <c r="F53" s="90"/>
      <c r="G53" s="90"/>
      <c r="H53" s="90"/>
      <c r="I53" s="90"/>
      <c r="J53" s="90"/>
      <c r="K53" s="90"/>
      <c r="L53" s="90"/>
      <c r="M53" s="90"/>
      <c r="N53" s="90"/>
      <c r="O53" s="90"/>
      <c r="P53" s="90"/>
    </row>
    <row r="54" spans="2:16" x14ac:dyDescent="0.35">
      <c r="B54" s="90"/>
      <c r="C54" s="90"/>
      <c r="D54" s="90"/>
      <c r="E54" s="90"/>
      <c r="F54" s="90"/>
      <c r="G54" s="90"/>
      <c r="H54" s="90"/>
      <c r="I54" s="90"/>
      <c r="J54" s="90"/>
      <c r="K54" s="90"/>
      <c r="L54" s="90"/>
      <c r="M54" s="90"/>
      <c r="N54" s="90"/>
      <c r="O54" s="90"/>
      <c r="P54" s="90"/>
    </row>
    <row r="55" spans="2:16" x14ac:dyDescent="0.35">
      <c r="B55" s="90"/>
      <c r="C55" s="90"/>
      <c r="D55" s="90"/>
      <c r="E55" s="90"/>
      <c r="F55" s="90"/>
      <c r="G55" s="90"/>
      <c r="H55" s="90"/>
      <c r="I55" s="90"/>
      <c r="J55" s="90"/>
      <c r="K55" s="90"/>
      <c r="L55" s="90"/>
      <c r="M55" s="90"/>
      <c r="N55" s="90"/>
      <c r="O55" s="90"/>
      <c r="P55" s="90"/>
    </row>
    <row r="56" spans="2:16" x14ac:dyDescent="0.35">
      <c r="B56" s="90"/>
      <c r="C56" s="90"/>
      <c r="D56" s="90"/>
      <c r="E56" s="90"/>
      <c r="F56" s="90"/>
      <c r="G56" s="90"/>
      <c r="H56" s="90"/>
      <c r="I56" s="90"/>
      <c r="J56" s="90"/>
      <c r="K56" s="90"/>
      <c r="L56" s="90"/>
      <c r="M56" s="90"/>
      <c r="N56" s="90"/>
      <c r="O56" s="90"/>
      <c r="P56" s="90"/>
    </row>
    <row r="57" spans="2:16" x14ac:dyDescent="0.35">
      <c r="B57" s="90"/>
      <c r="C57" s="90"/>
      <c r="D57" s="90"/>
      <c r="E57" s="90"/>
      <c r="F57" s="90"/>
      <c r="G57" s="90"/>
      <c r="H57" s="90"/>
      <c r="I57" s="90"/>
      <c r="J57" s="90"/>
      <c r="K57" s="90"/>
      <c r="L57" s="90"/>
      <c r="M57" s="90"/>
      <c r="N57" s="90"/>
      <c r="O57" s="90"/>
      <c r="P57" s="90"/>
    </row>
    <row r="58" spans="2:16" x14ac:dyDescent="0.35">
      <c r="B58" s="90"/>
      <c r="C58" s="90"/>
      <c r="D58" s="90"/>
      <c r="E58" s="90"/>
      <c r="F58" s="90"/>
      <c r="G58" s="90"/>
      <c r="H58" s="90"/>
      <c r="I58" s="90"/>
      <c r="J58" s="90"/>
      <c r="K58" s="90"/>
      <c r="L58" s="90"/>
      <c r="M58" s="90"/>
      <c r="N58" s="90"/>
      <c r="O58" s="90"/>
      <c r="P58" s="90"/>
    </row>
    <row r="59" spans="2:16" x14ac:dyDescent="0.35">
      <c r="B59" s="90"/>
      <c r="C59" s="90"/>
      <c r="D59" s="90"/>
      <c r="E59" s="90"/>
      <c r="F59" s="90"/>
      <c r="G59" s="90"/>
      <c r="H59" s="90"/>
      <c r="I59" s="90"/>
      <c r="J59" s="90"/>
      <c r="K59" s="90"/>
      <c r="L59" s="90"/>
      <c r="M59" s="90"/>
      <c r="N59" s="90"/>
      <c r="O59" s="90"/>
      <c r="P59" s="90"/>
    </row>
    <row r="60" spans="2:16" x14ac:dyDescent="0.35">
      <c r="B60" s="90"/>
      <c r="C60" s="90"/>
      <c r="D60" s="90"/>
      <c r="E60" s="90"/>
      <c r="F60" s="90"/>
      <c r="G60" s="90"/>
      <c r="H60" s="90"/>
      <c r="I60" s="90"/>
      <c r="J60" s="90"/>
      <c r="K60" s="90"/>
      <c r="L60" s="90"/>
      <c r="M60" s="90"/>
      <c r="N60" s="90"/>
      <c r="O60" s="90"/>
      <c r="P60" s="90"/>
    </row>
    <row r="61" spans="2:16" x14ac:dyDescent="0.35">
      <c r="B61" s="90"/>
      <c r="C61" s="90"/>
      <c r="D61" s="90"/>
      <c r="E61" s="90"/>
      <c r="F61" s="90"/>
      <c r="G61" s="90"/>
      <c r="H61" s="90"/>
      <c r="I61" s="90"/>
      <c r="J61" s="90"/>
      <c r="K61" s="90"/>
      <c r="L61" s="90"/>
      <c r="M61" s="90"/>
      <c r="N61" s="90"/>
      <c r="O61" s="90"/>
      <c r="P61" s="90"/>
    </row>
    <row r="62" spans="2:16" x14ac:dyDescent="0.35">
      <c r="B62" s="90"/>
      <c r="C62" s="90"/>
      <c r="D62" s="90"/>
      <c r="E62" s="90"/>
      <c r="F62" s="90"/>
      <c r="G62" s="90"/>
      <c r="H62" s="90"/>
      <c r="I62" s="90"/>
      <c r="J62" s="90"/>
      <c r="K62" s="90"/>
      <c r="L62" s="90"/>
      <c r="M62" s="90"/>
      <c r="N62" s="90"/>
      <c r="O62" s="90"/>
      <c r="P62" s="90"/>
    </row>
    <row r="63" spans="2:16" x14ac:dyDescent="0.35">
      <c r="B63" s="90"/>
      <c r="C63" s="90"/>
      <c r="D63" s="90"/>
      <c r="E63" s="90"/>
      <c r="F63" s="90"/>
      <c r="G63" s="90"/>
      <c r="H63" s="90"/>
      <c r="I63" s="90"/>
      <c r="J63" s="90"/>
      <c r="K63" s="90"/>
      <c r="L63" s="90"/>
      <c r="M63" s="90"/>
      <c r="N63" s="90"/>
      <c r="O63" s="90"/>
      <c r="P63" s="90"/>
    </row>
    <row r="64" spans="2:16" x14ac:dyDescent="0.35">
      <c r="B64" s="90"/>
      <c r="C64" s="90"/>
      <c r="D64" s="90"/>
      <c r="E64" s="90"/>
      <c r="F64" s="90"/>
      <c r="G64" s="90"/>
      <c r="H64" s="90"/>
      <c r="I64" s="90"/>
      <c r="J64" s="90"/>
      <c r="K64" s="90"/>
      <c r="L64" s="90"/>
      <c r="M64" s="90"/>
      <c r="N64" s="90"/>
      <c r="O64" s="90"/>
      <c r="P64" s="90"/>
    </row>
    <row r="65" spans="2:16" x14ac:dyDescent="0.35">
      <c r="B65" s="90"/>
      <c r="C65" s="90"/>
      <c r="D65" s="90"/>
      <c r="E65" s="90"/>
      <c r="F65" s="90"/>
      <c r="G65" s="90"/>
      <c r="H65" s="90"/>
      <c r="I65" s="90"/>
      <c r="J65" s="90"/>
      <c r="K65" s="90"/>
      <c r="L65" s="90"/>
      <c r="M65" s="90"/>
      <c r="N65" s="90"/>
      <c r="O65" s="90"/>
      <c r="P65" s="90"/>
    </row>
    <row r="66" spans="2:16" x14ac:dyDescent="0.35">
      <c r="B66" s="90"/>
      <c r="C66" s="90"/>
      <c r="D66" s="90"/>
      <c r="E66" s="90"/>
      <c r="F66" s="90"/>
      <c r="G66" s="90"/>
      <c r="H66" s="90"/>
      <c r="I66" s="90"/>
      <c r="J66" s="90"/>
      <c r="K66" s="90"/>
      <c r="L66" s="90"/>
      <c r="M66" s="90"/>
      <c r="N66" s="90"/>
      <c r="O66" s="90"/>
      <c r="P66" s="90"/>
    </row>
    <row r="67" spans="2:16" x14ac:dyDescent="0.35">
      <c r="B67" s="90"/>
      <c r="C67" s="90"/>
      <c r="D67" s="90"/>
      <c r="E67" s="90"/>
      <c r="F67" s="90"/>
      <c r="G67" s="90"/>
      <c r="H67" s="90"/>
      <c r="I67" s="90"/>
      <c r="J67" s="90"/>
      <c r="K67" s="90"/>
      <c r="L67" s="90"/>
      <c r="M67" s="90"/>
      <c r="N67" s="90"/>
      <c r="O67" s="90"/>
      <c r="P67" s="90"/>
    </row>
    <row r="68" spans="2:16" x14ac:dyDescent="0.35">
      <c r="B68" s="90"/>
      <c r="C68" s="90"/>
      <c r="D68" s="90"/>
      <c r="E68" s="90"/>
      <c r="F68" s="90"/>
      <c r="G68" s="90"/>
      <c r="H68" s="90"/>
      <c r="I68" s="90"/>
      <c r="J68" s="90"/>
      <c r="K68" s="90"/>
      <c r="L68" s="90"/>
      <c r="M68" s="90"/>
      <c r="N68" s="90"/>
      <c r="O68" s="90"/>
      <c r="P68" s="90"/>
    </row>
    <row r="69" spans="2:16" x14ac:dyDescent="0.35">
      <c r="B69" s="90"/>
      <c r="C69" s="90"/>
      <c r="D69" s="90"/>
      <c r="E69" s="90"/>
      <c r="F69" s="90"/>
      <c r="G69" s="90"/>
      <c r="H69" s="90"/>
      <c r="I69" s="90"/>
      <c r="J69" s="90"/>
      <c r="K69" s="90"/>
      <c r="L69" s="90"/>
      <c r="M69" s="90"/>
      <c r="N69" s="90"/>
      <c r="O69" s="90"/>
      <c r="P69" s="90"/>
    </row>
    <row r="70" spans="2:16" x14ac:dyDescent="0.35">
      <c r="B70" s="90"/>
      <c r="C70" s="90"/>
      <c r="D70" s="90"/>
      <c r="E70" s="90"/>
      <c r="F70" s="90"/>
      <c r="G70" s="90"/>
      <c r="H70" s="90"/>
      <c r="I70" s="90"/>
      <c r="J70" s="90"/>
      <c r="K70" s="90"/>
      <c r="L70" s="90"/>
      <c r="M70" s="90"/>
      <c r="N70" s="90"/>
      <c r="O70" s="90"/>
      <c r="P70" s="90"/>
    </row>
    <row r="71" spans="2:16" x14ac:dyDescent="0.35">
      <c r="B71" s="90"/>
      <c r="C71" s="90"/>
      <c r="D71" s="90"/>
      <c r="E71" s="90"/>
      <c r="F71" s="90"/>
      <c r="G71" s="90"/>
      <c r="H71" s="90"/>
      <c r="I71" s="90"/>
      <c r="J71" s="90"/>
      <c r="K71" s="90"/>
      <c r="L71" s="90"/>
      <c r="M71" s="90"/>
      <c r="N71" s="90"/>
      <c r="O71" s="90"/>
      <c r="P71" s="90"/>
    </row>
    <row r="72" spans="2:16" x14ac:dyDescent="0.35">
      <c r="B72" s="90"/>
      <c r="C72" s="90"/>
      <c r="D72" s="90"/>
      <c r="E72" s="90"/>
      <c r="F72" s="90"/>
      <c r="G72" s="90"/>
      <c r="H72" s="90"/>
      <c r="I72" s="90"/>
      <c r="J72" s="90"/>
      <c r="K72" s="90"/>
      <c r="L72" s="90"/>
      <c r="M72" s="90"/>
      <c r="N72" s="90"/>
      <c r="O72" s="90"/>
      <c r="P72" s="90"/>
    </row>
    <row r="73" spans="2:16" x14ac:dyDescent="0.35">
      <c r="B73" s="90"/>
      <c r="C73" s="90"/>
      <c r="D73" s="90"/>
      <c r="E73" s="90"/>
      <c r="F73" s="90"/>
      <c r="G73" s="90"/>
      <c r="H73" s="90"/>
      <c r="I73" s="90"/>
      <c r="J73" s="90"/>
      <c r="K73" s="90"/>
      <c r="L73" s="90"/>
      <c r="M73" s="90"/>
      <c r="N73" s="90"/>
      <c r="O73" s="90"/>
      <c r="P73" s="90"/>
    </row>
    <row r="74" spans="2:16" x14ac:dyDescent="0.35">
      <c r="B74" s="90"/>
      <c r="C74" s="90"/>
      <c r="D74" s="90"/>
      <c r="E74" s="90"/>
      <c r="F74" s="90"/>
      <c r="G74" s="90"/>
      <c r="H74" s="90"/>
      <c r="I74" s="90"/>
      <c r="J74" s="90"/>
      <c r="K74" s="90"/>
      <c r="L74" s="90"/>
      <c r="M74" s="90"/>
      <c r="N74" s="90"/>
      <c r="O74" s="90"/>
      <c r="P74" s="90"/>
    </row>
    <row r="75" spans="2:16" x14ac:dyDescent="0.35">
      <c r="B75" s="90"/>
      <c r="C75" s="90"/>
      <c r="D75" s="90"/>
      <c r="E75" s="90"/>
      <c r="F75" s="90"/>
      <c r="G75" s="90"/>
      <c r="H75" s="90"/>
      <c r="I75" s="90"/>
      <c r="J75" s="90"/>
      <c r="K75" s="90"/>
      <c r="L75" s="90"/>
      <c r="M75" s="90"/>
      <c r="N75" s="90"/>
      <c r="O75" s="90"/>
      <c r="P75" s="90"/>
    </row>
    <row r="76" spans="2:16" x14ac:dyDescent="0.35">
      <c r="B76" s="90"/>
      <c r="C76" s="90"/>
      <c r="D76" s="90"/>
      <c r="E76" s="90"/>
      <c r="F76" s="90"/>
      <c r="G76" s="90"/>
      <c r="H76" s="90"/>
      <c r="I76" s="90"/>
      <c r="J76" s="90"/>
      <c r="K76" s="90"/>
      <c r="L76" s="90"/>
      <c r="M76" s="90"/>
      <c r="N76" s="90"/>
      <c r="O76" s="90"/>
      <c r="P76" s="90"/>
    </row>
    <row r="77" spans="2:16" x14ac:dyDescent="0.35">
      <c r="B77" s="90"/>
      <c r="C77" s="90"/>
      <c r="D77" s="90"/>
      <c r="E77" s="90"/>
      <c r="F77" s="90"/>
      <c r="G77" s="90"/>
      <c r="H77" s="90"/>
      <c r="I77" s="90"/>
      <c r="J77" s="90"/>
      <c r="K77" s="90"/>
      <c r="L77" s="90"/>
      <c r="M77" s="90"/>
      <c r="N77" s="90"/>
      <c r="O77" s="90"/>
      <c r="P77" s="90"/>
    </row>
    <row r="78" spans="2:16" x14ac:dyDescent="0.35">
      <c r="B78" s="90"/>
      <c r="C78" s="90"/>
      <c r="D78" s="90"/>
      <c r="E78" s="90"/>
      <c r="F78" s="90"/>
      <c r="G78" s="90"/>
      <c r="H78" s="90"/>
      <c r="I78" s="90"/>
      <c r="J78" s="90"/>
      <c r="K78" s="90"/>
      <c r="L78" s="90"/>
      <c r="M78" s="90"/>
      <c r="N78" s="90"/>
      <c r="O78" s="90"/>
      <c r="P78" s="90"/>
    </row>
    <row r="79" spans="2:16" x14ac:dyDescent="0.35">
      <c r="B79" s="90"/>
      <c r="C79" s="90"/>
      <c r="D79" s="90"/>
      <c r="E79" s="90"/>
      <c r="F79" s="90"/>
      <c r="G79" s="90"/>
      <c r="H79" s="90"/>
      <c r="I79" s="90"/>
      <c r="J79" s="90"/>
      <c r="K79" s="90"/>
      <c r="L79" s="90"/>
      <c r="M79" s="90"/>
      <c r="N79" s="90"/>
      <c r="O79" s="90"/>
      <c r="P79" s="90"/>
    </row>
    <row r="80" spans="2:16" x14ac:dyDescent="0.35">
      <c r="B80" s="90"/>
      <c r="C80" s="90"/>
      <c r="D80" s="90"/>
      <c r="E80" s="90"/>
      <c r="F80" s="90"/>
      <c r="G80" s="90"/>
      <c r="H80" s="90"/>
      <c r="I80" s="90"/>
      <c r="J80" s="90"/>
      <c r="K80" s="90"/>
      <c r="L80" s="90"/>
      <c r="M80" s="90"/>
      <c r="N80" s="90"/>
      <c r="O80" s="90"/>
      <c r="P80" s="90"/>
    </row>
    <row r="81" spans="2:16" x14ac:dyDescent="0.35">
      <c r="B81" s="90"/>
      <c r="C81" s="90"/>
      <c r="D81" s="90"/>
      <c r="E81" s="90"/>
      <c r="F81" s="90"/>
      <c r="G81" s="90"/>
      <c r="H81" s="90"/>
      <c r="I81" s="90"/>
      <c r="J81" s="90"/>
      <c r="K81" s="90"/>
      <c r="L81" s="90"/>
      <c r="M81" s="90"/>
      <c r="N81" s="90"/>
      <c r="O81" s="90"/>
      <c r="P81" s="90"/>
    </row>
    <row r="82" spans="2:16" x14ac:dyDescent="0.35">
      <c r="B82" s="90"/>
      <c r="C82" s="90"/>
      <c r="D82" s="90"/>
      <c r="E82" s="90"/>
      <c r="F82" s="90"/>
      <c r="G82" s="90"/>
      <c r="H82" s="90"/>
      <c r="I82" s="90"/>
      <c r="J82" s="90"/>
      <c r="K82" s="90"/>
      <c r="L82" s="90"/>
      <c r="M82" s="90"/>
      <c r="N82" s="90"/>
      <c r="O82" s="90"/>
      <c r="P82" s="90"/>
    </row>
    <row r="83" spans="2:16" x14ac:dyDescent="0.35">
      <c r="B83" s="90"/>
      <c r="C83" s="90"/>
      <c r="D83" s="90"/>
      <c r="E83" s="90"/>
      <c r="F83" s="90"/>
      <c r="G83" s="90"/>
      <c r="H83" s="90"/>
      <c r="I83" s="90"/>
      <c r="J83" s="90"/>
      <c r="K83" s="90"/>
      <c r="L83" s="90"/>
      <c r="M83" s="90"/>
      <c r="N83" s="90"/>
      <c r="O83" s="90"/>
      <c r="P83" s="90"/>
    </row>
    <row r="84" spans="2:16" x14ac:dyDescent="0.35">
      <c r="B84" s="90"/>
      <c r="C84" s="90"/>
      <c r="D84" s="90"/>
      <c r="E84" s="90"/>
      <c r="F84" s="90"/>
      <c r="G84" s="90"/>
      <c r="H84" s="90"/>
      <c r="I84" s="90"/>
      <c r="J84" s="90"/>
      <c r="K84" s="90"/>
      <c r="L84" s="90"/>
      <c r="M84" s="90"/>
      <c r="N84" s="90"/>
      <c r="O84" s="90"/>
      <c r="P84" s="90"/>
    </row>
    <row r="85" spans="2:16" x14ac:dyDescent="0.35">
      <c r="B85" s="90"/>
      <c r="C85" s="90"/>
      <c r="D85" s="90"/>
      <c r="E85" s="90"/>
      <c r="F85" s="90"/>
      <c r="G85" s="90"/>
      <c r="H85" s="90"/>
      <c r="I85" s="90"/>
      <c r="J85" s="90"/>
      <c r="K85" s="90"/>
      <c r="L85" s="90"/>
      <c r="M85" s="90"/>
      <c r="N85" s="90"/>
      <c r="O85" s="90"/>
      <c r="P85" s="90"/>
    </row>
    <row r="86" spans="2:16" x14ac:dyDescent="0.35">
      <c r="B86" s="90"/>
      <c r="C86" s="90"/>
      <c r="D86" s="90"/>
      <c r="E86" s="90"/>
      <c r="F86" s="90"/>
      <c r="G86" s="90"/>
      <c r="H86" s="90"/>
      <c r="I86" s="90"/>
      <c r="J86" s="90"/>
      <c r="K86" s="90"/>
      <c r="L86" s="90"/>
      <c r="M86" s="90"/>
      <c r="N86" s="90"/>
      <c r="O86" s="90"/>
      <c r="P86" s="90"/>
    </row>
    <row r="87" spans="2:16" x14ac:dyDescent="0.35">
      <c r="B87" s="90"/>
      <c r="C87" s="90"/>
      <c r="D87" s="90"/>
      <c r="E87" s="90"/>
      <c r="F87" s="90"/>
      <c r="G87" s="90"/>
      <c r="H87" s="90"/>
      <c r="I87" s="90"/>
      <c r="J87" s="90"/>
      <c r="K87" s="90"/>
      <c r="L87" s="90"/>
      <c r="M87" s="90"/>
      <c r="N87" s="90"/>
      <c r="O87" s="90"/>
      <c r="P87" s="90"/>
    </row>
    <row r="88" spans="2:16" x14ac:dyDescent="0.35">
      <c r="B88" s="90"/>
      <c r="C88" s="90"/>
      <c r="D88" s="90"/>
      <c r="E88" s="90"/>
      <c r="F88" s="90"/>
      <c r="G88" s="90"/>
      <c r="H88" s="90"/>
      <c r="I88" s="90"/>
      <c r="J88" s="90"/>
      <c r="K88" s="90"/>
      <c r="L88" s="90"/>
      <c r="M88" s="90"/>
      <c r="N88" s="90"/>
      <c r="O88" s="90"/>
      <c r="P88" s="90"/>
    </row>
    <row r="89" spans="2:16" x14ac:dyDescent="0.35">
      <c r="B89" s="90"/>
      <c r="C89" s="90"/>
      <c r="D89" s="90"/>
      <c r="E89" s="90"/>
      <c r="F89" s="90"/>
      <c r="G89" s="90"/>
      <c r="H89" s="90"/>
      <c r="I89" s="90"/>
      <c r="J89" s="90"/>
      <c r="K89" s="90"/>
      <c r="L89" s="90"/>
      <c r="M89" s="90"/>
      <c r="N89" s="90"/>
      <c r="O89" s="90"/>
      <c r="P89" s="90"/>
    </row>
    <row r="90" spans="2:16" x14ac:dyDescent="0.35">
      <c r="B90" s="90"/>
      <c r="C90" s="90"/>
      <c r="D90" s="90"/>
      <c r="E90" s="90"/>
      <c r="F90" s="90"/>
      <c r="G90" s="90"/>
      <c r="H90" s="90"/>
      <c r="I90" s="90"/>
      <c r="J90" s="90"/>
      <c r="K90" s="90"/>
      <c r="L90" s="90"/>
      <c r="M90" s="90"/>
      <c r="N90" s="90"/>
      <c r="O90" s="90"/>
      <c r="P90" s="90"/>
    </row>
    <row r="91" spans="2:16" x14ac:dyDescent="0.35">
      <c r="B91" s="90"/>
      <c r="C91" s="90"/>
      <c r="D91" s="90"/>
      <c r="E91" s="90"/>
      <c r="F91" s="90"/>
      <c r="G91" s="90"/>
      <c r="H91" s="90"/>
      <c r="I91" s="90"/>
      <c r="J91" s="90"/>
      <c r="K91" s="90"/>
      <c r="L91" s="90"/>
      <c r="M91" s="90"/>
      <c r="N91" s="90"/>
      <c r="O91" s="90"/>
      <c r="P91" s="90"/>
    </row>
    <row r="92" spans="2:16" x14ac:dyDescent="0.35">
      <c r="B92" s="90"/>
      <c r="C92" s="90"/>
      <c r="D92" s="90"/>
      <c r="E92" s="90"/>
      <c r="F92" s="90"/>
      <c r="G92" s="90"/>
      <c r="H92" s="90"/>
      <c r="I92" s="90"/>
      <c r="J92" s="90"/>
      <c r="K92" s="90"/>
      <c r="L92" s="90"/>
      <c r="M92" s="90"/>
      <c r="N92" s="90"/>
      <c r="O92" s="90"/>
      <c r="P92" s="90"/>
    </row>
    <row r="93" spans="2:16" x14ac:dyDescent="0.35">
      <c r="B93" s="90"/>
      <c r="C93" s="90"/>
      <c r="D93" s="90"/>
      <c r="E93" s="90"/>
      <c r="F93" s="90"/>
      <c r="G93" s="90"/>
      <c r="H93" s="90"/>
      <c r="I93" s="90"/>
      <c r="J93" s="90"/>
      <c r="K93" s="90"/>
      <c r="L93" s="90"/>
      <c r="M93" s="90"/>
      <c r="N93" s="90"/>
      <c r="O93" s="90"/>
      <c r="P93" s="90"/>
    </row>
    <row r="94" spans="2:16" x14ac:dyDescent="0.35">
      <c r="B94" s="90"/>
      <c r="C94" s="90"/>
      <c r="D94" s="90"/>
      <c r="E94" s="90"/>
      <c r="F94" s="90"/>
      <c r="G94" s="90"/>
      <c r="H94" s="90"/>
      <c r="I94" s="90"/>
      <c r="J94" s="90"/>
      <c r="K94" s="90"/>
      <c r="L94" s="90"/>
      <c r="M94" s="90"/>
      <c r="N94" s="90"/>
      <c r="O94" s="90"/>
      <c r="P94" s="90"/>
    </row>
    <row r="95" spans="2:16" x14ac:dyDescent="0.35">
      <c r="B95" s="90"/>
      <c r="C95" s="90"/>
      <c r="D95" s="90"/>
      <c r="E95" s="90"/>
      <c r="F95" s="90"/>
      <c r="G95" s="90"/>
      <c r="H95" s="90"/>
      <c r="I95" s="90"/>
      <c r="J95" s="90"/>
      <c r="K95" s="90"/>
      <c r="L95" s="90"/>
      <c r="M95" s="90"/>
      <c r="N95" s="90"/>
      <c r="O95" s="90"/>
      <c r="P95" s="90"/>
    </row>
    <row r="96" spans="2:16" x14ac:dyDescent="0.35">
      <c r="B96" s="90"/>
      <c r="C96" s="90"/>
      <c r="D96" s="90"/>
      <c r="E96" s="90"/>
      <c r="F96" s="90"/>
      <c r="G96" s="90"/>
      <c r="H96" s="90"/>
      <c r="I96" s="90"/>
      <c r="J96" s="90"/>
      <c r="K96" s="90"/>
      <c r="L96" s="90"/>
      <c r="M96" s="90"/>
      <c r="N96" s="90"/>
      <c r="O96" s="90"/>
      <c r="P96" s="90"/>
    </row>
    <row r="97" spans="2:16" x14ac:dyDescent="0.35">
      <c r="B97" s="90"/>
      <c r="C97" s="90"/>
      <c r="D97" s="90"/>
      <c r="E97" s="90"/>
      <c r="F97" s="90"/>
      <c r="G97" s="90"/>
      <c r="H97" s="90"/>
      <c r="I97" s="90"/>
      <c r="J97" s="90"/>
      <c r="K97" s="90"/>
      <c r="L97" s="90"/>
      <c r="M97" s="90"/>
      <c r="N97" s="90"/>
      <c r="O97" s="90"/>
      <c r="P97" s="90"/>
    </row>
    <row r="98" spans="2:16" x14ac:dyDescent="0.35">
      <c r="B98" s="90"/>
      <c r="C98" s="90"/>
      <c r="D98" s="90"/>
      <c r="E98" s="90"/>
      <c r="F98" s="90"/>
      <c r="G98" s="90"/>
      <c r="H98" s="90"/>
      <c r="I98" s="90"/>
      <c r="J98" s="90"/>
      <c r="K98" s="90"/>
      <c r="L98" s="90"/>
      <c r="M98" s="90"/>
      <c r="N98" s="90"/>
      <c r="O98" s="90"/>
      <c r="P98" s="90"/>
    </row>
    <row r="99" spans="2:16" x14ac:dyDescent="0.35">
      <c r="B99" s="90"/>
      <c r="C99" s="90"/>
      <c r="D99" s="90"/>
      <c r="E99" s="90"/>
      <c r="F99" s="90"/>
      <c r="G99" s="90"/>
      <c r="H99" s="90"/>
      <c r="I99" s="90"/>
      <c r="J99" s="90"/>
      <c r="K99" s="90"/>
      <c r="L99" s="90"/>
      <c r="M99" s="90"/>
      <c r="N99" s="90"/>
      <c r="O99" s="90"/>
      <c r="P99" s="90"/>
    </row>
    <row r="100" spans="2:16" x14ac:dyDescent="0.35">
      <c r="B100" s="90"/>
      <c r="C100" s="90"/>
      <c r="D100" s="90"/>
      <c r="E100" s="90"/>
      <c r="F100" s="90"/>
      <c r="G100" s="90"/>
      <c r="H100" s="90"/>
      <c r="I100" s="90"/>
      <c r="J100" s="90"/>
      <c r="K100" s="90"/>
      <c r="L100" s="90"/>
      <c r="M100" s="90"/>
      <c r="N100" s="90"/>
      <c r="O100" s="90"/>
      <c r="P100" s="90"/>
    </row>
    <row r="101" spans="2:16" x14ac:dyDescent="0.35">
      <c r="B101" s="90"/>
      <c r="C101" s="90"/>
      <c r="D101" s="90"/>
      <c r="E101" s="90"/>
      <c r="F101" s="90"/>
      <c r="G101" s="90"/>
      <c r="H101" s="90"/>
      <c r="I101" s="90"/>
      <c r="J101" s="90"/>
      <c r="K101" s="90"/>
      <c r="L101" s="90"/>
      <c r="M101" s="90"/>
      <c r="N101" s="90"/>
      <c r="O101" s="90"/>
      <c r="P101" s="90"/>
    </row>
    <row r="102" spans="2:16" x14ac:dyDescent="0.35">
      <c r="B102" s="90"/>
      <c r="C102" s="90"/>
      <c r="D102" s="90"/>
      <c r="E102" s="90"/>
      <c r="F102" s="90"/>
      <c r="G102" s="90"/>
      <c r="H102" s="90"/>
      <c r="I102" s="90"/>
      <c r="J102" s="90"/>
      <c r="K102" s="90"/>
      <c r="L102" s="90"/>
      <c r="M102" s="90"/>
      <c r="N102" s="90"/>
      <c r="O102" s="90"/>
      <c r="P102" s="90"/>
    </row>
    <row r="103" spans="2:16" x14ac:dyDescent="0.35">
      <c r="B103" s="90"/>
      <c r="C103" s="90"/>
      <c r="D103" s="90"/>
      <c r="E103" s="90"/>
      <c r="F103" s="90"/>
      <c r="G103" s="90"/>
      <c r="H103" s="90"/>
      <c r="I103" s="90"/>
      <c r="J103" s="90"/>
      <c r="K103" s="90"/>
      <c r="L103" s="90"/>
      <c r="M103" s="90"/>
      <c r="N103" s="90"/>
      <c r="O103" s="90"/>
      <c r="P103" s="90"/>
    </row>
    <row r="104" spans="2:16" x14ac:dyDescent="0.35">
      <c r="B104" s="90"/>
      <c r="C104" s="90"/>
      <c r="D104" s="90"/>
      <c r="E104" s="90"/>
      <c r="F104" s="90"/>
      <c r="G104" s="90"/>
      <c r="H104" s="90"/>
      <c r="I104" s="90"/>
      <c r="J104" s="90"/>
      <c r="K104" s="90"/>
      <c r="L104" s="90"/>
      <c r="M104" s="90"/>
      <c r="N104" s="90"/>
      <c r="O104" s="90"/>
      <c r="P104" s="90"/>
    </row>
    <row r="105" spans="2:16" x14ac:dyDescent="0.35">
      <c r="B105" s="90"/>
      <c r="C105" s="90"/>
      <c r="D105" s="90"/>
      <c r="E105" s="90"/>
      <c r="F105" s="90"/>
      <c r="G105" s="90"/>
      <c r="H105" s="90"/>
      <c r="I105" s="90"/>
      <c r="J105" s="90"/>
      <c r="K105" s="90"/>
      <c r="L105" s="90"/>
      <c r="M105" s="90"/>
      <c r="N105" s="90"/>
      <c r="O105" s="90"/>
      <c r="P105" s="90"/>
    </row>
    <row r="106" spans="2:16" x14ac:dyDescent="0.35">
      <c r="B106" s="90"/>
      <c r="C106" s="90"/>
      <c r="D106" s="90"/>
      <c r="E106" s="90"/>
      <c r="F106" s="90"/>
      <c r="G106" s="90"/>
      <c r="H106" s="90"/>
      <c r="I106" s="90"/>
      <c r="J106" s="90"/>
      <c r="K106" s="90"/>
      <c r="L106" s="90"/>
      <c r="M106" s="90"/>
      <c r="N106" s="90"/>
      <c r="O106" s="90"/>
      <c r="P106" s="90"/>
    </row>
    <row r="107" spans="2:16" x14ac:dyDescent="0.35">
      <c r="B107" s="90"/>
      <c r="C107" s="90"/>
      <c r="D107" s="90"/>
      <c r="E107" s="90"/>
      <c r="F107" s="90"/>
      <c r="G107" s="90"/>
      <c r="H107" s="90"/>
      <c r="I107" s="90"/>
      <c r="J107" s="90"/>
      <c r="K107" s="90"/>
      <c r="L107" s="90"/>
      <c r="M107" s="90"/>
      <c r="N107" s="90"/>
      <c r="O107" s="90"/>
      <c r="P107" s="90"/>
    </row>
    <row r="108" spans="2:16" x14ac:dyDescent="0.35">
      <c r="B108" s="90"/>
      <c r="C108" s="90"/>
      <c r="D108" s="90"/>
      <c r="E108" s="90"/>
      <c r="F108" s="90"/>
      <c r="G108" s="90"/>
      <c r="H108" s="90"/>
      <c r="I108" s="90"/>
      <c r="J108" s="90"/>
      <c r="K108" s="90"/>
      <c r="L108" s="90"/>
      <c r="M108" s="90"/>
      <c r="N108" s="90"/>
      <c r="O108" s="90"/>
      <c r="P108" s="90"/>
    </row>
    <row r="109" spans="2:16" x14ac:dyDescent="0.35">
      <c r="B109" s="90"/>
      <c r="C109" s="90"/>
      <c r="D109" s="90"/>
      <c r="E109" s="90"/>
      <c r="F109" s="90"/>
      <c r="G109" s="90"/>
      <c r="H109" s="90"/>
      <c r="I109" s="90"/>
      <c r="J109" s="90"/>
      <c r="K109" s="90"/>
      <c r="L109" s="90"/>
      <c r="M109" s="90"/>
      <c r="N109" s="90"/>
      <c r="O109" s="90"/>
      <c r="P109" s="90"/>
    </row>
    <row r="110" spans="2:16" x14ac:dyDescent="0.35">
      <c r="B110" s="90"/>
      <c r="C110" s="90"/>
      <c r="D110" s="90"/>
      <c r="E110" s="90"/>
      <c r="F110" s="90"/>
      <c r="G110" s="90"/>
      <c r="H110" s="90"/>
      <c r="I110" s="90"/>
      <c r="J110" s="90"/>
      <c r="K110" s="90"/>
      <c r="L110" s="90"/>
      <c r="M110" s="90"/>
      <c r="N110" s="90"/>
      <c r="O110" s="90"/>
      <c r="P110" s="90"/>
    </row>
    <row r="111" spans="2:16" x14ac:dyDescent="0.35">
      <c r="B111" s="90"/>
      <c r="C111" s="90"/>
      <c r="D111" s="90"/>
      <c r="E111" s="90"/>
      <c r="F111" s="90"/>
      <c r="G111" s="90"/>
      <c r="H111" s="90"/>
      <c r="I111" s="90"/>
      <c r="J111" s="90"/>
      <c r="K111" s="90"/>
      <c r="L111" s="90"/>
      <c r="M111" s="90"/>
      <c r="N111" s="90"/>
      <c r="O111" s="90"/>
      <c r="P111" s="90"/>
    </row>
    <row r="112" spans="2:16" x14ac:dyDescent="0.35">
      <c r="B112" s="90"/>
      <c r="C112" s="90"/>
      <c r="D112" s="90"/>
      <c r="E112" s="90"/>
      <c r="F112" s="90"/>
      <c r="G112" s="90"/>
      <c r="H112" s="90"/>
      <c r="I112" s="90"/>
      <c r="J112" s="90"/>
      <c r="K112" s="90"/>
      <c r="L112" s="90"/>
      <c r="M112" s="90"/>
      <c r="N112" s="90"/>
      <c r="O112" s="90"/>
      <c r="P112" s="90"/>
    </row>
    <row r="113" spans="2:16" x14ac:dyDescent="0.35">
      <c r="B113" s="90"/>
      <c r="C113" s="90"/>
      <c r="D113" s="90"/>
      <c r="E113" s="90"/>
      <c r="F113" s="90"/>
      <c r="G113" s="90"/>
      <c r="H113" s="90"/>
      <c r="I113" s="90"/>
      <c r="J113" s="90"/>
      <c r="K113" s="90"/>
      <c r="L113" s="90"/>
      <c r="M113" s="90"/>
      <c r="N113" s="90"/>
      <c r="O113" s="90"/>
      <c r="P113" s="90"/>
    </row>
    <row r="114" spans="2:16" x14ac:dyDescent="0.35">
      <c r="B114" s="90"/>
      <c r="C114" s="90"/>
      <c r="D114" s="90"/>
      <c r="E114" s="90"/>
      <c r="F114" s="90"/>
      <c r="G114" s="90"/>
      <c r="H114" s="90"/>
      <c r="I114" s="90"/>
      <c r="J114" s="90"/>
      <c r="K114" s="90"/>
      <c r="L114" s="90"/>
      <c r="M114" s="90"/>
      <c r="N114" s="90"/>
      <c r="O114" s="90"/>
      <c r="P114" s="90"/>
    </row>
    <row r="115" spans="2:16" x14ac:dyDescent="0.35">
      <c r="B115" s="90"/>
      <c r="C115" s="90"/>
      <c r="D115" s="90"/>
      <c r="E115" s="90"/>
      <c r="F115" s="90"/>
      <c r="G115" s="90"/>
      <c r="H115" s="90"/>
      <c r="I115" s="90"/>
      <c r="J115" s="90"/>
      <c r="K115" s="90"/>
      <c r="L115" s="90"/>
      <c r="M115" s="90"/>
      <c r="N115" s="90"/>
      <c r="O115" s="90"/>
      <c r="P115" s="90"/>
    </row>
    <row r="116" spans="2:16" x14ac:dyDescent="0.35">
      <c r="B116" s="90"/>
      <c r="C116" s="90"/>
      <c r="D116" s="90"/>
      <c r="E116" s="90"/>
      <c r="F116" s="90"/>
      <c r="G116" s="90"/>
      <c r="H116" s="90"/>
      <c r="I116" s="90"/>
      <c r="J116" s="90"/>
      <c r="K116" s="90"/>
      <c r="L116" s="90"/>
      <c r="M116" s="90"/>
      <c r="N116" s="90"/>
      <c r="O116" s="90"/>
      <c r="P116" s="90"/>
    </row>
    <row r="117" spans="2:16" x14ac:dyDescent="0.35">
      <c r="B117" s="90"/>
      <c r="C117" s="90"/>
      <c r="D117" s="90"/>
      <c r="E117" s="90"/>
      <c r="F117" s="90"/>
      <c r="G117" s="90"/>
      <c r="H117" s="90"/>
      <c r="I117" s="90"/>
      <c r="J117" s="90"/>
      <c r="K117" s="90"/>
      <c r="L117" s="90"/>
      <c r="M117" s="90"/>
      <c r="N117" s="90"/>
      <c r="O117" s="90"/>
      <c r="P117" s="90"/>
    </row>
    <row r="118" spans="2:16" x14ac:dyDescent="0.35">
      <c r="B118" s="90"/>
      <c r="C118" s="90"/>
      <c r="D118" s="90"/>
      <c r="E118" s="90"/>
      <c r="F118" s="90"/>
      <c r="G118" s="90"/>
      <c r="H118" s="90"/>
      <c r="I118" s="90"/>
      <c r="J118" s="90"/>
      <c r="K118" s="90"/>
      <c r="L118" s="90"/>
      <c r="M118" s="90"/>
      <c r="N118" s="90"/>
      <c r="O118" s="90"/>
      <c r="P118" s="90"/>
    </row>
    <row r="119" spans="2:16" x14ac:dyDescent="0.35">
      <c r="B119" s="90"/>
      <c r="C119" s="90"/>
      <c r="D119" s="90"/>
      <c r="E119" s="90"/>
      <c r="F119" s="90"/>
      <c r="G119" s="90"/>
      <c r="H119" s="90"/>
      <c r="I119" s="90"/>
      <c r="J119" s="90"/>
      <c r="K119" s="90"/>
      <c r="L119" s="90"/>
      <c r="M119" s="90"/>
      <c r="N119" s="90"/>
      <c r="O119" s="90"/>
      <c r="P119" s="90"/>
    </row>
    <row r="120" spans="2:16" x14ac:dyDescent="0.35">
      <c r="B120" s="90"/>
      <c r="C120" s="90"/>
      <c r="D120" s="90"/>
      <c r="E120" s="90"/>
      <c r="F120" s="90"/>
      <c r="G120" s="90"/>
      <c r="H120" s="90"/>
      <c r="I120" s="90"/>
      <c r="J120" s="90"/>
      <c r="K120" s="90"/>
      <c r="L120" s="90"/>
      <c r="M120" s="90"/>
      <c r="N120" s="90"/>
      <c r="O120" s="90"/>
      <c r="P120" s="90"/>
    </row>
    <row r="121" spans="2:16" x14ac:dyDescent="0.35">
      <c r="B121" s="90"/>
      <c r="C121" s="90"/>
      <c r="D121" s="90"/>
      <c r="E121" s="90"/>
      <c r="F121" s="90"/>
      <c r="G121" s="90"/>
      <c r="H121" s="90"/>
      <c r="I121" s="90"/>
      <c r="J121" s="90"/>
      <c r="K121" s="90"/>
      <c r="L121" s="90"/>
      <c r="M121" s="90"/>
      <c r="N121" s="90"/>
      <c r="O121" s="90"/>
      <c r="P121" s="90"/>
    </row>
    <row r="122" spans="2:16" x14ac:dyDescent="0.35">
      <c r="B122" s="90"/>
      <c r="C122" s="90"/>
      <c r="D122" s="90"/>
      <c r="E122" s="90"/>
      <c r="F122" s="90"/>
      <c r="G122" s="90"/>
      <c r="H122" s="90"/>
      <c r="I122" s="90"/>
      <c r="J122" s="90"/>
      <c r="K122" s="90"/>
      <c r="L122" s="90"/>
      <c r="M122" s="90"/>
      <c r="N122" s="90"/>
      <c r="O122" s="90"/>
      <c r="P122" s="90"/>
    </row>
    <row r="123" spans="2:16" x14ac:dyDescent="0.35">
      <c r="B123" s="90"/>
      <c r="C123" s="90"/>
      <c r="D123" s="90"/>
      <c r="E123" s="90"/>
      <c r="F123" s="90"/>
      <c r="G123" s="90"/>
      <c r="H123" s="90"/>
      <c r="I123" s="90"/>
      <c r="J123" s="90"/>
      <c r="K123" s="90"/>
      <c r="L123" s="90"/>
      <c r="M123" s="90"/>
      <c r="N123" s="90"/>
      <c r="O123" s="90"/>
      <c r="P123" s="90"/>
    </row>
    <row r="124" spans="2:16" x14ac:dyDescent="0.35">
      <c r="B124" s="90"/>
      <c r="C124" s="90"/>
      <c r="D124" s="90"/>
      <c r="E124" s="90"/>
      <c r="F124" s="90"/>
      <c r="G124" s="90"/>
      <c r="H124" s="90"/>
      <c r="I124" s="90"/>
      <c r="J124" s="90"/>
      <c r="K124" s="90"/>
      <c r="L124" s="90"/>
      <c r="M124" s="90"/>
      <c r="N124" s="90"/>
      <c r="O124" s="90"/>
      <c r="P124" s="90"/>
    </row>
    <row r="125" spans="2:16" x14ac:dyDescent="0.35">
      <c r="B125" s="90"/>
      <c r="C125" s="90"/>
      <c r="D125" s="90"/>
      <c r="E125" s="90"/>
      <c r="F125" s="90"/>
      <c r="G125" s="90"/>
      <c r="H125" s="90"/>
      <c r="I125" s="90"/>
      <c r="J125" s="90"/>
      <c r="K125" s="90"/>
      <c r="L125" s="90"/>
      <c r="M125" s="90"/>
      <c r="N125" s="90"/>
      <c r="O125" s="90"/>
      <c r="P125" s="90"/>
    </row>
    <row r="126" spans="2:16" x14ac:dyDescent="0.35">
      <c r="B126" s="90"/>
      <c r="C126" s="90"/>
      <c r="D126" s="90"/>
      <c r="E126" s="90"/>
      <c r="F126" s="90"/>
      <c r="G126" s="90"/>
      <c r="H126" s="90"/>
      <c r="I126" s="90"/>
      <c r="J126" s="90"/>
      <c r="K126" s="90"/>
      <c r="L126" s="90"/>
      <c r="M126" s="90"/>
      <c r="N126" s="90"/>
      <c r="O126" s="90"/>
      <c r="P126" s="90"/>
    </row>
    <row r="127" spans="2:16" x14ac:dyDescent="0.35">
      <c r="B127" s="90"/>
      <c r="C127" s="90"/>
      <c r="D127" s="90"/>
      <c r="E127" s="90"/>
      <c r="F127" s="90"/>
      <c r="G127" s="90"/>
      <c r="H127" s="90"/>
      <c r="I127" s="90"/>
      <c r="J127" s="90"/>
      <c r="K127" s="90"/>
      <c r="L127" s="90"/>
      <c r="M127" s="90"/>
      <c r="N127" s="90"/>
      <c r="O127" s="90"/>
      <c r="P127" s="90"/>
    </row>
    <row r="128" spans="2:16" x14ac:dyDescent="0.35">
      <c r="B128" s="90"/>
      <c r="C128" s="90"/>
      <c r="D128" s="90"/>
      <c r="E128" s="90"/>
      <c r="F128" s="90"/>
      <c r="G128" s="90"/>
      <c r="H128" s="90"/>
      <c r="I128" s="90"/>
      <c r="J128" s="90"/>
      <c r="K128" s="90"/>
      <c r="L128" s="90"/>
      <c r="M128" s="90"/>
      <c r="N128" s="90"/>
      <c r="O128" s="90"/>
      <c r="P128" s="90"/>
    </row>
    <row r="129" spans="2:16" x14ac:dyDescent="0.35">
      <c r="B129" s="90"/>
      <c r="C129" s="90"/>
      <c r="D129" s="90"/>
      <c r="E129" s="90"/>
      <c r="F129" s="90"/>
      <c r="G129" s="90"/>
      <c r="H129" s="90"/>
      <c r="I129" s="90"/>
      <c r="J129" s="90"/>
      <c r="K129" s="90"/>
      <c r="L129" s="90"/>
      <c r="M129" s="90"/>
      <c r="N129" s="90"/>
      <c r="O129" s="90"/>
      <c r="P129" s="90"/>
    </row>
    <row r="130" spans="2:16" x14ac:dyDescent="0.35">
      <c r="B130" s="90"/>
      <c r="C130" s="90"/>
      <c r="D130" s="90"/>
      <c r="E130" s="90"/>
      <c r="F130" s="90"/>
      <c r="G130" s="90"/>
      <c r="H130" s="90"/>
      <c r="I130" s="90"/>
      <c r="J130" s="90"/>
      <c r="K130" s="90"/>
      <c r="L130" s="90"/>
      <c r="M130" s="90"/>
      <c r="N130" s="90"/>
      <c r="O130" s="90"/>
      <c r="P130" s="90"/>
    </row>
  </sheetData>
  <mergeCells count="7">
    <mergeCell ref="B7:P7"/>
    <mergeCell ref="B2:D5"/>
    <mergeCell ref="N2:P5"/>
    <mergeCell ref="E2:M2"/>
    <mergeCell ref="E3:M3"/>
    <mergeCell ref="E4:M4"/>
    <mergeCell ref="E5:M5"/>
  </mergeCell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597A3-D0D7-478F-916E-D3CC927477B7}">
  <dimension ref="A1:BQ80"/>
  <sheetViews>
    <sheetView showGridLines="0" topLeftCell="A3" zoomScaleNormal="100" workbookViewId="0">
      <selection activeCell="J14" sqref="J14"/>
    </sheetView>
  </sheetViews>
  <sheetFormatPr baseColWidth="10" defaultColWidth="8.54296875" defaultRowHeight="14.5" x14ac:dyDescent="0.35"/>
  <cols>
    <col min="1" max="1" width="51.54296875" style="1" bestFit="1" customWidth="1"/>
    <col min="2" max="2" width="18.54296875" style="1" bestFit="1" customWidth="1"/>
    <col min="3" max="3" width="20.1796875" style="1" bestFit="1" customWidth="1"/>
    <col min="4" max="4" width="22.81640625" style="1" bestFit="1" customWidth="1"/>
    <col min="5" max="5" width="15.26953125" style="1" bestFit="1" customWidth="1"/>
    <col min="6" max="6" width="11.7265625" style="1" bestFit="1" customWidth="1"/>
    <col min="7" max="7" width="16.1796875" style="1" bestFit="1" customWidth="1"/>
    <col min="8" max="8" width="15.7265625" style="1" bestFit="1" customWidth="1"/>
    <col min="9" max="9" width="11.81640625" style="1" bestFit="1" customWidth="1"/>
    <col min="10" max="10" width="21" style="1" customWidth="1"/>
    <col min="11" max="11" width="22.7265625" style="1" bestFit="1" customWidth="1"/>
    <col min="12" max="12" width="15.1796875" style="1" bestFit="1" customWidth="1"/>
    <col min="13" max="13" width="5.1796875" style="1" bestFit="1" customWidth="1"/>
    <col min="14" max="14" width="11.1796875" style="1" bestFit="1" customWidth="1"/>
    <col min="15" max="15" width="16.54296875" style="1" bestFit="1" customWidth="1"/>
    <col min="16" max="16" width="21" style="1" customWidth="1"/>
    <col min="17" max="17" width="11.1796875" style="1" bestFit="1" customWidth="1"/>
    <col min="18" max="18" width="17.453125" style="1" bestFit="1" customWidth="1"/>
    <col min="19" max="19" width="21" style="1" customWidth="1"/>
    <col min="20" max="20" width="11.1796875" style="1" bestFit="1" customWidth="1"/>
    <col min="21" max="21" width="11.7265625" style="1" bestFit="1" customWidth="1"/>
    <col min="22" max="22" width="21" style="1" customWidth="1"/>
    <col min="23" max="23" width="8.54296875" style="1"/>
    <col min="24" max="24" width="31.26953125" style="1" bestFit="1" customWidth="1"/>
    <col min="25" max="25" width="10.7265625" style="1" bestFit="1" customWidth="1"/>
    <col min="26" max="26" width="8.54296875" style="1"/>
    <col min="27" max="27" width="21.26953125" style="1" bestFit="1" customWidth="1"/>
    <col min="28" max="28" width="7.54296875" style="1" bestFit="1" customWidth="1"/>
    <col min="29" max="29" width="7.26953125" style="1" bestFit="1" customWidth="1"/>
    <col min="30" max="30" width="8.54296875" style="1"/>
    <col min="31" max="31" width="24.7265625" style="1" bestFit="1" customWidth="1"/>
    <col min="32" max="32" width="8.453125" style="1" bestFit="1" customWidth="1"/>
    <col min="33" max="33" width="8.54296875" style="1"/>
    <col min="34" max="34" width="25.1796875" style="1" bestFit="1" customWidth="1"/>
    <col min="35" max="36" width="5.54296875" style="1" bestFit="1" customWidth="1"/>
    <col min="37" max="38" width="8.54296875" style="1"/>
    <col min="39" max="39" width="34" style="1" bestFit="1" customWidth="1"/>
    <col min="40" max="40" width="17.81640625" style="1" bestFit="1" customWidth="1"/>
    <col min="41" max="41" width="8.54296875" style="1"/>
    <col min="42" max="42" width="15.7265625" style="1" bestFit="1" customWidth="1"/>
    <col min="43" max="43" width="4.1796875" style="1" bestFit="1" customWidth="1"/>
    <col min="44" max="44" width="8.54296875" style="1"/>
    <col min="45" max="45" width="25.81640625" style="1" bestFit="1" customWidth="1"/>
    <col min="46" max="46" width="13" style="1" bestFit="1" customWidth="1"/>
    <col min="47" max="47" width="8.54296875" style="1"/>
    <col min="48" max="48" width="28.453125" style="1" bestFit="1" customWidth="1"/>
    <col min="49" max="49" width="10.7265625" style="1" bestFit="1" customWidth="1"/>
    <col min="50" max="50" width="8.54296875" style="1"/>
    <col min="51" max="51" width="44.7265625" style="1" bestFit="1" customWidth="1"/>
    <col min="52" max="52" width="20.81640625" style="1" bestFit="1" customWidth="1"/>
    <col min="53" max="53" width="8.54296875" style="1"/>
    <col min="54" max="54" width="29.26953125" style="1" bestFit="1" customWidth="1"/>
    <col min="55" max="55" width="10.7265625" style="1" bestFit="1" customWidth="1"/>
    <col min="56" max="56" width="8.54296875" style="1"/>
    <col min="57" max="57" width="30.81640625" style="1" bestFit="1" customWidth="1"/>
    <col min="58" max="58" width="10.7265625" style="1" bestFit="1" customWidth="1"/>
    <col min="59" max="59" width="8.54296875" style="1"/>
    <col min="60" max="60" width="26" style="1" bestFit="1" customWidth="1"/>
    <col min="61" max="61" width="10.7265625" style="1" bestFit="1" customWidth="1"/>
    <col min="62" max="62" width="8.54296875" style="1"/>
    <col min="63" max="63" width="31.26953125" style="1" bestFit="1" customWidth="1"/>
    <col min="64" max="64" width="8.453125" style="1" bestFit="1" customWidth="1"/>
    <col min="65" max="65" width="6.453125" style="1" bestFit="1" customWidth="1"/>
    <col min="66" max="16384" width="8.54296875" style="1"/>
  </cols>
  <sheetData>
    <row r="1" spans="1:69" ht="15" customHeight="1" x14ac:dyDescent="0.35">
      <c r="A1" s="179" t="s">
        <v>180</v>
      </c>
      <c r="B1" s="179"/>
      <c r="C1" s="179"/>
      <c r="D1" s="179"/>
      <c r="E1" s="179"/>
      <c r="F1" s="179"/>
      <c r="G1" s="179"/>
      <c r="H1" s="179"/>
      <c r="I1" s="179"/>
      <c r="J1" s="179"/>
      <c r="K1" s="179" t="s">
        <v>181</v>
      </c>
      <c r="L1" s="179"/>
      <c r="M1" s="179"/>
      <c r="N1" s="179"/>
      <c r="O1" s="179"/>
      <c r="P1" s="179"/>
      <c r="Q1" s="179"/>
      <c r="R1" s="179"/>
      <c r="S1" s="179"/>
      <c r="T1" s="179"/>
      <c r="U1" s="179"/>
      <c r="V1" s="179"/>
      <c r="W1" s="70"/>
      <c r="X1" s="180" t="s">
        <v>182</v>
      </c>
      <c r="Y1" s="180"/>
      <c r="Z1" s="181"/>
      <c r="AA1" s="180" t="s">
        <v>183</v>
      </c>
      <c r="AB1" s="180"/>
      <c r="AC1" s="180"/>
      <c r="AD1" s="181"/>
      <c r="AE1" s="180" t="s">
        <v>184</v>
      </c>
      <c r="AF1" s="180"/>
      <c r="AG1" s="181"/>
      <c r="AH1" s="180" t="s">
        <v>185</v>
      </c>
      <c r="AI1" s="180"/>
      <c r="AJ1" s="180"/>
      <c r="AK1" s="181"/>
      <c r="AL1" s="181"/>
      <c r="AM1" s="180" t="s">
        <v>186</v>
      </c>
      <c r="AN1" s="180"/>
      <c r="AO1" s="181"/>
      <c r="AP1" s="180" t="s">
        <v>187</v>
      </c>
      <c r="AQ1" s="180"/>
      <c r="AR1" s="181"/>
      <c r="AS1" s="178" t="s">
        <v>188</v>
      </c>
      <c r="AT1" s="178"/>
      <c r="AU1" s="181"/>
      <c r="AV1" s="180" t="s">
        <v>189</v>
      </c>
      <c r="AW1" s="180"/>
      <c r="AX1" s="181"/>
      <c r="AY1" s="180" t="s">
        <v>190</v>
      </c>
      <c r="AZ1" s="180"/>
      <c r="BA1" s="181"/>
      <c r="BB1" s="180" t="s">
        <v>191</v>
      </c>
      <c r="BC1" s="180"/>
      <c r="BD1" s="181"/>
      <c r="BE1" s="180" t="s">
        <v>192</v>
      </c>
      <c r="BF1" s="180"/>
      <c r="BG1" s="181"/>
      <c r="BH1" s="180" t="s">
        <v>193</v>
      </c>
      <c r="BI1" s="180"/>
      <c r="BJ1" s="181"/>
      <c r="BK1" s="180" t="s">
        <v>194</v>
      </c>
      <c r="BL1" s="180"/>
      <c r="BM1" s="180"/>
      <c r="BN1" s="178"/>
      <c r="BO1" s="178" t="s">
        <v>195</v>
      </c>
      <c r="BP1" s="178"/>
      <c r="BQ1"/>
    </row>
    <row r="2" spans="1:69" ht="15" customHeight="1" x14ac:dyDescent="0.35">
      <c r="A2" s="172" t="s">
        <v>196</v>
      </c>
      <c r="B2" s="172" t="s">
        <v>197</v>
      </c>
      <c r="C2" s="172" t="s">
        <v>198</v>
      </c>
      <c r="D2" s="172" t="s">
        <v>199</v>
      </c>
      <c r="E2" s="172"/>
      <c r="F2" s="172"/>
      <c r="G2" s="172"/>
      <c r="H2" s="172"/>
      <c r="I2" s="172"/>
      <c r="J2" s="172"/>
      <c r="K2" s="179" t="s">
        <v>196</v>
      </c>
      <c r="L2" s="179" t="s">
        <v>200</v>
      </c>
      <c r="M2" s="179" t="s">
        <v>201</v>
      </c>
      <c r="N2" s="172"/>
      <c r="O2" s="172"/>
      <c r="P2" s="172"/>
      <c r="Q2" s="172"/>
      <c r="R2" s="172"/>
      <c r="S2" s="172"/>
      <c r="T2" s="172"/>
      <c r="U2" s="172"/>
      <c r="V2" s="172"/>
      <c r="W2" s="70"/>
      <c r="X2" s="180" t="s">
        <v>196</v>
      </c>
      <c r="Y2" s="180" t="s">
        <v>202</v>
      </c>
      <c r="Z2" s="181"/>
      <c r="AA2" s="180" t="s">
        <v>196</v>
      </c>
      <c r="AB2" s="180" t="s">
        <v>200</v>
      </c>
      <c r="AC2" s="180" t="s">
        <v>203</v>
      </c>
      <c r="AD2" s="181"/>
      <c r="AE2" s="180" t="s">
        <v>196</v>
      </c>
      <c r="AF2" s="180" t="s">
        <v>204</v>
      </c>
      <c r="AG2" s="181"/>
      <c r="AH2" s="180" t="s">
        <v>196</v>
      </c>
      <c r="AI2" s="180" t="s">
        <v>205</v>
      </c>
      <c r="AJ2" s="180" t="s">
        <v>206</v>
      </c>
      <c r="AK2" s="181"/>
      <c r="AL2" s="181"/>
      <c r="AM2" s="180" t="s">
        <v>196</v>
      </c>
      <c r="AN2" s="180" t="s">
        <v>207</v>
      </c>
      <c r="AO2" s="181"/>
      <c r="AP2" s="180" t="s">
        <v>196</v>
      </c>
      <c r="AQ2" s="180" t="s">
        <v>111</v>
      </c>
      <c r="AR2" s="181"/>
      <c r="AS2" s="178" t="s">
        <v>196</v>
      </c>
      <c r="AT2" s="178" t="s">
        <v>208</v>
      </c>
      <c r="AU2" s="181"/>
      <c r="AV2" s="180" t="s">
        <v>196</v>
      </c>
      <c r="AW2" s="180" t="s">
        <v>202</v>
      </c>
      <c r="AX2" s="181"/>
      <c r="AY2" s="180" t="s">
        <v>196</v>
      </c>
      <c r="AZ2" s="180" t="s">
        <v>209</v>
      </c>
      <c r="BA2" s="181"/>
      <c r="BB2" s="180" t="s">
        <v>196</v>
      </c>
      <c r="BC2" s="180" t="s">
        <v>202</v>
      </c>
      <c r="BD2" s="181"/>
      <c r="BE2" s="180" t="s">
        <v>196</v>
      </c>
      <c r="BF2" s="180" t="s">
        <v>202</v>
      </c>
      <c r="BG2" s="181"/>
      <c r="BH2" s="180" t="s">
        <v>196</v>
      </c>
      <c r="BI2" s="180" t="s">
        <v>202</v>
      </c>
      <c r="BJ2" s="181"/>
      <c r="BK2" s="180" t="s">
        <v>210</v>
      </c>
      <c r="BL2" s="180" t="s">
        <v>211</v>
      </c>
      <c r="BM2" s="180" t="s">
        <v>201</v>
      </c>
      <c r="BN2" s="178"/>
      <c r="BO2" s="178" t="s">
        <v>212</v>
      </c>
      <c r="BP2" s="178" t="s">
        <v>213</v>
      </c>
      <c r="BQ2"/>
    </row>
    <row r="3" spans="1:69" ht="15" customHeight="1" x14ac:dyDescent="0.35">
      <c r="A3" s="172" t="s">
        <v>116</v>
      </c>
      <c r="B3" s="172" t="str">
        <f>'SURA Cotizadores'!C12</f>
        <v>N2</v>
      </c>
      <c r="C3" s="172">
        <f t="shared" ref="C3:C14" si="0">IFERROR(VALUE(SUBSTITUTE(B3,"N","")),0)</f>
        <v>2</v>
      </c>
      <c r="D3" s="172">
        <v>3</v>
      </c>
      <c r="E3" s="172"/>
      <c r="F3" s="172"/>
      <c r="G3" s="172"/>
      <c r="H3" s="172"/>
      <c r="I3" s="172"/>
      <c r="J3" s="172"/>
      <c r="K3" s="172" t="str">
        <f t="shared" ref="K3:K14" si="1">A3</f>
        <v>SURA Cotizadores</v>
      </c>
      <c r="L3" s="172">
        <f t="shared" ref="L3:L14" si="2">C3</f>
        <v>2</v>
      </c>
      <c r="M3" s="172">
        <v>3</v>
      </c>
      <c r="N3" s="172"/>
      <c r="O3" s="172"/>
      <c r="P3" s="172"/>
      <c r="Q3" s="172"/>
      <c r="R3" s="172"/>
      <c r="S3" s="172"/>
      <c r="T3" s="172"/>
      <c r="U3" s="172"/>
      <c r="V3" s="172"/>
      <c r="W3" s="70"/>
      <c r="X3" s="181" t="str">
        <f t="shared" ref="X3:X14" si="3">A3</f>
        <v>SURA Cotizadores</v>
      </c>
      <c r="Y3" s="182">
        <f>IFERROR(COUNTA('SURA Cotizadores'!C5:C24)/15,0)</f>
        <v>1.2666666666666666</v>
      </c>
      <c r="Z3" s="181"/>
      <c r="AA3" s="181" t="str">
        <f t="shared" ref="AA3:AA14" si="4">A3</f>
        <v>SURA Cotizadores</v>
      </c>
      <c r="AB3" s="183">
        <f t="shared" ref="AB3:AB14" si="5">C3</f>
        <v>2</v>
      </c>
      <c r="AC3" s="183">
        <v>3</v>
      </c>
      <c r="AD3" s="181"/>
      <c r="AE3" s="181" t="s">
        <v>116</v>
      </c>
      <c r="AF3" s="182">
        <f>IFERROR('SURA Cotizadores'!E56,0)</f>
        <v>0.52941176470588236</v>
      </c>
      <c r="AG3" s="181"/>
      <c r="AH3" s="181" t="str">
        <f t="shared" ref="AH3:AH14" si="6">A3</f>
        <v>SURA Cotizadores</v>
      </c>
      <c r="AI3" s="182" t="str">
        <f>IFERROR('SURA Cotizadores'!C66,0)</f>
        <v>N/D</v>
      </c>
      <c r="AJ3" s="182">
        <f>IFERROR('SURA Cotizadores'!C68,0)</f>
        <v>0.7</v>
      </c>
      <c r="AK3" s="181"/>
      <c r="AL3" s="181"/>
      <c r="AM3" s="181" t="str">
        <f t="shared" ref="AM3:AM14" si="7">A3</f>
        <v>SURA Cotizadores</v>
      </c>
      <c r="AN3" s="183">
        <f>IFERROR('SURA Cotizadores'!C82,0)</f>
        <v>0</v>
      </c>
      <c r="AO3" s="181"/>
      <c r="AP3" s="181" t="str">
        <f t="shared" ref="AP3:AP14" si="8">A3</f>
        <v>SURA Cotizadores</v>
      </c>
      <c r="AQ3" s="183">
        <f>IFERROR('SURA Cotizadores'!C89,0)</f>
        <v>0</v>
      </c>
      <c r="AR3" s="181"/>
      <c r="AS3" s="178" t="str">
        <f t="shared" ref="AS3:AS14" si="9">A3</f>
        <v>SURA Cotizadores</v>
      </c>
      <c r="AT3" s="178">
        <f>IF(OR('SURA Cotizadores'!C99="Sí",'SURA Cotizadores'!C99="Si"),1,IF('SURA Cotizadores'!C99="Parcial",0.5,0))+IF(OR('SURA Cotizadores'!C100="Sí",'SURA Cotizadores'!C100="Si"),1,IF('SURA Cotizadores'!C100="Parcial",0.5,0))+IF(OR('SURA Cotizadores'!C101="Sí",'SURA Cotizadores'!C101="Si"),1,IF('SURA Cotizadores'!C101="Parcial",0.5,0))+IF(OR('SURA Cotizadores'!C102="Sí",'SURA Cotizadores'!C102="Si"),1,IF('SURA Cotizadores'!C102="Parcial",0.5,0))+IF(OR('SURA Cotizadores'!C103="Sí",'SURA Cotizadores'!C103="Si"),1,IF('SURA Cotizadores'!C103="Parcial",0.5,0))+IF(OR('SURA Cotizadores'!C104="Sí",'SURA Cotizadores'!C104="Si"),1,IF('SURA Cotizadores'!C104="Parcial",0.5,0))+IF(OR('SURA Cotizadores'!C105="Sí",'SURA Cotizadores'!C105="Si"),1,IF('SURA Cotizadores'!C105="Parcial",0.5,0))+IF(OR('SURA Cotizadores'!C106="Sí",'SURA Cotizadores'!C106="Si"),1,IF('SURA Cotizadores'!C106="Parcial",0.5,0))+IF(OR('SURA Cotizadores'!C107="Sí",'SURA Cotizadores'!C107="Si"),1,IF('SURA Cotizadores'!C107="Parcial",0.5,0))+IF(OR('SURA Cotizadores'!C108="Sí",'SURA Cotizadores'!C108="Si"),1,IF('SURA Cotizadores'!C108="Parcial",0.5,0))+IF(OR('SURA Cotizadores'!C109="Sí",'SURA Cotizadores'!C109="Si"),1,IF('SURA Cotizadores'!C109="Parcial",0.5,0))+IF(OR('SURA Cotizadores'!C110="Sí",'SURA Cotizadores'!C110="Si"),1,IF('SURA Cotizadores'!C110="Parcial",0.5,0))+IF(OR('SURA Cotizadores'!C111="Sí",'SURA Cotizadores'!C111="Si"),1,IF('SURA Cotizadores'!C111="Parcial",0.5,0))+IF(OR('SURA Cotizadores'!C112="Sí",'SURA Cotizadores'!C112="Si"),1,IF('SURA Cotizadores'!C112="Parcial",0.5,0))+IF(OR('SURA Cotizadores'!C113="Sí",'SURA Cotizadores'!C113="Si"),1,IF('SURA Cotizadores'!C113="Parcial",0.5,0))+IF(OR('SURA Cotizadores'!C114="Sí",'SURA Cotizadores'!C114="Si"),1,IF('SURA Cotizadores'!C114="Parcial",0.5,0))+IF(OR('SURA Cotizadores'!C115="Sí",'SURA Cotizadores'!C115="Si"),1,IF('SURA Cotizadores'!C115="Parcial",0.5,0))+IF(OR('SURA Cotizadores'!C116="Sí",'SURA Cotizadores'!C116="Si"),1,IF('SURA Cotizadores'!C116="Parcial",0.5,0))+IF(OR('SURA Cotizadores'!C117="Sí",'SURA Cotizadores'!C117="Si"),1,IF('SURA Cotizadores'!C117="Parcial",0.5,0))+IF(OR('SURA Cotizadores'!C118="Sí",'SURA Cotizadores'!C118="Si"),1,IF('SURA Cotizadores'!C118="Parcial",0.5,0))+IF(OR('SURA Cotizadores'!C119="Sí",'SURA Cotizadores'!C119="Si"),1,IF('SURA Cotizadores'!C119="Parcial",0.5,0))+IF(OR('SURA Cotizadores'!C120="Sí",'SURA Cotizadores'!C120="Si"),1,IF('SURA Cotizadores'!C120="Parcial",0.5,0))+IF(OR('SURA Cotizadores'!C121="Sí",'SURA Cotizadores'!C121="Si"),1,IF('SURA Cotizadores'!C121="Parcial",0.5,0))</f>
        <v>13</v>
      </c>
      <c r="AU3" s="181"/>
      <c r="AV3" s="181" t="str">
        <f t="shared" ref="AV3:AV14" si="10">A3</f>
        <v>SURA Cotizadores</v>
      </c>
      <c r="AW3" s="182">
        <f>IFERROR(COUNTA('SURA Cotizadores'!C126:C133)/8,0)</f>
        <v>0.375</v>
      </c>
      <c r="AX3" s="181"/>
      <c r="AY3" s="181" t="str">
        <f t="shared" ref="AY3:AY14" si="11">A3</f>
        <v>SURA Cotizadores</v>
      </c>
      <c r="AZ3" s="183">
        <f>IFERROR(COUNTA('SURA Cotizadores'!C137:C146),0)</f>
        <v>3</v>
      </c>
      <c r="BA3" s="181"/>
      <c r="BB3" s="181" t="str">
        <f t="shared" ref="BB3:BB14" si="12">A3</f>
        <v>SURA Cotizadores</v>
      </c>
      <c r="BC3" s="182">
        <f>IFERROR(COUNTA('SURA Cotizadores'!C150:C156)/7,0)</f>
        <v>0.8571428571428571</v>
      </c>
      <c r="BD3" s="181"/>
      <c r="BE3" s="181" t="str">
        <f t="shared" ref="BE3:BE14" si="13">A3</f>
        <v>SURA Cotizadores</v>
      </c>
      <c r="BF3" s="182">
        <f>IFERROR(COUNTA('SURA Cotizadores'!C160:C168)/9,0)</f>
        <v>0.88888888888888884</v>
      </c>
      <c r="BG3" s="181"/>
      <c r="BH3" s="181" t="str">
        <f t="shared" ref="BH3:BH14" si="14">A3</f>
        <v>SURA Cotizadores</v>
      </c>
      <c r="BI3" s="182">
        <f>IFERROR(COUNTA('SURA Cotizadores'!C172:C182)/10,0)</f>
        <v>0.1</v>
      </c>
      <c r="BJ3" s="181"/>
      <c r="BK3" s="181" t="s">
        <v>214</v>
      </c>
      <c r="BL3" s="182">
        <f>AVERAGE(Y3:Y13)</f>
        <v>1.1454545454545455</v>
      </c>
      <c r="BM3" s="182">
        <f>100%</f>
        <v>1</v>
      </c>
      <c r="BN3" s="178"/>
      <c r="BO3" s="178" t="s">
        <v>153</v>
      </c>
      <c r="BP3" s="178">
        <f>Dashboard!O47</f>
        <v>4</v>
      </c>
      <c r="BQ3"/>
    </row>
    <row r="4" spans="1:69" ht="15" customHeight="1" x14ac:dyDescent="0.35">
      <c r="A4" s="172" t="s">
        <v>117</v>
      </c>
      <c r="B4" s="172" t="str">
        <f>'SURA Digital Venta'!C13</f>
        <v>N2</v>
      </c>
      <c r="C4" s="172">
        <f t="shared" si="0"/>
        <v>2</v>
      </c>
      <c r="D4" s="172">
        <v>3</v>
      </c>
      <c r="E4" s="172"/>
      <c r="F4" s="172"/>
      <c r="G4" s="172"/>
      <c r="H4" s="172"/>
      <c r="I4" s="172"/>
      <c r="J4" s="172"/>
      <c r="K4" s="172" t="str">
        <f t="shared" si="1"/>
        <v>SURA Digital Venta</v>
      </c>
      <c r="L4" s="172">
        <f t="shared" si="2"/>
        <v>2</v>
      </c>
      <c r="M4" s="172">
        <v>3</v>
      </c>
      <c r="N4" s="172"/>
      <c r="O4" s="172"/>
      <c r="P4" s="172"/>
      <c r="Q4" s="172"/>
      <c r="R4" s="172"/>
      <c r="S4" s="172"/>
      <c r="T4" s="172"/>
      <c r="U4" s="172"/>
      <c r="V4" s="172"/>
      <c r="W4" s="70"/>
      <c r="X4" s="181" t="str">
        <f t="shared" si="3"/>
        <v>SURA Digital Venta</v>
      </c>
      <c r="Y4" s="182">
        <f>IFERROR(COUNTA('SURA Digital Venta'!C5:C24)/15,0)</f>
        <v>1.2</v>
      </c>
      <c r="Z4" s="181"/>
      <c r="AA4" s="181" t="str">
        <f t="shared" si="4"/>
        <v>SURA Digital Venta</v>
      </c>
      <c r="AB4" s="183">
        <f t="shared" si="5"/>
        <v>2</v>
      </c>
      <c r="AC4" s="183">
        <v>3</v>
      </c>
      <c r="AD4" s="181"/>
      <c r="AE4" s="181" t="s">
        <v>117</v>
      </c>
      <c r="AF4" s="182">
        <f>IFERROR('SURA Digital Venta'!E57,0)</f>
        <v>0.55882352941176472</v>
      </c>
      <c r="AG4" s="181"/>
      <c r="AH4" s="181" t="str">
        <f t="shared" si="6"/>
        <v>SURA Digital Venta</v>
      </c>
      <c r="AI4" s="182" t="str">
        <f>IFERROR('SURA Digital Venta'!C67,0)</f>
        <v>N/D</v>
      </c>
      <c r="AJ4" s="182">
        <f>IFERROR('SURA Digital Venta'!C69,0)</f>
        <v>0.74</v>
      </c>
      <c r="AK4" s="181"/>
      <c r="AL4" s="181"/>
      <c r="AM4" s="181" t="str">
        <f t="shared" si="7"/>
        <v>SURA Digital Venta</v>
      </c>
      <c r="AN4" s="183">
        <f>IFERROR('SURA Digital Venta'!C82,0)</f>
        <v>0</v>
      </c>
      <c r="AO4" s="181"/>
      <c r="AP4" s="181" t="str">
        <f t="shared" si="8"/>
        <v>SURA Digital Venta</v>
      </c>
      <c r="AQ4" s="183" t="str">
        <f>IFERROR('SURA Digital Venta'!C89,0)</f>
        <v>Valor Actual</v>
      </c>
      <c r="AR4" s="181"/>
      <c r="AS4" s="178" t="str">
        <f t="shared" si="9"/>
        <v>SURA Digital Venta</v>
      </c>
      <c r="AT4" s="178">
        <f>IF(OR('SURA Digital Venta'!C100="Sí",'SURA Digital Venta'!C100="Si"),1,IF('SURA Digital Venta'!C100="Parcial",0.5,0))+IF(OR('SURA Digital Venta'!C101="Sí",'SURA Digital Venta'!C101="Si"),1,IF('SURA Digital Venta'!C101="Parcial",0.5,0))+IF(OR('SURA Digital Venta'!C102="Sí",'SURA Digital Venta'!C102="Si"),1,IF('SURA Digital Venta'!C102="Parcial",0.5,0))+IF(OR('SURA Digital Venta'!C103="Sí",'SURA Digital Venta'!C103="Si"),1,IF('SURA Digital Venta'!C103="Parcial",0.5,0))+IF(OR('SURA Digital Venta'!C104="Sí",'SURA Digital Venta'!C104="Si"),1,IF('SURA Digital Venta'!C104="Parcial",0.5,0))+IF(OR('SURA Digital Venta'!C105="Sí",'SURA Digital Venta'!C105="Si"),1,IF('SURA Digital Venta'!C105="Parcial",0.5,0))+IF(OR('SURA Digital Venta'!C106="Sí",'SURA Digital Venta'!C106="Si"),1,IF('SURA Digital Venta'!C106="Parcial",0.5,0))+IF(OR('SURA Digital Venta'!C107="Sí",'SURA Digital Venta'!C107="Si"),1,IF('SURA Digital Venta'!C107="Parcial",0.5,0))+IF(OR('SURA Digital Venta'!C108="Sí",'SURA Digital Venta'!C108="Si"),1,IF('SURA Digital Venta'!C108="Parcial",0.5,0))+IF(OR('SURA Digital Venta'!C109="Sí",'SURA Digital Venta'!C109="Si"),1,IF('SURA Digital Venta'!C109="Parcial",0.5,0))+IF(OR('SURA Digital Venta'!C110="Sí",'SURA Digital Venta'!C110="Si"),1,IF('SURA Digital Venta'!C110="Parcial",0.5,0))+IF(OR('SURA Digital Venta'!C111="Sí",'SURA Digital Venta'!C111="Si"),1,IF('SURA Digital Venta'!C111="Parcial",0.5,0))+IF(OR('SURA Digital Venta'!C112="Sí",'SURA Digital Venta'!C112="Si"),1,IF('SURA Digital Venta'!C112="Parcial",0.5,0))+IF(OR('SURA Digital Venta'!C113="Sí",'SURA Digital Venta'!C113="Si"),1,IF('SURA Digital Venta'!C113="Parcial",0.5,0))+IF(OR('SURA Digital Venta'!C114="Sí",'SURA Digital Venta'!C114="Si"),1,IF('SURA Digital Venta'!C114="Parcial",0.5,0))+IF(OR('SURA Digital Venta'!C115="Sí",'SURA Digital Venta'!C115="Si"),1,IF('SURA Digital Venta'!C115="Parcial",0.5,0))+IF(OR('SURA Digital Venta'!C116="Sí",'SURA Digital Venta'!C116="Si"),1,IF('SURA Digital Venta'!C116="Parcial",0.5,0))+IF(OR('SURA Digital Venta'!C117="Sí",'SURA Digital Venta'!C117="Si"),1,IF('SURA Digital Venta'!C117="Parcial",0.5,0))+IF(OR('SURA Digital Venta'!C118="Sí",'SURA Digital Venta'!C118="Si"),1,IF('SURA Digital Venta'!C118="Parcial",0.5,0))+IF(OR('SURA Digital Venta'!C119="Sí",'SURA Digital Venta'!C119="Si"),1,IF('SURA Digital Venta'!C119="Parcial",0.5,0))+IF(OR('SURA Digital Venta'!C120="Sí",'SURA Digital Venta'!C120="Si"),1,IF('SURA Digital Venta'!C120="Parcial",0.5,0))+IF(OR('SURA Digital Venta'!C121="Sí",'SURA Digital Venta'!C121="Si"),1,IF('SURA Digital Venta'!C121="Parcial",0.5,0))</f>
        <v>12.5</v>
      </c>
      <c r="AU4" s="181"/>
      <c r="AV4" s="181" t="str">
        <f t="shared" si="10"/>
        <v>SURA Digital Venta</v>
      </c>
      <c r="AW4" s="182">
        <f>IFERROR(COUNTA('SURA Digital Venta'!C126:C133)/8,0)</f>
        <v>0.375</v>
      </c>
      <c r="AX4" s="181"/>
      <c r="AY4" s="181" t="str">
        <f t="shared" si="11"/>
        <v>SURA Digital Venta</v>
      </c>
      <c r="AZ4" s="183">
        <f>IFERROR(COUNTA('SURA Digital Venta'!C137:C146),0)</f>
        <v>3</v>
      </c>
      <c r="BA4" s="181"/>
      <c r="BB4" s="181" t="str">
        <f t="shared" si="12"/>
        <v>SURA Digital Venta</v>
      </c>
      <c r="BC4" s="182">
        <f>IFERROR(COUNTA('SURA Digital Venta'!C150:C156)/7,0)</f>
        <v>0.8571428571428571</v>
      </c>
      <c r="BD4" s="181"/>
      <c r="BE4" s="181" t="str">
        <f t="shared" si="13"/>
        <v>SURA Digital Venta</v>
      </c>
      <c r="BF4" s="182">
        <f>IFERROR(COUNTA('SURA Digital Venta'!C160:C168)/9,0)</f>
        <v>0.88888888888888884</v>
      </c>
      <c r="BG4" s="181"/>
      <c r="BH4" s="181" t="str">
        <f t="shared" si="14"/>
        <v>SURA Digital Venta</v>
      </c>
      <c r="BI4" s="182">
        <f>IFERROR(COUNTA('SURA Digital Venta'!C172:C182)/10,0)</f>
        <v>0.1</v>
      </c>
      <c r="BJ4" s="181"/>
      <c r="BK4" s="181" t="s">
        <v>215</v>
      </c>
      <c r="BL4" s="182">
        <f>AVERAGE(AB3:AB13)/5</f>
        <v>0.27272727272727271</v>
      </c>
      <c r="BM4" s="182">
        <f>60%</f>
        <v>0.6</v>
      </c>
      <c r="BN4" s="178"/>
      <c r="BO4" s="178" t="s">
        <v>154</v>
      </c>
      <c r="BP4" s="178">
        <f>Dashboard!O48</f>
        <v>3.5</v>
      </c>
      <c r="BQ4"/>
    </row>
    <row r="5" spans="1:69" ht="15" customHeight="1" x14ac:dyDescent="0.35">
      <c r="A5" s="172" t="s">
        <v>118</v>
      </c>
      <c r="B5" s="172" t="str">
        <f>'SURA Automatizacion'!C13</f>
        <v>N2</v>
      </c>
      <c r="C5" s="172">
        <f t="shared" si="0"/>
        <v>2</v>
      </c>
      <c r="D5" s="172">
        <v>3</v>
      </c>
      <c r="E5" s="172"/>
      <c r="F5" s="172"/>
      <c r="G5" s="172"/>
      <c r="H5" s="172"/>
      <c r="I5" s="172"/>
      <c r="J5" s="172"/>
      <c r="K5" s="172" t="str">
        <f t="shared" si="1"/>
        <v>SURA Automatizacion</v>
      </c>
      <c r="L5" s="172">
        <f t="shared" si="2"/>
        <v>2</v>
      </c>
      <c r="M5" s="172">
        <v>3</v>
      </c>
      <c r="N5" s="172"/>
      <c r="O5" s="172"/>
      <c r="P5" s="172"/>
      <c r="Q5" s="172"/>
      <c r="R5" s="172"/>
      <c r="S5" s="172"/>
      <c r="T5" s="172"/>
      <c r="U5" s="172"/>
      <c r="V5" s="172"/>
      <c r="W5" s="70"/>
      <c r="X5" s="181" t="str">
        <f t="shared" si="3"/>
        <v>SURA Automatizacion</v>
      </c>
      <c r="Y5" s="182">
        <f>IFERROR(COUNTA('SURA Automatizacion'!C5:C24)/15,0)</f>
        <v>1.2</v>
      </c>
      <c r="Z5" s="181"/>
      <c r="AA5" s="181" t="str">
        <f t="shared" si="4"/>
        <v>SURA Automatizacion</v>
      </c>
      <c r="AB5" s="183">
        <f t="shared" si="5"/>
        <v>2</v>
      </c>
      <c r="AC5" s="183">
        <v>3</v>
      </c>
      <c r="AD5" s="181"/>
      <c r="AE5" s="181" t="s">
        <v>118</v>
      </c>
      <c r="AF5" s="182">
        <f>IFERROR('SURA Automatizacion'!E57,0)</f>
        <v>0.61764705882352944</v>
      </c>
      <c r="AG5" s="181"/>
      <c r="AH5" s="181" t="str">
        <f t="shared" si="6"/>
        <v>SURA Automatizacion</v>
      </c>
      <c r="AI5" s="182" t="str">
        <f>IFERROR('SURA Automatizacion'!C67,0)</f>
        <v>N/D</v>
      </c>
      <c r="AJ5" s="182">
        <f>IFERROR('SURA Automatizacion'!C69,0)</f>
        <v>0.98</v>
      </c>
      <c r="AK5" s="181"/>
      <c r="AL5" s="181"/>
      <c r="AM5" s="181" t="str">
        <f t="shared" si="7"/>
        <v>SURA Automatizacion</v>
      </c>
      <c r="AN5" s="183">
        <f>IFERROR('SURA Automatizacion'!C82,0)</f>
        <v>0</v>
      </c>
      <c r="AO5" s="181"/>
      <c r="AP5" s="181" t="str">
        <f t="shared" si="8"/>
        <v>SURA Automatizacion</v>
      </c>
      <c r="AQ5" s="183" t="str">
        <f>IFERROR('SURA Automatizacion'!C89,0)</f>
        <v>Valor Actual</v>
      </c>
      <c r="AR5" s="181"/>
      <c r="AS5" s="178" t="str">
        <f t="shared" si="9"/>
        <v>SURA Automatizacion</v>
      </c>
      <c r="AT5" s="178">
        <f>IF(OR('SURA Automatizacion'!C100="Sí",'SURA Automatizacion'!C100="Si"),1,IF('SURA Automatizacion'!C100="Parcial",0.5,0))+IF(OR('SURA Automatizacion'!C101="Sí",'SURA Automatizacion'!C101="Si"),1,IF('SURA Automatizacion'!C101="Parcial",0.5,0))+IF(OR('SURA Automatizacion'!C102="Sí",'SURA Automatizacion'!C102="Si"),1,IF('SURA Automatizacion'!C102="Parcial",0.5,0))+IF(OR('SURA Automatizacion'!C103="Sí",'SURA Automatizacion'!C103="Si"),1,IF('SURA Automatizacion'!C103="Parcial",0.5,0))+IF(OR('SURA Automatizacion'!C104="Sí",'SURA Automatizacion'!C104="Si"),1,IF('SURA Automatizacion'!C104="Parcial",0.5,0))+IF(OR('SURA Automatizacion'!C105="Sí",'SURA Automatizacion'!C105="Si"),1,IF('SURA Automatizacion'!C105="Parcial",0.5,0))+IF(OR('SURA Automatizacion'!C106="Sí",'SURA Automatizacion'!C106="Si"),1,IF('SURA Automatizacion'!C106="Parcial",0.5,0))+IF(OR('SURA Automatizacion'!C107="Sí",'SURA Automatizacion'!C107="Si"),1,IF('SURA Automatizacion'!C107="Parcial",0.5,0))+IF(OR('SURA Automatizacion'!C108="Sí",'SURA Automatizacion'!C108="Si"),1,IF('SURA Automatizacion'!C108="Parcial",0.5,0))+IF(OR('SURA Automatizacion'!C109="Sí",'SURA Automatizacion'!C109="Si"),1,IF('SURA Automatizacion'!C109="Parcial",0.5,0))+IF(OR('SURA Automatizacion'!C110="Sí",'SURA Automatizacion'!C110="Si"),1,IF('SURA Automatizacion'!C110="Parcial",0.5,0))+IF(OR('SURA Automatizacion'!C111="Sí",'SURA Automatizacion'!C111="Si"),1,IF('SURA Automatizacion'!C111="Parcial",0.5,0))+IF(OR('SURA Automatizacion'!C112="Sí",'SURA Automatizacion'!C112="Si"),1,IF('SURA Automatizacion'!C112="Parcial",0.5,0))+IF(OR('SURA Automatizacion'!C113="Sí",'SURA Automatizacion'!C113="Si"),1,IF('SURA Automatizacion'!C113="Parcial",0.5,0))+IF(OR('SURA Automatizacion'!C114="Sí",'SURA Automatizacion'!C114="Si"),1,IF('SURA Automatizacion'!C114="Parcial",0.5,0))+IF(OR('SURA Automatizacion'!C115="Sí",'SURA Automatizacion'!C115="Si"),1,IF('SURA Automatizacion'!C115="Parcial",0.5,0))+IF(OR('SURA Automatizacion'!C116="Sí",'SURA Automatizacion'!C116="Si"),1,IF('SURA Automatizacion'!C116="Parcial",0.5,0))+IF(OR('SURA Automatizacion'!C117="Sí",'SURA Automatizacion'!C117="Si"),1,IF('SURA Automatizacion'!C117="Parcial",0.5,0))+IF(OR('SURA Automatizacion'!C118="Sí",'SURA Automatizacion'!C118="Si"),1,IF('SURA Automatizacion'!C118="Parcial",0.5,0))+IF(OR('SURA Automatizacion'!C119="Sí",'SURA Automatizacion'!C119="Si"),1,IF('SURA Automatizacion'!C119="Parcial",0.5,0))+IF(OR('SURA Automatizacion'!C120="Sí",'SURA Automatizacion'!C120="Si"),1,IF('SURA Automatizacion'!C120="Parcial",0.5,0))+IF(OR('SURA Automatizacion'!C121="Sí",'SURA Automatizacion'!C121="Si"),1,IF('SURA Automatizacion'!C121="Parcial",0.5,0))</f>
        <v>11</v>
      </c>
      <c r="AU5" s="181"/>
      <c r="AV5" s="181" t="str">
        <f t="shared" si="10"/>
        <v>SURA Automatizacion</v>
      </c>
      <c r="AW5" s="182">
        <f>IFERROR(COUNTA('SURA Automatizacion'!C126:C133)/8,0)</f>
        <v>0.375</v>
      </c>
      <c r="AX5" s="181"/>
      <c r="AY5" s="181" t="str">
        <f t="shared" si="11"/>
        <v>SURA Automatizacion</v>
      </c>
      <c r="AZ5" s="183">
        <f>IFERROR(COUNTA('SURA Automatizacion'!C137:C146),0)</f>
        <v>5</v>
      </c>
      <c r="BA5" s="181"/>
      <c r="BB5" s="181" t="str">
        <f t="shared" si="12"/>
        <v>SURA Automatizacion</v>
      </c>
      <c r="BC5" s="182">
        <f>IFERROR(COUNTA('SURA Automatizacion'!C150:C156)/7,0)</f>
        <v>0.8571428571428571</v>
      </c>
      <c r="BD5" s="181"/>
      <c r="BE5" s="181" t="str">
        <f t="shared" si="13"/>
        <v>SURA Automatizacion</v>
      </c>
      <c r="BF5" s="182">
        <f>IFERROR(COUNTA('SURA Automatizacion'!C160:C168)/9,0)</f>
        <v>0.88888888888888884</v>
      </c>
      <c r="BG5" s="181"/>
      <c r="BH5" s="181" t="str">
        <f t="shared" si="14"/>
        <v>SURA Automatizacion</v>
      </c>
      <c r="BI5" s="182">
        <f>IFERROR(COUNTA('SURA Automatizacion'!C172:C182)/10,0)</f>
        <v>0.1</v>
      </c>
      <c r="BJ5" s="181"/>
      <c r="BK5" s="181" t="s">
        <v>216</v>
      </c>
      <c r="BL5" s="182">
        <f>AVERAGE(AF3:AF13)</f>
        <v>0.61497326203208569</v>
      </c>
      <c r="BM5" s="182">
        <f>70%</f>
        <v>0.7</v>
      </c>
      <c r="BN5" s="178"/>
      <c r="BO5" s="178" t="s">
        <v>155</v>
      </c>
      <c r="BP5" s="178">
        <f>Dashboard!O49</f>
        <v>6.5</v>
      </c>
      <c r="BQ5"/>
    </row>
    <row r="6" spans="1:69" ht="15" customHeight="1" x14ac:dyDescent="0.35">
      <c r="A6" s="172" t="s">
        <v>119</v>
      </c>
      <c r="B6" s="172" t="str">
        <f>'SURA Canales Masivos'!C13</f>
        <v>N2</v>
      </c>
      <c r="C6" s="172">
        <f t="shared" si="0"/>
        <v>2</v>
      </c>
      <c r="D6" s="172">
        <v>3</v>
      </c>
      <c r="E6" s="172"/>
      <c r="F6" s="172"/>
      <c r="G6" s="172"/>
      <c r="H6" s="172"/>
      <c r="I6" s="172"/>
      <c r="J6" s="172"/>
      <c r="K6" s="172" t="str">
        <f t="shared" si="1"/>
        <v>SURA Canales Masivos</v>
      </c>
      <c r="L6" s="172">
        <f t="shared" si="2"/>
        <v>2</v>
      </c>
      <c r="M6" s="172">
        <v>3</v>
      </c>
      <c r="N6" s="172"/>
      <c r="O6" s="172"/>
      <c r="P6" s="172"/>
      <c r="Q6" s="172"/>
      <c r="R6" s="172"/>
      <c r="S6" s="172"/>
      <c r="T6" s="172"/>
      <c r="U6" s="172"/>
      <c r="V6" s="172"/>
      <c r="W6" s="70"/>
      <c r="X6" s="181" t="str">
        <f t="shared" si="3"/>
        <v>SURA Canales Masivos</v>
      </c>
      <c r="Y6" s="182">
        <f>IFERROR(COUNTA('SURA Canales Masivos'!C5:C24)/15,0)</f>
        <v>1.2</v>
      </c>
      <c r="Z6" s="181"/>
      <c r="AA6" s="181" t="str">
        <f t="shared" si="4"/>
        <v>SURA Canales Masivos</v>
      </c>
      <c r="AB6" s="183">
        <f t="shared" si="5"/>
        <v>2</v>
      </c>
      <c r="AC6" s="183">
        <v>3</v>
      </c>
      <c r="AD6" s="181"/>
      <c r="AE6" s="181" t="s">
        <v>119</v>
      </c>
      <c r="AF6" s="182">
        <f>IFERROR('SURA Canales Masivos'!E57,0)</f>
        <v>0.58823529411764708</v>
      </c>
      <c r="AG6" s="181"/>
      <c r="AH6" s="181" t="str">
        <f t="shared" si="6"/>
        <v>SURA Canales Masivos</v>
      </c>
      <c r="AI6" s="182">
        <f>IFERROR('SURA Canales Masivos'!C67,0)</f>
        <v>0</v>
      </c>
      <c r="AJ6" s="182">
        <f>IFERROR('SURA Canales Masivos'!C69,0)</f>
        <v>0.72</v>
      </c>
      <c r="AK6" s="181"/>
      <c r="AL6" s="181"/>
      <c r="AM6" s="181" t="str">
        <f t="shared" si="7"/>
        <v>SURA Canales Masivos</v>
      </c>
      <c r="AN6" s="183">
        <f>IFERROR('SURA Canales Masivos'!C82,0)</f>
        <v>0</v>
      </c>
      <c r="AO6" s="181"/>
      <c r="AP6" s="181" t="str">
        <f t="shared" si="8"/>
        <v>SURA Canales Masivos</v>
      </c>
      <c r="AQ6" s="183" t="str">
        <f>IFERROR('SURA Canales Masivos'!C89,0)</f>
        <v>Valor Actual</v>
      </c>
      <c r="AR6" s="181"/>
      <c r="AS6" s="178" t="str">
        <f t="shared" si="9"/>
        <v>SURA Canales Masivos</v>
      </c>
      <c r="AT6" s="178">
        <f>IF(OR('SURA Canales Masivos'!C100="Sí",'SURA Canales Masivos'!C100="Si"),1,IF('SURA Canales Masivos'!C100="Parcial",0.5,0))+IF(OR('SURA Canales Masivos'!C101="Sí",'SURA Canales Masivos'!C101="Si"),1,IF('SURA Canales Masivos'!C101="Parcial",0.5,0))+IF(OR('SURA Canales Masivos'!C102="Sí",'SURA Canales Masivos'!C102="Si"),1,IF('SURA Canales Masivos'!C102="Parcial",0.5,0))+IF(OR('SURA Canales Masivos'!C103="Sí",'SURA Canales Masivos'!C103="Si"),1,IF('SURA Canales Masivos'!C103="Parcial",0.5,0))+IF(OR('SURA Canales Masivos'!C104="Sí",'SURA Canales Masivos'!C104="Si"),1,IF('SURA Canales Masivos'!C104="Parcial",0.5,0))+IF(OR('SURA Canales Masivos'!C105="Sí",'SURA Canales Masivos'!C105="Si"),1,IF('SURA Canales Masivos'!C105="Parcial",0.5,0))+IF(OR('SURA Canales Masivos'!C106="Sí",'SURA Canales Masivos'!C106="Si"),1,IF('SURA Canales Masivos'!C106="Parcial",0.5,0))+IF(OR('SURA Canales Masivos'!C107="Sí",'SURA Canales Masivos'!C107="Si"),1,IF('SURA Canales Masivos'!C107="Parcial",0.5,0))+IF(OR('SURA Canales Masivos'!C108="Sí",'SURA Canales Masivos'!C108="Si"),1,IF('SURA Canales Masivos'!C108="Parcial",0.5,0))+IF(OR('SURA Canales Masivos'!C109="Sí",'SURA Canales Masivos'!C109="Si"),1,IF('SURA Canales Masivos'!C109="Parcial",0.5,0))+IF(OR('SURA Canales Masivos'!C110="Sí",'SURA Canales Masivos'!C110="Si"),1,IF('SURA Canales Masivos'!C110="Parcial",0.5,0))+IF(OR('SURA Canales Masivos'!C111="Sí",'SURA Canales Masivos'!C111="Si"),1,IF('SURA Canales Masivos'!C111="Parcial",0.5,0))+IF(OR('SURA Canales Masivos'!C112="Sí",'SURA Canales Masivos'!C112="Si"),1,IF('SURA Canales Masivos'!C112="Parcial",0.5,0))+IF(OR('SURA Canales Masivos'!C113="Sí",'SURA Canales Masivos'!C113="Si"),1,IF('SURA Canales Masivos'!C113="Parcial",0.5,0))+IF(OR('SURA Canales Masivos'!C114="Sí",'SURA Canales Masivos'!C114="Si"),1,IF('SURA Canales Masivos'!C114="Parcial",0.5,0))+IF(OR('SURA Canales Masivos'!C115="Sí",'SURA Canales Masivos'!C115="Si"),1,IF('SURA Canales Masivos'!C115="Parcial",0.5,0))+IF(OR('SURA Canales Masivos'!C116="Sí",'SURA Canales Masivos'!C116="Si"),1,IF('SURA Canales Masivos'!C116="Parcial",0.5,0))+IF(OR('SURA Canales Masivos'!C117="Sí",'SURA Canales Masivos'!C117="Si"),1,IF('SURA Canales Masivos'!C117="Parcial",0.5,0))+IF(OR('SURA Canales Masivos'!C118="Sí",'SURA Canales Masivos'!C118="Si"),1,IF('SURA Canales Masivos'!C118="Parcial",0.5,0))+IF(OR('SURA Canales Masivos'!C119="Sí",'SURA Canales Masivos'!C119="Si"),1,IF('SURA Canales Masivos'!C119="Parcial",0.5,0))+IF(OR('SURA Canales Masivos'!C120="Sí",'SURA Canales Masivos'!C120="Si"),1,IF('SURA Canales Masivos'!C120="Parcial",0.5,0))+IF(OR('SURA Canales Masivos'!C121="Sí",'SURA Canales Masivos'!C121="Si"),1,IF('SURA Canales Masivos'!C121="Parcial",0.5,0))</f>
        <v>13</v>
      </c>
      <c r="AU6" s="181"/>
      <c r="AV6" s="181" t="str">
        <f t="shared" si="10"/>
        <v>SURA Canales Masivos</v>
      </c>
      <c r="AW6" s="182">
        <f>IFERROR(COUNTA('SURA Canales Masivos'!C126:C133)/8,0)</f>
        <v>0.375</v>
      </c>
      <c r="AX6" s="181"/>
      <c r="AY6" s="181" t="str">
        <f t="shared" si="11"/>
        <v>SURA Canales Masivos</v>
      </c>
      <c r="AZ6" s="183">
        <f>IFERROR(COUNTA('SURA Canales Masivos'!C137:C146),0)</f>
        <v>4</v>
      </c>
      <c r="BA6" s="181"/>
      <c r="BB6" s="181" t="str">
        <f t="shared" si="12"/>
        <v>SURA Canales Masivos</v>
      </c>
      <c r="BC6" s="182">
        <f>IFERROR(COUNTA('SURA Canales Masivos'!C150:C156)/7,0)</f>
        <v>0.8571428571428571</v>
      </c>
      <c r="BD6" s="181"/>
      <c r="BE6" s="181" t="str">
        <f t="shared" si="13"/>
        <v>SURA Canales Masivos</v>
      </c>
      <c r="BF6" s="182">
        <f>IFERROR(COUNTA('SURA Canales Masivos'!C160:C168)/9,0)</f>
        <v>0.88888888888888884</v>
      </c>
      <c r="BG6" s="181"/>
      <c r="BH6" s="181" t="str">
        <f t="shared" si="14"/>
        <v>SURA Canales Masivos</v>
      </c>
      <c r="BI6" s="182">
        <f>IFERROR(COUNTA('SURA Canales Masivos'!C172:C182)/10,0)</f>
        <v>0.1</v>
      </c>
      <c r="BJ6" s="181"/>
      <c r="BK6" s="181" t="s">
        <v>217</v>
      </c>
      <c r="BL6" s="182">
        <f>AVERAGE(AI3:AJ13)</f>
        <v>0.28545454545454541</v>
      </c>
      <c r="BM6" s="182">
        <f>85%</f>
        <v>0.85</v>
      </c>
      <c r="BN6" s="178"/>
      <c r="BO6" s="178" t="s">
        <v>156</v>
      </c>
      <c r="BP6" s="178">
        <f>Dashboard!O50</f>
        <v>3</v>
      </c>
      <c r="BQ6"/>
    </row>
    <row r="7" spans="1:69" ht="15" customHeight="1" x14ac:dyDescent="0.35">
      <c r="A7" s="172" t="s">
        <v>120</v>
      </c>
      <c r="B7" s="172" t="str">
        <f>'BCO COES Integracion'!C13</f>
        <v>N1</v>
      </c>
      <c r="C7" s="172">
        <f t="shared" si="0"/>
        <v>1</v>
      </c>
      <c r="D7" s="172">
        <v>3</v>
      </c>
      <c r="E7" s="172"/>
      <c r="F7" s="172"/>
      <c r="G7" s="172"/>
      <c r="H7" s="172"/>
      <c r="I7" s="172"/>
      <c r="J7" s="172"/>
      <c r="K7" s="172" t="str">
        <f t="shared" si="1"/>
        <v>BCO COES Integracion</v>
      </c>
      <c r="L7" s="172">
        <f t="shared" si="2"/>
        <v>1</v>
      </c>
      <c r="M7" s="172">
        <v>3</v>
      </c>
      <c r="N7" s="172"/>
      <c r="O7" s="172"/>
      <c r="P7" s="172"/>
      <c r="Q7" s="172"/>
      <c r="R7" s="172"/>
      <c r="S7" s="172"/>
      <c r="T7" s="172"/>
      <c r="U7" s="172"/>
      <c r="V7" s="172"/>
      <c r="W7" s="70"/>
      <c r="X7" s="181" t="str">
        <f t="shared" si="3"/>
        <v>BCO COES Integracion</v>
      </c>
      <c r="Y7" s="182">
        <f>IFERROR(COUNTA('BCO COES Integracion'!C5:C23)/15,0)</f>
        <v>1</v>
      </c>
      <c r="Z7" s="181"/>
      <c r="AA7" s="181" t="str">
        <f t="shared" si="4"/>
        <v>BCO COES Integracion</v>
      </c>
      <c r="AB7" s="183">
        <f t="shared" si="5"/>
        <v>1</v>
      </c>
      <c r="AC7" s="183">
        <v>3</v>
      </c>
      <c r="AD7" s="181"/>
      <c r="AE7" s="181" t="str">
        <f t="shared" ref="AE7:AE14" si="15">A7</f>
        <v>BCO COES Integracion</v>
      </c>
      <c r="AF7" s="182">
        <f>IFERROR('BCO COES Integracion'!E58,0)</f>
        <v>0.73529411764705888</v>
      </c>
      <c r="AG7" s="181"/>
      <c r="AH7" s="181" t="str">
        <f t="shared" si="6"/>
        <v>BCO COES Integracion</v>
      </c>
      <c r="AI7" s="182" t="str">
        <f>IFERROR('BCO COES Integracion'!C68,0)</f>
        <v>Pendiente revisar líderes técnicos</v>
      </c>
      <c r="AJ7" s="182" t="str">
        <f>IFERROR('BCO COES Integracion'!C70,0)</f>
        <v>No aplica SLA- ANS del Banco y de COES</v>
      </c>
      <c r="AK7" s="181"/>
      <c r="AL7" s="181"/>
      <c r="AM7" s="181" t="str">
        <f t="shared" si="7"/>
        <v>BCO COES Integracion</v>
      </c>
      <c r="AN7" s="183" t="str">
        <f>IFERROR('BCO COES Integracion'!C82,0)</f>
        <v>700 a 3.000</v>
      </c>
      <c r="AO7" s="181"/>
      <c r="AP7" s="181" t="str">
        <f t="shared" si="8"/>
        <v>BCO COES Integracion</v>
      </c>
      <c r="AQ7" s="183">
        <f>IFERROR('BCO COES Integracion'!C91,0)</f>
        <v>0</v>
      </c>
      <c r="AR7" s="181"/>
      <c r="AS7" s="178" t="str">
        <f t="shared" si="9"/>
        <v>BCO COES Integracion</v>
      </c>
      <c r="AT7" s="178">
        <f>IF(OR('BCO COES Integracion'!C101="Sí",'BCO COES Integracion'!C101="Si"),1,IF('BCO COES Integracion'!C101="Parcial",0.5,0))+IF(OR('BCO COES Integracion'!C102="Sí",'BCO COES Integracion'!C102="Si"),1,IF('BCO COES Integracion'!C102="Parcial",0.5,0))+IF(OR('BCO COES Integracion'!C103="Sí",'BCO COES Integracion'!C103="Si"),1,IF('BCO COES Integracion'!C103="Parcial",0.5,0))+IF(OR('BCO COES Integracion'!C104="Sí",'BCO COES Integracion'!C104="Si"),1,IF('BCO COES Integracion'!C104="Parcial",0.5,0))+IF(OR('BCO COES Integracion'!C105="Sí",'BCO COES Integracion'!C105="Si"),1,IF('BCO COES Integracion'!C105="Parcial",0.5,0))+IF(OR('BCO COES Integracion'!C106="Sí",'BCO COES Integracion'!C106="Si"),1,IF('BCO COES Integracion'!C106="Parcial",0.5,0))+IF(OR('BCO COES Integracion'!C107="Sí",'BCO COES Integracion'!C107="Si"),1,IF('BCO COES Integracion'!C107="Parcial",0.5,0))+IF(OR('BCO COES Integracion'!C108="Sí",'BCO COES Integracion'!C108="Si"),1,IF('BCO COES Integracion'!C108="Parcial",0.5,0))+IF(OR('BCO COES Integracion'!C109="Sí",'BCO COES Integracion'!C109="Si"),1,IF('BCO COES Integracion'!C109="Parcial",0.5,0))+IF(OR('BCO COES Integracion'!C110="Sí",'BCO COES Integracion'!C110="Si"),1,IF('BCO COES Integracion'!C110="Parcial",0.5,0))+IF(OR('BCO COES Integracion'!C111="Sí",'BCO COES Integracion'!C111="Si"),1,IF('BCO COES Integracion'!C111="Parcial",0.5,0))+IF(OR('BCO COES Integracion'!C112="Sí",'BCO COES Integracion'!C112="Si"),1,IF('BCO COES Integracion'!C112="Parcial",0.5,0))+IF(OR('BCO COES Integracion'!C113="Sí",'BCO COES Integracion'!C113="Si"),1,IF('BCO COES Integracion'!C113="Parcial",0.5,0))+IF(OR('BCO COES Integracion'!C114="Sí",'BCO COES Integracion'!C114="Si"),1,IF('BCO COES Integracion'!C114="Parcial",0.5,0))+IF(OR('BCO COES Integracion'!C115="Sí",'BCO COES Integracion'!C115="Si"),1,IF('BCO COES Integracion'!C115="Parcial",0.5,0))+IF(OR('BCO COES Integracion'!C116="Sí",'BCO COES Integracion'!C116="Si"),1,IF('BCO COES Integracion'!C116="Parcial",0.5,0))+IF(OR('BCO COES Integracion'!C117="Sí",'BCO COES Integracion'!C117="Si"),1,IF('BCO COES Integracion'!C117="Parcial",0.5,0))+IF(OR('BCO COES Integracion'!C118="Sí",'BCO COES Integracion'!C118="Si"),1,IF('BCO COES Integracion'!C118="Parcial",0.5,0))+IF(OR('BCO COES Integracion'!C119="Sí",'BCO COES Integracion'!C119="Si"),1,IF('BCO COES Integracion'!C119="Parcial",0.5,0))+IF(OR('BCO COES Integracion'!C120="Sí",'BCO COES Integracion'!C120="Si"),1,IF('BCO COES Integracion'!C120="Parcial",0.5,0))+IF(OR('BCO COES Integracion'!C121="Sí",'BCO COES Integracion'!C121="Si"),1,IF('BCO COES Integracion'!C121="Parcial",0.5,0))+IF(OR('BCO COES Integracion'!C122="Sí",'BCO COES Integracion'!C122="Si"),1,IF('BCO COES Integracion'!C122="Parcial",0.5,0))</f>
        <v>9.5</v>
      </c>
      <c r="AU7" s="181"/>
      <c r="AV7" s="181" t="str">
        <f t="shared" si="10"/>
        <v>BCO COES Integracion</v>
      </c>
      <c r="AW7" s="182">
        <f>IFERROR(COUNTA('BCO COES Integracion'!C126:C133)/8,0)</f>
        <v>0.625</v>
      </c>
      <c r="AX7" s="181"/>
      <c r="AY7" s="181" t="str">
        <f t="shared" si="11"/>
        <v>BCO COES Integracion</v>
      </c>
      <c r="AZ7" s="183">
        <f>IFERROR(COUNTA('BCO COES Integracion'!C137:C146),0)</f>
        <v>3</v>
      </c>
      <c r="BA7" s="181"/>
      <c r="BB7" s="181" t="str">
        <f t="shared" si="12"/>
        <v>BCO COES Integracion</v>
      </c>
      <c r="BC7" s="182">
        <f>IFERROR(COUNTA('BCO COES Integracion'!C150:C156)/7,0)</f>
        <v>0.42857142857142855</v>
      </c>
      <c r="BD7" s="181"/>
      <c r="BE7" s="181" t="str">
        <f t="shared" si="13"/>
        <v>BCO COES Integracion</v>
      </c>
      <c r="BF7" s="182">
        <f>IFERROR(COUNTA('BCO COES Integracion'!C160:C168)/9,0)</f>
        <v>1</v>
      </c>
      <c r="BG7" s="181"/>
      <c r="BH7" s="181" t="str">
        <f t="shared" si="14"/>
        <v>BCO COES Integracion</v>
      </c>
      <c r="BI7" s="182">
        <f>IFERROR(COUNTA('BCO COES Integracion'!C172:C182)/10,0)</f>
        <v>0.1</v>
      </c>
      <c r="BJ7" s="181"/>
      <c r="BK7" s="181" t="s">
        <v>218</v>
      </c>
      <c r="BL7" s="182">
        <f>IFERROR(AVERAGE(AN3:AN13),0)</f>
        <v>0</v>
      </c>
      <c r="BM7" s="182">
        <f>0</f>
        <v>0</v>
      </c>
      <c r="BN7" s="178"/>
      <c r="BO7" s="178" t="s">
        <v>157</v>
      </c>
      <c r="BP7" s="178">
        <f>Dashboard!O51</f>
        <v>0</v>
      </c>
      <c r="BQ7"/>
    </row>
    <row r="8" spans="1:69" ht="15" customHeight="1" x14ac:dyDescent="0.35">
      <c r="A8" s="172" t="s">
        <v>121</v>
      </c>
      <c r="B8" s="172" t="e">
        <f>'BCO COES Datos'!#REF!</f>
        <v>#REF!</v>
      </c>
      <c r="C8" s="172">
        <f t="shared" si="0"/>
        <v>0</v>
      </c>
      <c r="D8" s="172">
        <v>3</v>
      </c>
      <c r="E8" s="172"/>
      <c r="F8" s="172"/>
      <c r="G8" s="172"/>
      <c r="H8" s="172"/>
      <c r="I8" s="172"/>
      <c r="J8" s="172"/>
      <c r="K8" s="172" t="str">
        <f t="shared" si="1"/>
        <v>BCO COES Datos</v>
      </c>
      <c r="L8" s="172">
        <f t="shared" si="2"/>
        <v>0</v>
      </c>
      <c r="M8" s="172">
        <v>3</v>
      </c>
      <c r="N8" s="172"/>
      <c r="O8" s="172"/>
      <c r="P8" s="172"/>
      <c r="Q8" s="172"/>
      <c r="R8" s="172"/>
      <c r="S8" s="172"/>
      <c r="T8" s="172"/>
      <c r="U8" s="172"/>
      <c r="V8" s="172"/>
      <c r="W8" s="70"/>
      <c r="X8" s="181" t="str">
        <f t="shared" si="3"/>
        <v>BCO COES Datos</v>
      </c>
      <c r="Y8" s="182">
        <f>IFERROR(COUNTA('BCO COES Datos'!C5:C24)/15,0)</f>
        <v>1</v>
      </c>
      <c r="Z8" s="181"/>
      <c r="AA8" s="181" t="str">
        <f t="shared" si="4"/>
        <v>BCO COES Datos</v>
      </c>
      <c r="AB8" s="183">
        <f t="shared" si="5"/>
        <v>0</v>
      </c>
      <c r="AC8" s="183">
        <v>3</v>
      </c>
      <c r="AD8" s="181"/>
      <c r="AE8" s="181" t="str">
        <f t="shared" si="15"/>
        <v>BCO COES Datos</v>
      </c>
      <c r="AF8" s="182">
        <f>IFERROR('BCO COES Datos'!E58,0)</f>
        <v>0.73529411764705888</v>
      </c>
      <c r="AG8" s="181"/>
      <c r="AH8" s="181" t="str">
        <f t="shared" si="6"/>
        <v>BCO COES Datos</v>
      </c>
      <c r="AI8" s="182" t="str">
        <f>IFERROR('BCO COES Datos'!C68,0)</f>
        <v>Pendiente revisar líderes técnicos</v>
      </c>
      <c r="AJ8" s="182" t="str">
        <f>IFERROR('BCO COES Datos'!C70,0)</f>
        <v>No aplica SLA- ANS del Banco y de COES</v>
      </c>
      <c r="AK8" s="181"/>
      <c r="AL8" s="181"/>
      <c r="AM8" s="181" t="str">
        <f t="shared" si="7"/>
        <v>BCO COES Datos</v>
      </c>
      <c r="AN8" s="183" t="str">
        <f>IFERROR('BCO COES Datos'!C82,0)</f>
        <v>700 a 3.000</v>
      </c>
      <c r="AO8" s="181"/>
      <c r="AP8" s="181" t="str">
        <f t="shared" si="8"/>
        <v>BCO COES Datos</v>
      </c>
      <c r="AQ8" s="183">
        <f>IFERROR('BCO COES Datos'!C91,0)</f>
        <v>0</v>
      </c>
      <c r="AR8" s="181"/>
      <c r="AS8" s="178" t="str">
        <f t="shared" si="9"/>
        <v>BCO COES Datos</v>
      </c>
      <c r="AT8" s="178">
        <f>IF(OR('BCO COES Datos'!C101="Sí",'BCO COES Datos'!C101="Si"),1,IF('BCO COES Datos'!C101="Parcial",0.5,0))+IF(OR('BCO COES Datos'!C102="Sí",'BCO COES Datos'!C102="Si"),1,IF('BCO COES Datos'!C102="Parcial",0.5,0))+IF(OR('BCO COES Datos'!C103="Sí",'BCO COES Datos'!C103="Si"),1,IF('BCO COES Datos'!C103="Parcial",0.5,0))+IF(OR('BCO COES Datos'!C104="Sí",'BCO COES Datos'!C104="Si"),1,IF('BCO COES Datos'!C104="Parcial",0.5,0))+IF(OR('BCO COES Datos'!C105="Sí",'BCO COES Datos'!C105="Si"),1,IF('BCO COES Datos'!C105="Parcial",0.5,0))+IF(OR('BCO COES Datos'!C106="Sí",'BCO COES Datos'!C106="Si"),1,IF('BCO COES Datos'!C106="Parcial",0.5,0))+IF(OR('BCO COES Datos'!C107="Sí",'BCO COES Datos'!C107="Si"),1,IF('BCO COES Datos'!C107="Parcial",0.5,0))+IF(OR('BCO COES Datos'!C108="Sí",'BCO COES Datos'!C108="Si"),1,IF('BCO COES Datos'!C108="Parcial",0.5,0))+IF(OR('BCO COES Datos'!C109="Sí",'BCO COES Datos'!C109="Si"),1,IF('BCO COES Datos'!C109="Parcial",0.5,0))+IF(OR('BCO COES Datos'!C110="Sí",'BCO COES Datos'!C110="Si"),1,IF('BCO COES Datos'!C110="Parcial",0.5,0))+IF(OR('BCO COES Datos'!C111="Sí",'BCO COES Datos'!C111="Si"),1,IF('BCO COES Datos'!C111="Parcial",0.5,0))+IF(OR('BCO COES Datos'!C112="Sí",'BCO COES Datos'!C112="Si"),1,IF('BCO COES Datos'!C112="Parcial",0.5,0))+IF(OR('BCO COES Datos'!C113="Sí",'BCO COES Datos'!C113="Si"),1,IF('BCO COES Datos'!C113="Parcial",0.5,0))+IF(OR('BCO COES Datos'!C114="Sí",'BCO COES Datos'!C114="Si"),1,IF('BCO COES Datos'!C114="Parcial",0.5,0))+IF(OR('BCO COES Datos'!C115="Sí",'BCO COES Datos'!C115="Si"),1,IF('BCO COES Datos'!C115="Parcial",0.5,0))+IF(OR('BCO COES Datos'!C116="Sí",'BCO COES Datos'!C116="Si"),1,IF('BCO COES Datos'!C116="Parcial",0.5,0))+IF(OR('BCO COES Datos'!C117="Sí",'BCO COES Datos'!C117="Si"),1,IF('BCO COES Datos'!C117="Parcial",0.5,0))+IF(OR('BCO COES Datos'!C118="Sí",'BCO COES Datos'!C118="Si"),1,IF('BCO COES Datos'!C118="Parcial",0.5,0))+IF(OR('BCO COES Datos'!C119="Sí",'BCO COES Datos'!C119="Si"),1,IF('BCO COES Datos'!C119="Parcial",0.5,0))+IF(OR('BCO COES Datos'!C120="Sí",'BCO COES Datos'!C120="Si"),1,IF('BCO COES Datos'!C120="Parcial",0.5,0))+IF(OR('BCO COES Datos'!C121="Sí",'BCO COES Datos'!C121="Si"),1,IF('BCO COES Datos'!C121="Parcial",0.5,0))+IF(OR('BCO COES Datos'!C122="Sí",'BCO COES Datos'!C122="Si"),1,IF('BCO COES Datos'!C122="Parcial",0.5,0))</f>
        <v>9.5</v>
      </c>
      <c r="AU8" s="181"/>
      <c r="AV8" s="181" t="str">
        <f t="shared" si="10"/>
        <v>BCO COES Datos</v>
      </c>
      <c r="AW8" s="182">
        <f>IFERROR(COUNTA('BCO COES Datos'!C126:C133)/8,0)</f>
        <v>0.75</v>
      </c>
      <c r="AX8" s="181"/>
      <c r="AY8" s="181" t="str">
        <f t="shared" si="11"/>
        <v>BCO COES Datos</v>
      </c>
      <c r="AZ8" s="183">
        <f>IFERROR(COUNTA('BCO COES Datos'!C137:C146),0)</f>
        <v>3</v>
      </c>
      <c r="BA8" s="181"/>
      <c r="BB8" s="181" t="str">
        <f t="shared" si="12"/>
        <v>BCO COES Datos</v>
      </c>
      <c r="BC8" s="182">
        <f>IFERROR(COUNTA('BCO COES Datos'!C150:C156)/7,0)</f>
        <v>1</v>
      </c>
      <c r="BD8" s="181"/>
      <c r="BE8" s="181" t="str">
        <f t="shared" si="13"/>
        <v>BCO COES Datos</v>
      </c>
      <c r="BF8" s="182">
        <f>IFERROR(COUNTA('BCO COES Datos'!C160:C168)/9,0)</f>
        <v>1</v>
      </c>
      <c r="BG8" s="181"/>
      <c r="BH8" s="181" t="str">
        <f t="shared" si="14"/>
        <v>BCO COES Datos</v>
      </c>
      <c r="BI8" s="182">
        <f>IFERROR(COUNTA('BCO COES Datos'!C172:C182)/10,0)</f>
        <v>0.1</v>
      </c>
      <c r="BJ8" s="181"/>
      <c r="BK8" s="181" t="s">
        <v>219</v>
      </c>
      <c r="BL8" s="182">
        <f>IFERROR(AVERAGE(AQ3:AQ13)/100,0)</f>
        <v>0</v>
      </c>
      <c r="BM8" s="182">
        <f>65%</f>
        <v>0.65</v>
      </c>
      <c r="BN8" s="178"/>
      <c r="BO8" s="178" t="s">
        <v>158</v>
      </c>
      <c r="BP8" s="178">
        <f>Dashboard!O52</f>
        <v>3</v>
      </c>
      <c r="BQ8"/>
    </row>
    <row r="9" spans="1:69" ht="15" customHeight="1" x14ac:dyDescent="0.35">
      <c r="A9" s="172" t="s">
        <v>122</v>
      </c>
      <c r="B9" s="172" t="str">
        <f>'BCO Soporte'!C13</f>
        <v>N1</v>
      </c>
      <c r="C9" s="172">
        <f t="shared" si="0"/>
        <v>1</v>
      </c>
      <c r="D9" s="172">
        <v>3</v>
      </c>
      <c r="E9" s="172"/>
      <c r="F9" s="172"/>
      <c r="G9" s="172"/>
      <c r="H9" s="172"/>
      <c r="I9" s="172"/>
      <c r="J9" s="172"/>
      <c r="K9" s="172" t="str">
        <f t="shared" si="1"/>
        <v>BCO Soporte</v>
      </c>
      <c r="L9" s="172">
        <f t="shared" si="2"/>
        <v>1</v>
      </c>
      <c r="M9" s="172">
        <v>3</v>
      </c>
      <c r="N9" s="172"/>
      <c r="O9" s="172"/>
      <c r="P9" s="172"/>
      <c r="Q9" s="172"/>
      <c r="R9" s="172"/>
      <c r="S9" s="172"/>
      <c r="T9" s="172"/>
      <c r="U9" s="172"/>
      <c r="V9" s="172"/>
      <c r="W9" s="70"/>
      <c r="X9" s="181" t="str">
        <f t="shared" si="3"/>
        <v>BCO Soporte</v>
      </c>
      <c r="Y9" s="182">
        <f>IFERROR(COUNTA('BCO Soporte'!C5:C24)/15,0)</f>
        <v>1.0666666666666667</v>
      </c>
      <c r="Z9" s="181"/>
      <c r="AA9" s="181" t="str">
        <f t="shared" si="4"/>
        <v>BCO Soporte</v>
      </c>
      <c r="AB9" s="183">
        <f t="shared" si="5"/>
        <v>1</v>
      </c>
      <c r="AC9" s="183">
        <v>3</v>
      </c>
      <c r="AD9" s="181"/>
      <c r="AE9" s="181" t="str">
        <f t="shared" si="15"/>
        <v>BCO Soporte</v>
      </c>
      <c r="AF9" s="182">
        <f>IFERROR('BCO Soporte'!E58,0)</f>
        <v>0.73529411764705888</v>
      </c>
      <c r="AG9" s="181"/>
      <c r="AH9" s="181" t="str">
        <f t="shared" si="6"/>
        <v>BCO Soporte</v>
      </c>
      <c r="AI9" s="182" t="str">
        <f>IFERROR('BCO Soporte'!C68,0)</f>
        <v>Pendiente revisar líderes técnicos</v>
      </c>
      <c r="AJ9" s="182" t="str">
        <f>IFERROR('BCO Soporte'!C70,0)</f>
        <v>No aplica SLA- ANS del Banco y de COES</v>
      </c>
      <c r="AK9" s="181"/>
      <c r="AL9" s="181"/>
      <c r="AM9" s="181" t="str">
        <f t="shared" si="7"/>
        <v>BCO Soporte</v>
      </c>
      <c r="AN9" s="183" t="str">
        <f>IFERROR('BCO Soporte'!C82,0)</f>
        <v>700 a 3.000</v>
      </c>
      <c r="AO9" s="181"/>
      <c r="AP9" s="181" t="str">
        <f t="shared" si="8"/>
        <v>BCO Soporte</v>
      </c>
      <c r="AQ9" s="183">
        <f>IFERROR('BCO Soporte'!C91,0)</f>
        <v>0</v>
      </c>
      <c r="AR9" s="181"/>
      <c r="AS9" s="178" t="str">
        <f t="shared" si="9"/>
        <v>BCO Soporte</v>
      </c>
      <c r="AT9" s="178">
        <f>IF(OR('BCO Soporte'!C102="Sí",'BCO Soporte'!C102="Si"),1,IF('BCO Soporte'!C102="Parcial",0.5,0))+IF(OR('BCO Soporte'!C103="Sí",'BCO Soporte'!C103="Si"),1,IF('BCO Soporte'!C103="Parcial",0.5,0))+IF(OR('BCO Soporte'!C104="Sí",'BCO Soporte'!C104="Si"),1,IF('BCO Soporte'!C104="Parcial",0.5,0))+IF(OR('BCO Soporte'!C105="Sí",'BCO Soporte'!C105="Si"),1,IF('BCO Soporte'!C105="Parcial",0.5,0))+IF(OR('BCO Soporte'!C106="Sí",'BCO Soporte'!C106="Si"),1,IF('BCO Soporte'!C106="Parcial",0.5,0))+IF(OR('BCO Soporte'!C107="Sí",'BCO Soporte'!C107="Si"),1,IF('BCO Soporte'!C107="Parcial",0.5,0))+IF(OR('BCO Soporte'!C108="Sí",'BCO Soporte'!C108="Si"),1,IF('BCO Soporte'!C108="Parcial",0.5,0))+IF(OR('BCO Soporte'!C109="Sí",'BCO Soporte'!C109="Si"),1,IF('BCO Soporte'!C109="Parcial",0.5,0))+IF(OR('BCO Soporte'!C110="Sí",'BCO Soporte'!C110="Si"),1,IF('BCO Soporte'!C110="Parcial",0.5,0))+IF(OR('BCO Soporte'!C111="Sí",'BCO Soporte'!C111="Si"),1,IF('BCO Soporte'!C111="Parcial",0.5,0))+IF(OR('BCO Soporte'!C112="Sí",'BCO Soporte'!C112="Si"),1,IF('BCO Soporte'!C112="Parcial",0.5,0))+IF(OR('BCO Soporte'!C113="Sí",'BCO Soporte'!C113="Si"),1,IF('BCO Soporte'!C113="Parcial",0.5,0))+IF(OR('BCO Soporte'!C114="Sí",'BCO Soporte'!C114="Si"),1,IF('BCO Soporte'!C114="Parcial",0.5,0))+IF(OR('BCO Soporte'!C115="Sí",'BCO Soporte'!C115="Si"),1,IF('BCO Soporte'!C115="Parcial",0.5,0))+IF(OR('BCO Soporte'!C116="Sí",'BCO Soporte'!C116="Si"),1,IF('BCO Soporte'!C116="Parcial",0.5,0))+IF(OR('BCO Soporte'!C117="Sí",'BCO Soporte'!C117="Si"),1,IF('BCO Soporte'!C117="Parcial",0.5,0))+IF(OR('BCO Soporte'!C118="Sí",'BCO Soporte'!C118="Si"),1,IF('BCO Soporte'!C118="Parcial",0.5,0))+IF(OR('BCO Soporte'!C119="Sí",'BCO Soporte'!C119="Si"),1,IF('BCO Soporte'!C119="Parcial",0.5,0))+IF(OR('BCO Soporte'!C120="Sí",'BCO Soporte'!C120="Si"),1,IF('BCO Soporte'!C120="Parcial",0.5,0))+IF(OR('BCO Soporte'!C121="Sí",'BCO Soporte'!C121="Si"),1,IF('BCO Soporte'!C121="Parcial",0.5,0))+IF(OR('BCO Soporte'!C123="Sí",'BCO Soporte'!C123="Si"),1,IF('BCO Soporte'!C123="Parcial",0.5,0))</f>
        <v>9</v>
      </c>
      <c r="AU9" s="181"/>
      <c r="AV9" s="181" t="str">
        <f t="shared" si="10"/>
        <v>BCO Soporte</v>
      </c>
      <c r="AW9" s="182">
        <f>IFERROR(COUNTA('BCO Soporte'!C126:C133)/8,0)</f>
        <v>0.75</v>
      </c>
      <c r="AX9" s="181"/>
      <c r="AY9" s="181" t="str">
        <f t="shared" si="11"/>
        <v>BCO Soporte</v>
      </c>
      <c r="AZ9" s="183">
        <f>IFERROR(COUNTA('BCO Soporte'!C137:C146),0)</f>
        <v>4</v>
      </c>
      <c r="BA9" s="181"/>
      <c r="BB9" s="181" t="str">
        <f t="shared" si="12"/>
        <v>BCO Soporte</v>
      </c>
      <c r="BC9" s="182">
        <f>IFERROR(COUNTA('BCO Soporte'!C150:C156)/7,0)</f>
        <v>1</v>
      </c>
      <c r="BD9" s="181"/>
      <c r="BE9" s="181" t="str">
        <f t="shared" si="13"/>
        <v>BCO Soporte</v>
      </c>
      <c r="BF9" s="182">
        <f>IFERROR(COUNTA('BCO Soporte'!C160:C168)/9,0)</f>
        <v>0.88888888888888884</v>
      </c>
      <c r="BG9" s="181"/>
      <c r="BH9" s="181" t="str">
        <f t="shared" si="14"/>
        <v>BCO Soporte</v>
      </c>
      <c r="BI9" s="182">
        <f>IFERROR(COUNTA('BCO Soporte'!C172:C182)/10,0)</f>
        <v>0.1</v>
      </c>
      <c r="BJ9" s="181"/>
      <c r="BK9" s="181" t="s">
        <v>220</v>
      </c>
      <c r="BL9" s="182">
        <f>IFERROR(AVERAGE(AT3:AT13)/7,0)</f>
        <v>1.4545454545454546</v>
      </c>
      <c r="BM9" s="182">
        <f>0</f>
        <v>0</v>
      </c>
      <c r="BN9" s="178"/>
      <c r="BO9" s="178" t="s">
        <v>159</v>
      </c>
      <c r="BP9" s="178">
        <f>Dashboard!O53</f>
        <v>4.5</v>
      </c>
      <c r="BQ9"/>
    </row>
    <row r="10" spans="1:69" ht="15" customHeight="1" x14ac:dyDescent="0.35">
      <c r="A10" s="172" t="s">
        <v>123</v>
      </c>
      <c r="B10" s="172" t="str">
        <f>'BCO COES Emma'!C13</f>
        <v>N1</v>
      </c>
      <c r="C10" s="172">
        <f t="shared" si="0"/>
        <v>1</v>
      </c>
      <c r="D10" s="172">
        <v>3</v>
      </c>
      <c r="E10" s="172"/>
      <c r="F10" s="172"/>
      <c r="G10" s="172"/>
      <c r="H10" s="172"/>
      <c r="I10" s="172"/>
      <c r="J10" s="172"/>
      <c r="K10" s="172" t="str">
        <f t="shared" si="1"/>
        <v>BCO COES Emma</v>
      </c>
      <c r="L10" s="172">
        <f t="shared" si="2"/>
        <v>1</v>
      </c>
      <c r="M10" s="172">
        <v>3</v>
      </c>
      <c r="N10" s="172"/>
      <c r="O10" s="172"/>
      <c r="P10" s="172"/>
      <c r="Q10" s="172"/>
      <c r="R10" s="172"/>
      <c r="S10" s="172"/>
      <c r="T10" s="172"/>
      <c r="U10" s="172"/>
      <c r="V10" s="172"/>
      <c r="W10" s="70"/>
      <c r="X10" s="181" t="str">
        <f t="shared" si="3"/>
        <v>BCO COES Emma</v>
      </c>
      <c r="Y10" s="182">
        <f>IFERROR(COUNTA('BCO COES Emma'!C5:C24)/15,0)</f>
        <v>1</v>
      </c>
      <c r="Z10" s="181"/>
      <c r="AA10" s="181" t="str">
        <f t="shared" si="4"/>
        <v>BCO COES Emma</v>
      </c>
      <c r="AB10" s="183">
        <f t="shared" si="5"/>
        <v>1</v>
      </c>
      <c r="AC10" s="183">
        <v>3</v>
      </c>
      <c r="AD10" s="181"/>
      <c r="AE10" s="181" t="str">
        <f t="shared" si="15"/>
        <v>BCO COES Emma</v>
      </c>
      <c r="AF10" s="182">
        <f>IFERROR('BCO COES Emma'!E58,0)</f>
        <v>0.73529411764705888</v>
      </c>
      <c r="AG10" s="181"/>
      <c r="AH10" s="181" t="str">
        <f t="shared" si="6"/>
        <v>BCO COES Emma</v>
      </c>
      <c r="AI10" s="182">
        <f>IFERROR('BCO COES Emma'!C68,0)</f>
        <v>0</v>
      </c>
      <c r="AJ10" s="182" t="str">
        <f>IFERROR('BCO COES Emma'!C70,0)</f>
        <v>No aplica SLA- ANS del Banco y de COES</v>
      </c>
      <c r="AK10" s="181"/>
      <c r="AL10" s="181"/>
      <c r="AM10" s="181" t="str">
        <f t="shared" si="7"/>
        <v>BCO COES Emma</v>
      </c>
      <c r="AN10" s="183" t="str">
        <f>IFERROR('BCO COES Emma'!C82,0)</f>
        <v>700 a 3.000</v>
      </c>
      <c r="AO10" s="181"/>
      <c r="AP10" s="181" t="str">
        <f t="shared" si="8"/>
        <v>BCO COES Emma</v>
      </c>
      <c r="AQ10" s="183">
        <f>IFERROR('BCO COES Emma'!C91,0)</f>
        <v>0</v>
      </c>
      <c r="AR10" s="181"/>
      <c r="AS10" s="178" t="str">
        <f t="shared" si="9"/>
        <v>BCO COES Emma</v>
      </c>
      <c r="AT10" s="178">
        <f>IF(OR('BCO COES Emma'!C101="Sí",'BCO COES Emma'!C101="Si"),1,IF('BCO COES Emma'!C101="Parcial",0.5,0))+IF(OR('BCO COES Emma'!C102="Sí",'BCO COES Emma'!C102="Si"),1,IF('BCO COES Emma'!C102="Parcial",0.5,0))+IF(OR('BCO COES Emma'!C103="Sí",'BCO COES Emma'!C103="Si"),1,IF('BCO COES Emma'!C103="Parcial",0.5,0))+IF(OR('BCO COES Emma'!C104="Sí",'BCO COES Emma'!C104="Si"),1,IF('BCO COES Emma'!C104="Parcial",0.5,0))+IF(OR('BCO COES Emma'!C105="Sí",'BCO COES Emma'!C105="Si"),1,IF('BCO COES Emma'!C105="Parcial",0.5,0))+IF(OR('BCO COES Emma'!C106="Sí",'BCO COES Emma'!C106="Si"),1,IF('BCO COES Emma'!C106="Parcial",0.5,0))+IF(OR('BCO COES Emma'!C107="Sí",'BCO COES Emma'!C107="Si"),1,IF('BCO COES Emma'!C107="Parcial",0.5,0))+IF(OR('BCO COES Emma'!C108="Sí",'BCO COES Emma'!C108="Si"),1,IF('BCO COES Emma'!C108="Parcial",0.5,0))+IF(OR('BCO COES Emma'!C109="Sí",'BCO COES Emma'!C109="Si"),1,IF('BCO COES Emma'!C109="Parcial",0.5,0))+IF(OR('BCO COES Emma'!C110="Sí",'BCO COES Emma'!C110="Si"),1,IF('BCO COES Emma'!C110="Parcial",0.5,0))+IF(OR('BCO COES Emma'!C111="Sí",'BCO COES Emma'!C111="Si"),1,IF('BCO COES Emma'!C111="Parcial",0.5,0))+IF(OR('BCO COES Emma'!C112="Sí",'BCO COES Emma'!C112="Si"),1,IF('BCO COES Emma'!C112="Parcial",0.5,0))+IF(OR('BCO COES Emma'!C113="Sí",'BCO COES Emma'!C113="Si"),1,IF('BCO COES Emma'!C113="Parcial",0.5,0))+IF(OR('BCO COES Emma'!C114="Sí",'BCO COES Emma'!C114="Si"),1,IF('BCO COES Emma'!C114="Parcial",0.5,0))+IF(OR('BCO COES Emma'!C115="Sí",'BCO COES Emma'!C115="Si"),1,IF('BCO COES Emma'!C115="Parcial",0.5,0))+IF(OR('BCO COES Emma'!C116="Sí",'BCO COES Emma'!C116="Si"),1,IF('BCO COES Emma'!C116="Parcial",0.5,0))+IF(OR('BCO COES Emma'!C117="Sí",'BCO COES Emma'!C117="Si"),1,IF('BCO COES Emma'!C117="Parcial",0.5,0))+IF(OR('BCO COES Emma'!C118="Sí",'BCO COES Emma'!C118="Si"),1,IF('BCO COES Emma'!C118="Parcial",0.5,0))+IF(OR('BCO COES Emma'!C119="Sí",'BCO COES Emma'!C119="Si"),1,IF('BCO COES Emma'!C119="Parcial",0.5,0))+IF(OR('BCO COES Emma'!C120="Sí",'BCO COES Emma'!C120="Si"),1,IF('BCO COES Emma'!C120="Parcial",0.5,0))+IF(OR('BCO COES Emma'!C121="Sí",'BCO COES Emma'!C121="Si"),1,IF('BCO COES Emma'!C121="Parcial",0.5,0))+IF(OR('BCO COES Emma'!C122="Sí",'BCO COES Emma'!C122="Si"),1,IF('BCO COES Emma'!C122="Parcial",0.5,0))</f>
        <v>9.5</v>
      </c>
      <c r="AU10" s="181"/>
      <c r="AV10" s="181" t="str">
        <f t="shared" si="10"/>
        <v>BCO COES Emma</v>
      </c>
      <c r="AW10" s="182">
        <f>IFERROR(COUNTA('BCO COES Emma'!C126:C133)/8,0)</f>
        <v>0.75</v>
      </c>
      <c r="AX10" s="181"/>
      <c r="AY10" s="181" t="str">
        <f t="shared" si="11"/>
        <v>BCO COES Emma</v>
      </c>
      <c r="AZ10" s="183">
        <f>IFERROR(COUNTA('BCO COES Emma'!C137:C146),0)</f>
        <v>3</v>
      </c>
      <c r="BA10" s="181"/>
      <c r="BB10" s="181" t="str">
        <f t="shared" si="12"/>
        <v>BCO COES Emma</v>
      </c>
      <c r="BC10" s="182">
        <f>IFERROR(COUNTA('BCO COES Emma'!C150:C156)/7,0)</f>
        <v>1</v>
      </c>
      <c r="BD10" s="181"/>
      <c r="BE10" s="181" t="str">
        <f t="shared" si="13"/>
        <v>BCO COES Emma</v>
      </c>
      <c r="BF10" s="182">
        <f>IFERROR(COUNTA('BCO COES Emma'!C160:C168)/9,0)</f>
        <v>1</v>
      </c>
      <c r="BG10" s="181"/>
      <c r="BH10" s="181" t="str">
        <f t="shared" si="14"/>
        <v>BCO COES Emma</v>
      </c>
      <c r="BI10" s="182">
        <f>IFERROR(COUNTA('BCO COES Emma'!C172:C182)/10,0)</f>
        <v>0.1</v>
      </c>
      <c r="BJ10" s="181"/>
      <c r="BK10" s="181" t="s">
        <v>221</v>
      </c>
      <c r="BL10" s="182">
        <f>AVERAGE(AW3:AW13)</f>
        <v>0.45454545454545453</v>
      </c>
      <c r="BM10" s="182">
        <f>100%</f>
        <v>1</v>
      </c>
      <c r="BN10" s="178"/>
      <c r="BO10" s="178" t="s">
        <v>160</v>
      </c>
      <c r="BP10" s="178">
        <f>Dashboard!O54</f>
        <v>5</v>
      </c>
      <c r="BQ10"/>
    </row>
    <row r="11" spans="1:69" ht="96.5" x14ac:dyDescent="0.35">
      <c r="A11" s="172" t="s">
        <v>124</v>
      </c>
      <c r="B11" s="172" t="str">
        <f>'BCO Emma Iseries'!C13</f>
        <v>N1</v>
      </c>
      <c r="C11" s="172">
        <f t="shared" si="0"/>
        <v>1</v>
      </c>
      <c r="D11" s="172">
        <v>3</v>
      </c>
      <c r="E11" s="172"/>
      <c r="F11" s="172"/>
      <c r="G11" s="172"/>
      <c r="H11" s="172"/>
      <c r="I11" s="172"/>
      <c r="J11" s="172"/>
      <c r="K11" s="172" t="str">
        <f t="shared" si="1"/>
        <v>BCO Emma Iseries</v>
      </c>
      <c r="L11" s="172">
        <f t="shared" si="2"/>
        <v>1</v>
      </c>
      <c r="M11" s="172">
        <v>3</v>
      </c>
      <c r="N11" s="172"/>
      <c r="O11" s="172"/>
      <c r="P11" s="172"/>
      <c r="Q11" s="172"/>
      <c r="R11" s="172"/>
      <c r="S11" s="172"/>
      <c r="T11" s="172"/>
      <c r="U11" s="172"/>
      <c r="V11" s="172"/>
      <c r="W11" s="70"/>
      <c r="X11" s="181" t="str">
        <f t="shared" si="3"/>
        <v>BCO Emma Iseries</v>
      </c>
      <c r="Y11" s="182">
        <f>IFERROR(COUNTA('BCO Emma Iseries'!C5:C24)/15,0)</f>
        <v>1</v>
      </c>
      <c r="Z11" s="181"/>
      <c r="AA11" s="181" t="str">
        <f t="shared" si="4"/>
        <v>BCO Emma Iseries</v>
      </c>
      <c r="AB11" s="183">
        <f t="shared" si="5"/>
        <v>1</v>
      </c>
      <c r="AC11" s="183">
        <v>3</v>
      </c>
      <c r="AD11" s="181"/>
      <c r="AE11" s="181" t="str">
        <f t="shared" si="15"/>
        <v>BCO Emma Iseries</v>
      </c>
      <c r="AF11" s="182">
        <f>IFERROR('BCO Emma Iseries'!E58,0)</f>
        <v>0.73529411764705888</v>
      </c>
      <c r="AG11" s="181"/>
      <c r="AH11" s="181" t="str">
        <f t="shared" si="6"/>
        <v>BCO Emma Iseries</v>
      </c>
      <c r="AI11" s="182">
        <f>IFERROR('BCO Emma Iseries'!C68,0)</f>
        <v>0</v>
      </c>
      <c r="AJ11" s="182" t="str">
        <f>IFERROR('BCO Emma Iseries'!C70,0)</f>
        <v>No aplica SLA- ANS del Banco y de COES</v>
      </c>
      <c r="AK11" s="181"/>
      <c r="AL11" s="181"/>
      <c r="AM11" s="181" t="str">
        <f t="shared" si="7"/>
        <v>BCO Emma Iseries</v>
      </c>
      <c r="AN11" s="183">
        <f>IFERROR('BCO Emma Iseries'!C82,0)</f>
        <v>0</v>
      </c>
      <c r="AO11" s="181"/>
      <c r="AP11" s="181" t="str">
        <f t="shared" si="8"/>
        <v>BCO Emma Iseries</v>
      </c>
      <c r="AQ11" s="183">
        <f>IFERROR('BCO Emma Iseries'!C91,0)</f>
        <v>0</v>
      </c>
      <c r="AR11" s="181"/>
      <c r="AS11" s="178" t="str">
        <f t="shared" si="9"/>
        <v>BCO Emma Iseries</v>
      </c>
      <c r="AT11" s="178">
        <f>IF(OR('BCO Emma Iseries'!C101="Sí",'BCO Emma Iseries'!C101="Si"),1,IF('BCO Emma Iseries'!C101="Parcial",0.5,0))+IF(OR('BCO Emma Iseries'!C102="Sí",'BCO Emma Iseries'!C102="Si"),1,IF('BCO Emma Iseries'!C102="Parcial",0.5,0))+IF(OR('BCO Emma Iseries'!C103="Sí",'BCO Emma Iseries'!C103="Si"),1,IF('BCO Emma Iseries'!C103="Parcial",0.5,0))+IF(OR('BCO Emma Iseries'!C104="Sí",'BCO Emma Iseries'!C104="Si"),1,IF('BCO Emma Iseries'!C104="Parcial",0.5,0))+IF(OR('BCO Emma Iseries'!C105="Sí",'BCO Emma Iseries'!C105="Si"),1,IF('BCO Emma Iseries'!C105="Parcial",0.5,0))+IF(OR('BCO Emma Iseries'!C106="Sí",'BCO Emma Iseries'!C106="Si"),1,IF('BCO Emma Iseries'!C106="Parcial",0.5,0))+IF(OR('BCO Emma Iseries'!C107="Sí",'BCO Emma Iseries'!C107="Si"),1,IF('BCO Emma Iseries'!C107="Parcial",0.5,0))+IF(OR('BCO Emma Iseries'!C108="Sí",'BCO Emma Iseries'!C108="Si"),1,IF('BCO Emma Iseries'!C108="Parcial",0.5,0))+IF(OR('BCO Emma Iseries'!C109="Sí",'BCO Emma Iseries'!C109="Si"),1,IF('BCO Emma Iseries'!C109="Parcial",0.5,0))+IF(OR('BCO Emma Iseries'!C110="Sí",'BCO Emma Iseries'!C110="Si"),1,IF('BCO Emma Iseries'!C110="Parcial",0.5,0))+IF(OR('BCO Emma Iseries'!C111="Sí",'BCO Emma Iseries'!C111="Si"),1,IF('BCO Emma Iseries'!C111="Parcial",0.5,0))+IF(OR('BCO Emma Iseries'!C112="Sí",'BCO Emma Iseries'!C112="Si"),1,IF('BCO Emma Iseries'!C112="Parcial",0.5,0))+IF(OR('BCO Emma Iseries'!C113="Sí",'BCO Emma Iseries'!C113="Si"),1,IF('BCO Emma Iseries'!C113="Parcial",0.5,0))+IF(OR('BCO Emma Iseries'!C114="Sí",'BCO Emma Iseries'!C114="Si"),1,IF('BCO Emma Iseries'!C114="Parcial",0.5,0))+IF(OR('BCO Emma Iseries'!C115="Sí",'BCO Emma Iseries'!C115="Si"),1,IF('BCO Emma Iseries'!C115="Parcial",0.5,0))+IF(OR('BCO Emma Iseries'!C116="Sí",'BCO Emma Iseries'!C116="Si"),1,IF('BCO Emma Iseries'!C116="Parcial",0.5,0))+IF(OR('BCO Emma Iseries'!C117="Sí",'BCO Emma Iseries'!C117="Si"),1,IF('BCO Emma Iseries'!C117="Parcial",0.5,0))+IF(OR('BCO Emma Iseries'!C118="Sí",'BCO Emma Iseries'!C118="Si"),1,IF('BCO Emma Iseries'!C118="Parcial",0.5,0))+IF(OR('BCO Emma Iseries'!C119="Sí",'BCO Emma Iseries'!C119="Si"),1,IF('BCO Emma Iseries'!C119="Parcial",0.5,0))+IF(OR('BCO Emma Iseries'!C120="Sí",'BCO Emma Iseries'!C120="Si"),1,IF('BCO Emma Iseries'!C120="Parcial",0.5,0))+IF(OR('BCO Emma Iseries'!C121="Sí",'BCO Emma Iseries'!C121="Si"),1,IF('BCO Emma Iseries'!C121="Parcial",0.5,0))+IF(OR('BCO Emma Iseries'!C122="Sí",'BCO Emma Iseries'!C122="Si"),1,IF('BCO Emma Iseries'!C122="Parcial",0.5,0))</f>
        <v>2</v>
      </c>
      <c r="AU11" s="181"/>
      <c r="AV11" s="181" t="str">
        <f t="shared" si="10"/>
        <v>BCO Emma Iseries</v>
      </c>
      <c r="AW11" s="182">
        <f>IFERROR(COUNTA('BCO Emma Iseries'!C126:C133)/8,0)</f>
        <v>0</v>
      </c>
      <c r="AX11" s="181"/>
      <c r="AY11" s="181" t="str">
        <f t="shared" si="11"/>
        <v>BCO Emma Iseries</v>
      </c>
      <c r="AZ11" s="183">
        <f>IFERROR(COUNTA('BCO Emma Iseries'!C137:C146),0)</f>
        <v>1</v>
      </c>
      <c r="BA11" s="181"/>
      <c r="BB11" s="181" t="str">
        <f t="shared" si="12"/>
        <v>BCO Emma Iseries</v>
      </c>
      <c r="BC11" s="182">
        <f>IFERROR(COUNTA('BCO Emma Iseries'!C150:C156)/7,0)</f>
        <v>0</v>
      </c>
      <c r="BD11" s="181"/>
      <c r="BE11" s="181" t="str">
        <f t="shared" si="13"/>
        <v>BCO Emma Iseries</v>
      </c>
      <c r="BF11" s="182">
        <f>IFERROR(COUNTA('BCO Emma Iseries'!C160:C168)/9,0)</f>
        <v>0.1111111111111111</v>
      </c>
      <c r="BG11" s="181"/>
      <c r="BH11" s="181" t="str">
        <f t="shared" si="14"/>
        <v>BCO Emma Iseries</v>
      </c>
      <c r="BI11" s="182">
        <f>IFERROR(COUNTA('BCO Emma Iseries'!C172:C182)/10,0)</f>
        <v>0.1</v>
      </c>
      <c r="BJ11" s="181"/>
      <c r="BK11" s="181" t="s">
        <v>222</v>
      </c>
      <c r="BL11" s="182">
        <f>IFERROR(AVERAGE(AZ3:AZ13)/10,0)</f>
        <v>0.34545454545454546</v>
      </c>
      <c r="BM11" s="182">
        <f>100%</f>
        <v>1</v>
      </c>
      <c r="BN11" s="178"/>
      <c r="BO11" s="178" t="s">
        <v>161</v>
      </c>
      <c r="BP11" s="178">
        <f>Dashboard!O55</f>
        <v>7</v>
      </c>
      <c r="BQ11"/>
    </row>
    <row r="12" spans="1:69" x14ac:dyDescent="0.35">
      <c r="A12" s="172" t="s">
        <v>125</v>
      </c>
      <c r="B12" s="172" t="str">
        <f>AES!C13</f>
        <v>N1</v>
      </c>
      <c r="C12" s="172">
        <f t="shared" si="0"/>
        <v>1</v>
      </c>
      <c r="D12" s="172">
        <v>3</v>
      </c>
      <c r="E12" s="172"/>
      <c r="F12" s="172"/>
      <c r="G12" s="172"/>
      <c r="H12" s="172"/>
      <c r="I12" s="172"/>
      <c r="J12" s="172"/>
      <c r="K12" s="172" t="str">
        <f t="shared" si="1"/>
        <v>AES</v>
      </c>
      <c r="L12" s="172">
        <f t="shared" si="2"/>
        <v>1</v>
      </c>
      <c r="M12" s="172">
        <v>3</v>
      </c>
      <c r="N12" s="172"/>
      <c r="O12" s="172"/>
      <c r="P12" s="172"/>
      <c r="Q12" s="172"/>
      <c r="R12" s="172"/>
      <c r="S12" s="172"/>
      <c r="T12" s="172"/>
      <c r="U12" s="172"/>
      <c r="V12" s="172"/>
      <c r="W12" s="70"/>
      <c r="X12" s="181" t="str">
        <f t="shared" si="3"/>
        <v>AES</v>
      </c>
      <c r="Y12" s="182">
        <f>IFERROR(COUNTA(AES!C5:C24)/15,0)</f>
        <v>1.3333333333333333</v>
      </c>
      <c r="Z12" s="181"/>
      <c r="AA12" s="181" t="str">
        <f t="shared" si="4"/>
        <v>AES</v>
      </c>
      <c r="AB12" s="183">
        <f t="shared" si="5"/>
        <v>1</v>
      </c>
      <c r="AC12" s="183">
        <v>3</v>
      </c>
      <c r="AD12" s="181"/>
      <c r="AE12" s="181" t="str">
        <f t="shared" si="15"/>
        <v>AES</v>
      </c>
      <c r="AF12" s="182">
        <f>IFERROR(AES!E57,0)</f>
        <v>0.29411764705882398</v>
      </c>
      <c r="AG12" s="181"/>
      <c r="AH12" s="181" t="str">
        <f t="shared" si="6"/>
        <v>AES</v>
      </c>
      <c r="AI12" s="182">
        <f>IFERROR(AES!C62,0)</f>
        <v>0</v>
      </c>
      <c r="AJ12" s="182">
        <f>IFERROR(AES!C64,0)</f>
        <v>0</v>
      </c>
      <c r="AK12" s="181"/>
      <c r="AL12" s="181"/>
      <c r="AM12" s="181" t="str">
        <f t="shared" si="7"/>
        <v>AES</v>
      </c>
      <c r="AN12" s="183">
        <f>IFERROR(AES!C82,0)</f>
        <v>0</v>
      </c>
      <c r="AO12" s="181"/>
      <c r="AP12" s="181" t="str">
        <f t="shared" si="8"/>
        <v>AES</v>
      </c>
      <c r="AQ12" s="183">
        <f>IFERROR(AES!C85,0)</f>
        <v>0</v>
      </c>
      <c r="AR12" s="181"/>
      <c r="AS12" s="178" t="str">
        <f t="shared" si="9"/>
        <v>AES</v>
      </c>
      <c r="AT12" s="178">
        <f>IF(OR(AES!C98="Sí",AES!C98="Si"),1,IF(AES!C98="Parcial",0.5,0))+IF(OR(AES!C99="Sí",AES!C99="Si"),1,IF(AES!C99="Parcial",0.5,0))+IF(OR(AES!C100="Sí",AES!C100="Si"),1,IF(AES!C100="Parcial",0.5,0))+IF(OR(AES!C101="Sí",AES!C101="Si"),1,IF(AES!C101="Parcial",0.5,0))+IF(OR(AES!C102="Sí",AES!C102="Si"),1,IF(AES!C102="Parcial",0.5,0))+IF(OR(AES!C103="Sí",AES!C103="Si"),1,IF(AES!C103="Parcial",0.5,0))+IF(OR(AES!C104="Sí",AES!C104="Si"),1,IF(AES!C104="Parcial",0.5,0))+IF(OR(AES!C105="Sí",AES!C105="Si"),1,IF(AES!C105="Parcial",0.5,0))+IF(OR(AES!C106="Sí",AES!C106="Si"),1,IF(AES!C106="Parcial",0.5,0))+IF(OR(AES!C107="Sí",AES!C107="Si"),1,IF(AES!C107="Parcial",0.5,0))+IF(OR(AES!C108="Sí",AES!C108="Si"),1,IF(AES!C108="Parcial",0.5,0))+IF(OR(AES!C109="Sí",AES!C109="Si"),1,IF(AES!C109="Parcial",0.5,0))+IF(OR(AES!C110="Sí",AES!C110="Si"),1,IF(AES!C110="Parcial",0.5,0))+IF(OR(AES!C111="Sí",AES!C111="Si"),1,IF(AES!C111="Parcial",0.5,0))+IF(OR(AES!C112="Sí",AES!C112="Si"),1,IF(AES!C112="Parcial",0.5,0))+IF(OR(AES!C113="Sí",AES!C113="Si"),1,IF(AES!C113="Parcial",0.5,0))+IF(OR(AES!C114="Sí",AES!C114="Si"),1,IF(AES!C114="Parcial",0.5,0))+IF(OR(AES!C115="Sí",AES!C115="Si"),1,IF(AES!C115="Parcial",0.5,0))+IF(OR(AES!C116="Sí",AES!C116="Si"),1,IF(AES!C116="Parcial",0.5,0))+IF(OR(AES!C117="Sí",AES!C117="Si"),1,IF(AES!C117="Parcial",0.5,0))+IF(OR(AES!C118="Sí",AES!C118="Si"),1,IF(AES!C118="Parcial",0.5,0))+IF(OR(AES!C119="Sí",AES!C119="Si"),1,IF(AES!C119="Parcial",0.5,0))</f>
        <v>7</v>
      </c>
      <c r="AU12" s="181"/>
      <c r="AV12" s="181" t="str">
        <f t="shared" si="10"/>
        <v>AES</v>
      </c>
      <c r="AW12" s="182">
        <f>IFERROR(COUNTA(AES!C126:C133)/8,0)</f>
        <v>0.125</v>
      </c>
      <c r="AX12" s="181"/>
      <c r="AY12" s="181" t="str">
        <f t="shared" si="11"/>
        <v>AES</v>
      </c>
      <c r="AZ12" s="183">
        <f>IFERROR(COUNTA(AES!C137:C146),0)</f>
        <v>2</v>
      </c>
      <c r="BA12" s="181"/>
      <c r="BB12" s="181" t="str">
        <f t="shared" si="12"/>
        <v>AES</v>
      </c>
      <c r="BC12" s="182">
        <f>IFERROR(COUNTA(AES!C150:C156)/7,0)</f>
        <v>0.42857142857142855</v>
      </c>
      <c r="BD12" s="181"/>
      <c r="BE12" s="181" t="str">
        <f t="shared" si="13"/>
        <v>AES</v>
      </c>
      <c r="BF12" s="182">
        <f>IFERROR(COUNTA(AES!C160:C168)/9,0)</f>
        <v>0.55555555555555558</v>
      </c>
      <c r="BG12" s="181"/>
      <c r="BH12" s="181" t="str">
        <f t="shared" si="14"/>
        <v>AES</v>
      </c>
      <c r="BI12" s="182">
        <f>IFERROR(COUNTA(AES!C172:C182)/10,0)</f>
        <v>0.1</v>
      </c>
      <c r="BJ12" s="181"/>
      <c r="BK12" s="181" t="s">
        <v>223</v>
      </c>
      <c r="BL12" s="182">
        <f>AVERAGE(BC3:BC13)</f>
        <v>0.70129870129870131</v>
      </c>
      <c r="BM12" s="182">
        <f>100%</f>
        <v>1</v>
      </c>
      <c r="BN12" s="178"/>
      <c r="BO12" s="178" t="s">
        <v>162</v>
      </c>
      <c r="BP12" s="178">
        <f>Dashboard!O56</f>
        <v>4.5</v>
      </c>
      <c r="BQ12"/>
    </row>
    <row r="13" spans="1:69" ht="15" customHeight="1" x14ac:dyDescent="0.35">
      <c r="A13" s="172" t="s">
        <v>126</v>
      </c>
      <c r="B13" s="172" t="str">
        <f>XM!C13</f>
        <v>N2</v>
      </c>
      <c r="C13" s="172">
        <f t="shared" si="0"/>
        <v>2</v>
      </c>
      <c r="D13" s="172">
        <v>3</v>
      </c>
      <c r="E13" s="172"/>
      <c r="F13" s="172"/>
      <c r="G13" s="172"/>
      <c r="H13" s="172"/>
      <c r="I13" s="172"/>
      <c r="J13" s="172"/>
      <c r="K13" s="172" t="str">
        <f t="shared" si="1"/>
        <v>XM</v>
      </c>
      <c r="L13" s="172">
        <f t="shared" si="2"/>
        <v>2</v>
      </c>
      <c r="M13" s="172">
        <v>3</v>
      </c>
      <c r="N13" s="172"/>
      <c r="O13" s="172"/>
      <c r="P13" s="172"/>
      <c r="Q13" s="172"/>
      <c r="R13" s="172"/>
      <c r="S13" s="172"/>
      <c r="T13" s="172"/>
      <c r="U13" s="172"/>
      <c r="V13" s="172"/>
      <c r="W13" s="70"/>
      <c r="X13" s="181" t="str">
        <f t="shared" si="3"/>
        <v>XM</v>
      </c>
      <c r="Y13" s="182">
        <f>IFERROR(COUNTA(XM!C5:C24)/15,0)</f>
        <v>1.3333333333333333</v>
      </c>
      <c r="Z13" s="181"/>
      <c r="AA13" s="181" t="str">
        <f t="shared" si="4"/>
        <v>XM</v>
      </c>
      <c r="AB13" s="183">
        <f t="shared" si="5"/>
        <v>2</v>
      </c>
      <c r="AC13" s="183">
        <v>3</v>
      </c>
      <c r="AD13" s="181"/>
      <c r="AE13" s="181" t="str">
        <f t="shared" si="15"/>
        <v>XM</v>
      </c>
      <c r="AF13" s="182">
        <f>IFERROR(XM!E57,0)</f>
        <v>0.5</v>
      </c>
      <c r="AG13" s="181"/>
      <c r="AH13" s="181" t="str">
        <f t="shared" si="6"/>
        <v>XM</v>
      </c>
      <c r="AI13" s="182">
        <f>IFERROR(XM!C68,0)</f>
        <v>0</v>
      </c>
      <c r="AJ13" s="182">
        <f>IFERROR(XM!C70,0)</f>
        <v>0</v>
      </c>
      <c r="AK13" s="181"/>
      <c r="AL13" s="181"/>
      <c r="AM13" s="181" t="str">
        <f t="shared" si="7"/>
        <v>XM</v>
      </c>
      <c r="AN13" s="183">
        <f>IFERROR(XM!C82,0)</f>
        <v>0</v>
      </c>
      <c r="AO13" s="181"/>
      <c r="AP13" s="181" t="str">
        <f t="shared" si="8"/>
        <v>XM</v>
      </c>
      <c r="AQ13" s="183">
        <f>IFERROR(XM!C91,0)</f>
        <v>0</v>
      </c>
      <c r="AR13" s="181"/>
      <c r="AS13" s="178" t="str">
        <f t="shared" si="9"/>
        <v>XM</v>
      </c>
      <c r="AT13" s="178">
        <f>IF(OR(XM!C100="Sí",XM!C100="Si"),1,IF(XM!C100="Parcial",0.5,0))+IF(OR(XM!C101="Sí",XM!C101="Si"),1,IF(XM!C101="Parcial",0.5,0))+IF(OR(XM!C102="Sí",XM!C102="Si"),1,IF(XM!C102="Parcial",0.5,0))+IF(OR(XM!C103="Sí",XM!C103="Si"),1,IF(XM!C103="Parcial",0.5,0))+IF(OR(XM!C104="Sí",XM!C104="Si"),1,IF(XM!C104="Parcial",0.5,0))+IF(OR(XM!C105="Sí",XM!C105="Si"),1,IF(XM!C105="Parcial",0.5,0))+IF(OR(XM!C106="Sí",XM!C106="Si"),1,IF(XM!C106="Parcial",0.5,0))+IF(OR(XM!C107="Sí",XM!C107="Si"),1,IF(XM!C107="Parcial",0.5,0))+IF(OR(XM!C108="Sí",XM!C108="Si"),1,IF(XM!C108="Parcial",0.5,0))+IF(OR(XM!C109="Sí",XM!C109="Si"),1,IF(XM!C109="Parcial",0.5,0))+IF(OR(XM!C110="Sí",XM!C110="Si"),1,IF(XM!C110="Parcial",0.5,0))+IF(OR(XM!C111="Sí",XM!C111="Si"),1,IF(XM!C111="Parcial",0.5,0))+IF(OR(XM!C112="Sí",XM!C112="Si"),1,IF(XM!C112="Parcial",0.5,0))+IF(OR(XM!C113="Sí",XM!C113="Si"),1,IF(XM!C113="Parcial",0.5,0))+IF(OR(XM!C114="Sí",XM!C114="Si"),1,IF(XM!C114="Parcial",0.5,0))+IF(OR(XM!C115="Sí",XM!C115="Si"),1,IF(XM!C115="Parcial",0.5,0))+IF(OR(XM!C116="Sí",XM!C116="Si"),1,IF(XM!C116="Parcial",0.5,0))+IF(OR(XM!C117="Sí",XM!C117="Si"),1,IF(XM!C117="Parcial",0.5,0))+IF(OR(XM!C118="Sí",XM!C118="Si"),1,IF(XM!C118="Parcial",0.5,0))+IF(OR(XM!C119="Sí",XM!C119="Si"),1,IF(XM!C119="Parcial",0.5,0))+IF(OR(XM!C120="Sí",XM!C120="Si"),1,IF(XM!C120="Parcial",0.5,0))+IF(OR(XM!C121="Sí",XM!C121="Si"),1,IF(XM!C121="Parcial",0.5,0))</f>
        <v>16</v>
      </c>
      <c r="AU13" s="181"/>
      <c r="AV13" s="181" t="str">
        <f t="shared" si="10"/>
        <v>XM</v>
      </c>
      <c r="AW13" s="182">
        <f>IFERROR(COUNTA(XM!C126:C133)/8,0)</f>
        <v>0.5</v>
      </c>
      <c r="AX13" s="181"/>
      <c r="AY13" s="181" t="str">
        <f t="shared" si="11"/>
        <v>XM</v>
      </c>
      <c r="AZ13" s="183">
        <f>IFERROR(COUNTA(XM!C136:C145),0)</f>
        <v>7</v>
      </c>
      <c r="BA13" s="181"/>
      <c r="BB13" s="181" t="str">
        <f t="shared" si="12"/>
        <v>XM</v>
      </c>
      <c r="BC13" s="182">
        <f>IFERROR(COUNTA(XM!C150:C156)/7,0)</f>
        <v>0.42857142857142855</v>
      </c>
      <c r="BD13" s="181"/>
      <c r="BE13" s="181" t="str">
        <f t="shared" si="13"/>
        <v>XM</v>
      </c>
      <c r="BF13" s="182">
        <f>IFERROR(COUNTA(XM!C160:C168)/9,0)</f>
        <v>0.88888888888888884</v>
      </c>
      <c r="BG13" s="181"/>
      <c r="BH13" s="181" t="str">
        <f t="shared" si="14"/>
        <v>XM</v>
      </c>
      <c r="BI13" s="182">
        <f>IFERROR(COUNTA(XM!C172:C182)/10,0)</f>
        <v>0.1</v>
      </c>
      <c r="BJ13" s="181"/>
      <c r="BK13" s="181" t="s">
        <v>224</v>
      </c>
      <c r="BL13" s="182">
        <f>AVERAGE(BF3:BF13)</f>
        <v>0.81818181818181823</v>
      </c>
      <c r="BM13" s="182">
        <f>100%</f>
        <v>1</v>
      </c>
      <c r="BN13" s="178"/>
      <c r="BO13" s="178" t="s">
        <v>163</v>
      </c>
      <c r="BP13" s="178">
        <f>Dashboard!O57</f>
        <v>4.5</v>
      </c>
      <c r="BQ13"/>
    </row>
    <row r="14" spans="1:69" ht="15" customHeight="1" x14ac:dyDescent="0.35">
      <c r="A14" s="172" t="s">
        <v>127</v>
      </c>
      <c r="B14" s="172">
        <f>MEDICARTE!C13</f>
        <v>0</v>
      </c>
      <c r="C14" s="172">
        <f t="shared" si="0"/>
        <v>0</v>
      </c>
      <c r="D14" s="172">
        <v>3</v>
      </c>
      <c r="E14" s="172"/>
      <c r="F14" s="172"/>
      <c r="G14" s="172"/>
      <c r="H14" s="172"/>
      <c r="I14" s="172"/>
      <c r="J14" s="172"/>
      <c r="K14" s="172" t="str">
        <f t="shared" si="1"/>
        <v>MEDICARTE</v>
      </c>
      <c r="L14" s="172">
        <f t="shared" si="2"/>
        <v>0</v>
      </c>
      <c r="M14" s="172">
        <v>3</v>
      </c>
      <c r="N14" s="172"/>
      <c r="O14" s="172"/>
      <c r="P14" s="172"/>
      <c r="Q14" s="172"/>
      <c r="R14" s="172"/>
      <c r="S14" s="172"/>
      <c r="T14" s="172"/>
      <c r="U14" s="172"/>
      <c r="V14" s="172"/>
      <c r="W14" s="70"/>
      <c r="X14" s="181" t="str">
        <f t="shared" si="3"/>
        <v>MEDICARTE</v>
      </c>
      <c r="Y14" s="181">
        <f>IFERROR(COUNTA(MEDICARTE!C5:C24)/15,0)</f>
        <v>0.33333333333333331</v>
      </c>
      <c r="Z14" s="181"/>
      <c r="AA14" s="181" t="str">
        <f t="shared" si="4"/>
        <v>MEDICARTE</v>
      </c>
      <c r="AB14" s="181">
        <f t="shared" si="5"/>
        <v>0</v>
      </c>
      <c r="AC14" s="181">
        <v>3</v>
      </c>
      <c r="AD14" s="181"/>
      <c r="AE14" s="181" t="str">
        <f t="shared" si="15"/>
        <v>MEDICARTE</v>
      </c>
      <c r="AF14" s="181">
        <f>IFERROR(MEDICARTE!E58,0)</f>
        <v>0</v>
      </c>
      <c r="AG14" s="181"/>
      <c r="AH14" s="181" t="str">
        <f t="shared" si="6"/>
        <v>MEDICARTE</v>
      </c>
      <c r="AI14" s="181">
        <f>IFERROR(MEDICARTE!C66,0)</f>
        <v>0</v>
      </c>
      <c r="AJ14" s="181">
        <f>IFERROR(MEDICARTE!C68,0)</f>
        <v>0.68</v>
      </c>
      <c r="AK14" s="181"/>
      <c r="AL14" s="181"/>
      <c r="AM14" s="181" t="str">
        <f t="shared" si="7"/>
        <v>MEDICARTE</v>
      </c>
      <c r="AN14" s="181">
        <f>IFERROR(MEDICARTE!C82,0)</f>
        <v>0</v>
      </c>
      <c r="AO14" s="181"/>
      <c r="AP14" s="181" t="str">
        <f t="shared" si="8"/>
        <v>MEDICARTE</v>
      </c>
      <c r="AQ14" s="181">
        <f>IFERROR(MEDICARTE!C89,0)</f>
        <v>0</v>
      </c>
      <c r="AR14" s="181"/>
      <c r="AS14" s="181" t="str">
        <f t="shared" si="9"/>
        <v>MEDICARTE</v>
      </c>
      <c r="AT14" s="181">
        <f>IF(OR(MEDICARTE!C101="Sí",MEDICARTE!C101="Si"),1,IF(MEDICARTE!C101="Parcial",0.5,0))+IF(OR(MEDICARTE!C102="Sí",MEDICARTE!C102="Si"),1,IF(MEDICARTE!C102="Parcial",0.5,0))+IF(OR(MEDICARTE!C103="Sí",MEDICARTE!C103="Si"),1,IF(MEDICARTE!C103="Parcial",0.5,0))+IF(OR(MEDICARTE!C104="Sí",MEDICARTE!C104="Si"),1,IF(MEDICARTE!C104="Parcial",0.5,0))+IF(OR(MEDICARTE!C105="Sí",MEDICARTE!C105="Si"),1,IF(MEDICARTE!C105="Parcial",0.5,0))+IF(OR(MEDICARTE!C106="Sí",MEDICARTE!C106="Si"),1,IF(MEDICARTE!C106="Parcial",0.5,0))+IF(OR(MEDICARTE!C107="Sí",MEDICARTE!C107="Si"),1,IF(MEDICARTE!C107="Parcial",0.5,0))+IF(OR(MEDICARTE!C108="Sí",MEDICARTE!C108="Si"),1,IF(MEDICARTE!C108="Parcial",0.5,0))+IF(OR(MEDICARTE!C109="Sí",MEDICARTE!C109="Si"),1,IF(MEDICARTE!C109="Parcial",0.5,0))+IF(OR(MEDICARTE!C110="Sí",MEDICARTE!C110="Si"),1,IF(MEDICARTE!C110="Parcial",0.5,0))+IF(OR(MEDICARTE!C111="Sí",MEDICARTE!C111="Si"),1,IF(MEDICARTE!C111="Parcial",0.5,0))+IF(OR(MEDICARTE!C112="Sí",MEDICARTE!C112="Si"),1,IF(MEDICARTE!C112="Parcial",0.5,0))+IF(OR(MEDICARTE!C113="Sí",MEDICARTE!C113="Si"),1,IF(MEDICARTE!C113="Parcial",0.5,0))+IF(OR(MEDICARTE!C114="Sí",MEDICARTE!C114="Si"),1,IF(MEDICARTE!C114="Parcial",0.5,0))+IF(OR(MEDICARTE!C115="Sí",MEDICARTE!C115="Si"),1,IF(MEDICARTE!C115="Parcial",0.5,0))+IF(OR(MEDICARTE!C116="Sí",MEDICARTE!C116="Si"),1,IF(MEDICARTE!C116="Parcial",0.5,0))+IF(OR(MEDICARTE!C117="Sí",MEDICARTE!C117="Si"),1,IF(MEDICARTE!C117="Parcial",0.5,0))+IF(OR(MEDICARTE!C118="Sí",MEDICARTE!C118="Si"),1,IF(MEDICARTE!C118="Parcial",0.5,0))+IF(OR(MEDICARTE!C119="Sí",MEDICARTE!C119="Si"),1,IF(MEDICARTE!C119="Parcial",0.5,0))+IF(OR(MEDICARTE!C120="Sí",MEDICARTE!C120="Si"),1,IF(MEDICARTE!C120="Parcial",0.5,0))+IF(OR(MEDICARTE!C121="Sí",MEDICARTE!C121="Si"),1,IF(MEDICARTE!C121="Parcial",0.5,0))+IF(OR(MEDICARTE!C122="Sí",MEDICARTE!C122="Si"),1,IF(MEDICARTE!C122="Parcial",0.5,0))</f>
        <v>1</v>
      </c>
      <c r="AU14" s="181"/>
      <c r="AV14" s="181" t="str">
        <f t="shared" si="10"/>
        <v>MEDICARTE</v>
      </c>
      <c r="AW14" s="181">
        <f>IFERROR(COUNTA(MEDICARTE!C126:C133)/8,0)</f>
        <v>0</v>
      </c>
      <c r="AX14" s="181"/>
      <c r="AY14" s="181" t="str">
        <f t="shared" si="11"/>
        <v>MEDICARTE</v>
      </c>
      <c r="AZ14" s="181">
        <f>IFERROR(COUNTA(MEDICARTE!C137:C146),0)</f>
        <v>0</v>
      </c>
      <c r="BA14" s="181"/>
      <c r="BB14" s="181" t="str">
        <f t="shared" si="12"/>
        <v>MEDICARTE</v>
      </c>
      <c r="BC14" s="181">
        <f>IFERROR(COUNTA(MEDICARTE!C150:C156)/7,0)</f>
        <v>0</v>
      </c>
      <c r="BD14" s="181"/>
      <c r="BE14" s="181" t="str">
        <f t="shared" si="13"/>
        <v>MEDICARTE</v>
      </c>
      <c r="BF14" s="181">
        <f>IFERROR(COUNTA(MEDICARTE!C160:C168)/9,0)</f>
        <v>0.1111111111111111</v>
      </c>
      <c r="BG14" s="181"/>
      <c r="BH14" s="181" t="str">
        <f t="shared" si="14"/>
        <v>MEDICARTE</v>
      </c>
      <c r="BI14" s="181">
        <f>IFERROR(COUNTA(MEDICARTE!C172:C182)/10,0)</f>
        <v>0.1</v>
      </c>
      <c r="BJ14" s="181"/>
      <c r="BK14" s="181" t="s">
        <v>225</v>
      </c>
      <c r="BL14" s="182">
        <f>AVERAGE(BI3:BI13)</f>
        <v>9.9999999999999992E-2</v>
      </c>
      <c r="BM14" s="182">
        <f>100%</f>
        <v>1</v>
      </c>
      <c r="BN14" s="178"/>
      <c r="BO14" s="178" t="s">
        <v>164</v>
      </c>
      <c r="BP14" s="178">
        <f>Dashboard!O58</f>
        <v>5.5</v>
      </c>
      <c r="BQ14"/>
    </row>
    <row r="15" spans="1:69" ht="15" customHeight="1" x14ac:dyDescent="0.35">
      <c r="A15" s="179" t="s">
        <v>226</v>
      </c>
      <c r="B15" s="179"/>
      <c r="C15" s="179"/>
      <c r="D15" s="179"/>
      <c r="E15" s="179"/>
      <c r="F15" s="179"/>
      <c r="G15" s="172"/>
      <c r="H15" s="172"/>
      <c r="I15" s="172"/>
      <c r="J15" s="172"/>
      <c r="K15" s="172"/>
      <c r="L15" s="172"/>
      <c r="M15" s="172"/>
      <c r="N15" s="172"/>
      <c r="O15" s="172"/>
      <c r="P15" s="172"/>
      <c r="Q15" s="172"/>
      <c r="R15" s="172"/>
      <c r="S15" s="172"/>
      <c r="T15" s="172"/>
      <c r="U15" s="172"/>
      <c r="V15" s="172"/>
      <c r="W15" s="70"/>
      <c r="X15" s="178"/>
      <c r="Y15" s="178"/>
      <c r="Z15" s="178"/>
      <c r="AA15" s="178"/>
      <c r="AB15" s="178"/>
      <c r="AC15" s="178"/>
      <c r="AD15" s="178"/>
      <c r="AE15" s="178"/>
      <c r="AF15" s="178"/>
      <c r="AG15" s="178"/>
      <c r="AH15" s="178"/>
      <c r="AI15" s="178"/>
      <c r="AJ15" s="178"/>
      <c r="AK15" s="178"/>
      <c r="AL15" s="178"/>
      <c r="AM15" s="178"/>
      <c r="AN15" s="178"/>
      <c r="AO15" s="178"/>
      <c r="AP15" s="178"/>
      <c r="AQ15" s="178"/>
      <c r="AR15" s="178"/>
      <c r="AS15" s="178"/>
      <c r="AT15" s="178"/>
      <c r="AU15" s="178"/>
      <c r="AV15" s="178"/>
      <c r="AW15" s="178"/>
      <c r="AX15" s="178"/>
      <c r="AY15" s="178"/>
      <c r="AZ15" s="178"/>
      <c r="BA15" s="178"/>
      <c r="BB15" s="178"/>
      <c r="BC15" s="178"/>
      <c r="BD15" s="178"/>
      <c r="BE15" s="178"/>
      <c r="BF15" s="178"/>
      <c r="BG15" s="178"/>
      <c r="BH15" s="178"/>
      <c r="BI15" s="178"/>
      <c r="BJ15" s="178"/>
      <c r="BK15" s="178"/>
      <c r="BL15" s="178"/>
      <c r="BM15" s="178"/>
      <c r="BN15" s="178"/>
      <c r="BO15" s="178" t="s">
        <v>165</v>
      </c>
      <c r="BP15" s="178">
        <f>Dashboard!O59</f>
        <v>7</v>
      </c>
      <c r="BQ15"/>
    </row>
    <row r="16" spans="1:69" ht="15" customHeight="1" x14ac:dyDescent="0.35">
      <c r="A16" s="179" t="s">
        <v>196</v>
      </c>
      <c r="B16" s="179" t="s">
        <v>227</v>
      </c>
      <c r="C16" s="179" t="s">
        <v>228</v>
      </c>
      <c r="D16" s="179" t="s">
        <v>229</v>
      </c>
      <c r="E16" s="179" t="s">
        <v>230</v>
      </c>
      <c r="F16" s="179" t="s">
        <v>231</v>
      </c>
      <c r="G16" s="172"/>
      <c r="H16" s="172"/>
      <c r="I16" s="172"/>
      <c r="J16" s="172"/>
      <c r="K16" s="184" t="s">
        <v>196</v>
      </c>
      <c r="L16" s="184" t="s">
        <v>227</v>
      </c>
      <c r="M16" s="185"/>
      <c r="N16" s="184" t="s">
        <v>196</v>
      </c>
      <c r="O16" s="184" t="s">
        <v>228</v>
      </c>
      <c r="P16" s="185"/>
      <c r="Q16" s="184" t="s">
        <v>196</v>
      </c>
      <c r="R16" s="184" t="s">
        <v>229</v>
      </c>
      <c r="S16" s="172"/>
      <c r="T16" s="186" t="s">
        <v>196</v>
      </c>
      <c r="U16" s="186" t="s">
        <v>231</v>
      </c>
      <c r="V16" s="172"/>
      <c r="W16" s="70"/>
      <c r="X16" s="178"/>
      <c r="Y16" s="178"/>
      <c r="Z16" s="178"/>
      <c r="AA16" s="178"/>
      <c r="AB16" s="178"/>
      <c r="AC16" s="178"/>
      <c r="AD16" s="178"/>
      <c r="AE16" s="178"/>
      <c r="AF16" s="178"/>
      <c r="AG16" s="178"/>
      <c r="AH16" s="178"/>
      <c r="AI16" s="178"/>
      <c r="AJ16" s="178"/>
      <c r="AK16" s="178"/>
      <c r="AL16" s="178"/>
      <c r="AM16" s="178"/>
      <c r="AN16" s="178"/>
      <c r="AO16" s="178"/>
      <c r="AP16" s="178"/>
      <c r="AQ16" s="178"/>
      <c r="AR16" s="178"/>
      <c r="AS16" s="178"/>
      <c r="AT16" s="178"/>
      <c r="AU16" s="178"/>
      <c r="AV16" s="178"/>
      <c r="AW16" s="178"/>
      <c r="AX16" s="178"/>
      <c r="AY16" s="178"/>
      <c r="AZ16" s="178"/>
      <c r="BA16" s="178"/>
      <c r="BB16" s="178"/>
      <c r="BC16" s="178"/>
      <c r="BD16" s="178"/>
      <c r="BE16" s="178"/>
      <c r="BF16" s="178"/>
      <c r="BG16" s="178"/>
      <c r="BH16" s="178"/>
      <c r="BI16" s="178"/>
      <c r="BJ16" s="178"/>
      <c r="BK16" s="178"/>
      <c r="BL16" s="178"/>
      <c r="BM16" s="178"/>
      <c r="BN16" s="178"/>
      <c r="BO16" s="178" t="s">
        <v>166</v>
      </c>
      <c r="BP16" s="178">
        <f>Dashboard!O60</f>
        <v>5</v>
      </c>
      <c r="BQ16"/>
    </row>
    <row r="17" spans="1:69" ht="15" customHeight="1" x14ac:dyDescent="0.35">
      <c r="A17" s="172" t="s">
        <v>116</v>
      </c>
      <c r="B17" s="185">
        <f>IFERROR((COUNTIF('SURA Cotizadores'!D32:D36,"Sí")+COUNTIF('SURA Cotizadores'!D32:D36,"Si")+0.5*COUNTIF('SURA Cotizadores'!D32:D36,"Parcial"))/(COUNTIF('SURA Cotizadores'!D32:D36,"Sí")+COUNTIF('SURA Cotizadores'!D32:D36,"Si")+COUNTIF('SURA Cotizadores'!D32:D36,"Parcial")+COUNTIF('SURA Cotizadores'!D32:D36,"No")),0)</f>
        <v>0.3</v>
      </c>
      <c r="C17" s="185">
        <f>IFERROR((COUNTIF('SURA Cotizadores'!D39:D45,"Sí")+COUNTIF('SURA Cotizadores'!D39:D45,"Si")+0.5*COUNTIF('SURA Cotizadores'!D39:D45,"Parcial"))/(COUNTIF('SURA Cotizadores'!D39:D45,"Sí")+COUNTIF('SURA Cotizadores'!D39:D45,"Si")+COUNTIF('SURA Cotizadores'!D39:D45,"Parcial")+COUNTIF('SURA Cotizadores'!D39:D45,"No")),0)</f>
        <v>0.5714285714285714</v>
      </c>
      <c r="D17" s="185">
        <f>IFERROR((COUNTIF('SURA Cotizadores'!D48:D50,"Sí")+COUNTIF('SURA Cotizadores'!D48:D50,"Si")+0.5*COUNTIF('SURA Cotizadores'!D48:D50,"Parcial"))/(COUNTIF('SURA Cotizadores'!D48:D50,"Sí")+COUNTIF('SURA Cotizadores'!D48:D50,"Si")+COUNTIF('SURA Cotizadores'!D48:D50,"Parcial")+COUNTIF('SURA Cotizadores'!D48:D50,"No")),0)</f>
        <v>0.83333333333333337</v>
      </c>
      <c r="E17" s="185">
        <f>IFERROR((COUNTIF('SURA Cotizadores'!D53:D54,"Sí")+COUNTIF('SURA Cotizadores'!D53:D54,"Si")+0.5*COUNTIF('SURA Cotizadores'!D53:D54,"Parcial"))/(COUNTIF('SURA Cotizadores'!D53:D54,"Sí")+COUNTIF('SURA Cotizadores'!D53:D54,"Si")+COUNTIF('SURA Cotizadores'!D53:D54,"Parcial")+COUNTIF('SURA Cotizadores'!D53:D54,"No")),0)</f>
        <v>0.5</v>
      </c>
      <c r="F17" s="185">
        <f>IFERROR('SURA Cotizadores'!E56,0)</f>
        <v>0.52941176470588236</v>
      </c>
      <c r="G17" s="172"/>
      <c r="H17" s="172"/>
      <c r="I17" s="172"/>
      <c r="J17" s="172"/>
      <c r="K17" s="185" t="str">
        <f t="shared" ref="K17:K27" si="16">A17</f>
        <v>SURA Cotizadores</v>
      </c>
      <c r="L17" s="185">
        <f t="shared" ref="L17:L27" si="17">B17</f>
        <v>0.3</v>
      </c>
      <c r="M17" s="185"/>
      <c r="N17" s="185" t="str">
        <f t="shared" ref="N17:N27" si="18">A17</f>
        <v>SURA Cotizadores</v>
      </c>
      <c r="O17" s="185">
        <f t="shared" ref="O17:O27" si="19">C17</f>
        <v>0.5714285714285714</v>
      </c>
      <c r="P17" s="185"/>
      <c r="Q17" s="185" t="str">
        <f t="shared" ref="Q17:Q27" si="20">A17</f>
        <v>SURA Cotizadores</v>
      </c>
      <c r="R17" s="185">
        <f t="shared" ref="R17:R27" si="21">D17</f>
        <v>0.83333333333333337</v>
      </c>
      <c r="S17" s="172"/>
      <c r="T17" s="172" t="str">
        <f t="shared" ref="T17:T28" si="22">AE3</f>
        <v>SURA Cotizadores</v>
      </c>
      <c r="U17" s="185">
        <f t="shared" ref="U17:U28" si="23">AF3</f>
        <v>0.52941176470588236</v>
      </c>
      <c r="V17" s="172"/>
      <c r="W17" s="70"/>
      <c r="X17" s="178"/>
      <c r="Y17" s="178"/>
      <c r="Z17" s="178"/>
      <c r="AA17" s="178"/>
      <c r="AB17" s="178"/>
      <c r="AC17" s="178"/>
      <c r="AD17" s="178"/>
      <c r="AE17" s="178"/>
      <c r="AF17" s="178"/>
      <c r="AG17" s="178"/>
      <c r="AH17" s="178"/>
      <c r="AI17" s="178"/>
      <c r="AJ17" s="178"/>
      <c r="AK17" s="178"/>
      <c r="AL17" s="178"/>
      <c r="AM17" s="178"/>
      <c r="AN17" s="178"/>
      <c r="AO17" s="178"/>
      <c r="AP17" s="178"/>
      <c r="AQ17" s="178"/>
      <c r="AR17" s="178"/>
      <c r="AS17" s="178"/>
      <c r="AT17" s="178"/>
      <c r="AU17" s="178"/>
      <c r="AV17" s="178"/>
      <c r="AW17" s="178"/>
      <c r="AX17" s="178"/>
      <c r="AY17" s="178"/>
      <c r="AZ17" s="178"/>
      <c r="BA17" s="178"/>
      <c r="BB17" s="178"/>
      <c r="BC17" s="178"/>
      <c r="BD17" s="178"/>
      <c r="BE17" s="178"/>
      <c r="BF17" s="178"/>
      <c r="BG17" s="178"/>
      <c r="BH17" s="178"/>
      <c r="BI17" s="178"/>
      <c r="BJ17" s="178"/>
      <c r="BK17" s="178"/>
      <c r="BL17" s="178"/>
      <c r="BM17" s="178"/>
      <c r="BN17" s="178"/>
      <c r="BO17" s="178" t="s">
        <v>167</v>
      </c>
      <c r="BP17" s="178">
        <f>Dashboard!O61</f>
        <v>5</v>
      </c>
      <c r="BQ17"/>
    </row>
    <row r="18" spans="1:69" ht="15" customHeight="1" x14ac:dyDescent="0.35">
      <c r="A18" s="172" t="s">
        <v>117</v>
      </c>
      <c r="B18" s="185">
        <f>IFERROR((COUNTIF('SURA Digital Venta'!D33:D37,"Sí")+COUNTIF('SURA Digital Venta'!D33:D37,"Si")+0.5*COUNTIF('SURA Digital Venta'!D33:D37,"Parcial"))/(COUNTIF('SURA Digital Venta'!D33:D37,"Sí")+COUNTIF('SURA Digital Venta'!D33:D37,"Si")+COUNTIF('SURA Digital Venta'!D33:D37,"Parcial")+COUNTIF('SURA Digital Venta'!D33:D37,"No")),0)</f>
        <v>0.4</v>
      </c>
      <c r="C18" s="185">
        <f>IFERROR((COUNTIF('SURA Digital Venta'!D40:D46,"Sí")+COUNTIF('SURA Digital Venta'!D40:D46,"Si")+0.5*COUNTIF('SURA Digital Venta'!D40:D46,"Parcial"))/(COUNTIF('SURA Digital Venta'!D40:D46,"Sí")+COUNTIF('SURA Digital Venta'!D40:D46,"Si")+COUNTIF('SURA Digital Venta'!D40:D46,"Parcial")+COUNTIF('SURA Digital Venta'!D40:D46,"No")),0)</f>
        <v>0.5714285714285714</v>
      </c>
      <c r="D18" s="185">
        <f>IFERROR((COUNTIF('SURA Digital Venta'!D49:D51,"Sí")+COUNTIF('SURA Digital Venta'!D49:D51,"Si")+0.5*COUNTIF('SURA Digital Venta'!D49:D51,"Parcial"))/(COUNTIF('SURA Digital Venta'!D49:D51,"Sí")+COUNTIF('SURA Digital Venta'!D49:D51,"Si")+COUNTIF('SURA Digital Venta'!D49:D51,"Parcial")+COUNTIF('SURA Digital Venta'!D49:D51,"No")),0)</f>
        <v>0.83333333333333337</v>
      </c>
      <c r="E18" s="185">
        <f>IFERROR((COUNTIF('SURA Digital Venta'!D54:D55,"Sí")+COUNTIF('SURA Digital Venta'!D54:D55,"Si")+0.5*COUNTIF('SURA Digital Venta'!D54:D55,"Parcial"))/(COUNTIF('SURA Digital Venta'!D54:D55,"Sí")+COUNTIF('SURA Digital Venta'!D54:D55,"Si")+COUNTIF('SURA Digital Venta'!D54:D55,"Parcial")+COUNTIF('SURA Digital Venta'!D54:D55,"No")),0)</f>
        <v>0.5</v>
      </c>
      <c r="F18" s="185">
        <f>IFERROR('SURA Digital Venta'!E57,0)</f>
        <v>0.55882352941176472</v>
      </c>
      <c r="G18" s="172"/>
      <c r="H18" s="172"/>
      <c r="I18" s="172"/>
      <c r="J18" s="172"/>
      <c r="K18" s="185" t="str">
        <f t="shared" si="16"/>
        <v>SURA Digital Venta</v>
      </c>
      <c r="L18" s="185">
        <f t="shared" si="17"/>
        <v>0.4</v>
      </c>
      <c r="M18" s="185"/>
      <c r="N18" s="185" t="str">
        <f t="shared" si="18"/>
        <v>SURA Digital Venta</v>
      </c>
      <c r="O18" s="185">
        <f t="shared" si="19"/>
        <v>0.5714285714285714</v>
      </c>
      <c r="P18" s="185"/>
      <c r="Q18" s="185" t="str">
        <f t="shared" si="20"/>
        <v>SURA Digital Venta</v>
      </c>
      <c r="R18" s="185">
        <f t="shared" si="21"/>
        <v>0.83333333333333337</v>
      </c>
      <c r="S18" s="172"/>
      <c r="T18" s="172" t="str">
        <f t="shared" si="22"/>
        <v>SURA Digital Venta</v>
      </c>
      <c r="U18" s="185">
        <f t="shared" si="23"/>
        <v>0.55882352941176472</v>
      </c>
      <c r="V18" s="172"/>
      <c r="W18" s="70"/>
      <c r="X18" s="178"/>
      <c r="Y18" s="178"/>
      <c r="Z18" s="178"/>
      <c r="AA18" s="178"/>
      <c r="AB18" s="178"/>
      <c r="AC18" s="178"/>
      <c r="AD18" s="178"/>
      <c r="AE18" s="178"/>
      <c r="AF18" s="178"/>
      <c r="AG18" s="178"/>
      <c r="AH18" s="178"/>
      <c r="AI18" s="178"/>
      <c r="AJ18" s="178"/>
      <c r="AK18" s="178"/>
      <c r="AL18" s="178"/>
      <c r="AM18" s="178"/>
      <c r="AN18" s="178"/>
      <c r="AO18" s="178"/>
      <c r="AP18" s="178"/>
      <c r="AQ18" s="178"/>
      <c r="AR18" s="178"/>
      <c r="AS18" s="178"/>
      <c r="AT18" s="178"/>
      <c r="AU18" s="178"/>
      <c r="AV18" s="178"/>
      <c r="AW18" s="178"/>
      <c r="AX18" s="178"/>
      <c r="AY18" s="178"/>
      <c r="AZ18" s="178"/>
      <c r="BA18" s="178"/>
      <c r="BB18" s="178"/>
      <c r="BC18" s="178"/>
      <c r="BD18" s="178"/>
      <c r="BE18" s="178"/>
      <c r="BF18" s="178"/>
      <c r="BG18" s="178"/>
      <c r="BH18" s="178"/>
      <c r="BI18" s="178"/>
      <c r="BJ18" s="178"/>
      <c r="BK18" s="178"/>
      <c r="BL18" s="178"/>
      <c r="BM18" s="178"/>
      <c r="BN18" s="178"/>
      <c r="BO18" s="178" t="s">
        <v>168</v>
      </c>
      <c r="BP18" s="178">
        <f>Dashboard!O62</f>
        <v>9.5</v>
      </c>
      <c r="BQ18"/>
    </row>
    <row r="19" spans="1:69" ht="15" customHeight="1" x14ac:dyDescent="0.35">
      <c r="A19" s="172" t="s">
        <v>118</v>
      </c>
      <c r="B19" s="185">
        <f>IFERROR((COUNTIF('SURA Automatizacion'!D33:D37,"Sí")+COUNTIF('SURA Automatizacion'!D33:D37,"Si")+0.5*COUNTIF('SURA Automatizacion'!D33:D37,"Parcial"))/(COUNTIF('SURA Automatizacion'!D33:D37,"Sí")+COUNTIF('SURA Automatizacion'!D33:D37,"Si")+COUNTIF('SURA Automatizacion'!D33:D37,"Parcial")+COUNTIF('SURA Automatizacion'!D33:D37,"No")),0)</f>
        <v>0.4</v>
      </c>
      <c r="C19" s="185">
        <f>IFERROR((COUNTIF('SURA Automatizacion'!D40:D46,"Sí")+COUNTIF('SURA Automatizacion'!D40:D46,"Si")+0.5*COUNTIF('SURA Automatizacion'!D40:D46,"Parcial"))/(COUNTIF('SURA Automatizacion'!D40:D46,"Sí")+COUNTIF('SURA Automatizacion'!D40:D46,"Si")+COUNTIF('SURA Automatizacion'!D40:D46,"Parcial")+COUNTIF('SURA Automatizacion'!D40:D46,"No")),0)</f>
        <v>0.7142857142857143</v>
      </c>
      <c r="D19" s="185">
        <f>IFERROR((COUNTIF('SURA Automatizacion'!D49:D51,"Sí")+COUNTIF('SURA Automatizacion'!D49:D51,"Si")+0.5*COUNTIF('SURA Automatizacion'!D49:D51,"Parcial"))/(COUNTIF('SURA Automatizacion'!D49:D51,"Sí")+COUNTIF('SURA Automatizacion'!D49:D51,"Si")+COUNTIF('SURA Automatizacion'!D49:D51,"Parcial")+COUNTIF('SURA Automatizacion'!D49:D51,"No")),0)</f>
        <v>0.83333333333333337</v>
      </c>
      <c r="E19" s="185">
        <f>IFERROR((COUNTIF('SURA Automatizacion'!D54:D55,"Sí")+COUNTIF('SURA Automatizacion'!D54:D55,"Si")+0.5*COUNTIF('SURA Automatizacion'!D54:D55,"Parcial"))/(COUNTIF('SURA Automatizacion'!D54:D55,"Sí")+COUNTIF('SURA Automatizacion'!D54:D55,"Si")+COUNTIF('SURA Automatizacion'!D54:D55,"Parcial")+COUNTIF('SURA Automatizacion'!D54:D55,"No")),0)</f>
        <v>0.5</v>
      </c>
      <c r="F19" s="185">
        <f>IFERROR('SURA Automatizacion'!E57,0)</f>
        <v>0.61764705882352944</v>
      </c>
      <c r="G19" s="172"/>
      <c r="H19" s="172"/>
      <c r="I19" s="172"/>
      <c r="J19" s="172"/>
      <c r="K19" s="185" t="str">
        <f t="shared" si="16"/>
        <v>SURA Automatizacion</v>
      </c>
      <c r="L19" s="185">
        <f t="shared" si="17"/>
        <v>0.4</v>
      </c>
      <c r="M19" s="185"/>
      <c r="N19" s="185" t="str">
        <f t="shared" si="18"/>
        <v>SURA Automatizacion</v>
      </c>
      <c r="O19" s="185">
        <f t="shared" si="19"/>
        <v>0.7142857142857143</v>
      </c>
      <c r="P19" s="185"/>
      <c r="Q19" s="185" t="str">
        <f t="shared" si="20"/>
        <v>SURA Automatizacion</v>
      </c>
      <c r="R19" s="185">
        <f t="shared" si="21"/>
        <v>0.83333333333333337</v>
      </c>
      <c r="S19" s="172"/>
      <c r="T19" s="172" t="str">
        <f t="shared" si="22"/>
        <v>SURA Automatizacion</v>
      </c>
      <c r="U19" s="185">
        <f t="shared" si="23"/>
        <v>0.61764705882352944</v>
      </c>
      <c r="V19" s="172"/>
      <c r="W19" s="70"/>
      <c r="X19" s="178"/>
      <c r="Y19" s="178"/>
      <c r="Z19" s="178"/>
      <c r="AA19" s="178"/>
      <c r="AB19" s="178"/>
      <c r="AC19" s="178"/>
      <c r="AD19" s="178"/>
      <c r="AE19" s="178"/>
      <c r="AF19" s="178"/>
      <c r="AG19" s="178"/>
      <c r="AH19" s="178"/>
      <c r="AI19" s="178"/>
      <c r="AJ19" s="178"/>
      <c r="AK19" s="178"/>
      <c r="AL19" s="178"/>
      <c r="AM19" s="178"/>
      <c r="AN19" s="178"/>
      <c r="AO19" s="178"/>
      <c r="AP19" s="178"/>
      <c r="AQ19" s="178"/>
      <c r="AR19" s="178"/>
      <c r="AS19" s="178"/>
      <c r="AT19" s="178"/>
      <c r="AU19" s="178"/>
      <c r="AV19" s="178"/>
      <c r="AW19" s="178"/>
      <c r="AX19" s="178"/>
      <c r="AY19" s="178"/>
      <c r="AZ19" s="178"/>
      <c r="BA19" s="178"/>
      <c r="BB19" s="178"/>
      <c r="BC19" s="178"/>
      <c r="BD19" s="178"/>
      <c r="BE19" s="178"/>
      <c r="BF19" s="178"/>
      <c r="BG19" s="178"/>
      <c r="BH19" s="178"/>
      <c r="BI19" s="178"/>
      <c r="BJ19" s="178"/>
      <c r="BK19" s="178"/>
      <c r="BL19" s="178"/>
      <c r="BM19" s="178"/>
      <c r="BN19" s="178"/>
      <c r="BO19" s="178" t="s">
        <v>169</v>
      </c>
      <c r="BP19" s="178">
        <f>Dashboard!O63</f>
        <v>6.5</v>
      </c>
      <c r="BQ19"/>
    </row>
    <row r="20" spans="1:69" ht="15" customHeight="1" x14ac:dyDescent="0.35">
      <c r="A20" s="172" t="s">
        <v>119</v>
      </c>
      <c r="B20" s="185">
        <f>IFERROR((COUNTIF('SURA Canales Masivos'!D33:D37,"Sí")+COUNTIF('SURA Canales Masivos'!D33:D37,"Si")+0.5*COUNTIF('SURA Canales Masivos'!D33:D37,"Parcial"))/(COUNTIF('SURA Canales Masivos'!D33:D37,"Sí")+COUNTIF('SURA Canales Masivos'!D33:D37,"Si")+COUNTIF('SURA Canales Masivos'!D33:D37,"Parcial")+COUNTIF('SURA Canales Masivos'!D33:D37,"No")),0)</f>
        <v>0.4</v>
      </c>
      <c r="C20" s="185">
        <f>IFERROR((COUNTIF('SURA Canales Masivos'!D40:D46,"Sí")+COUNTIF('SURA Canales Masivos'!D40:D46,"Si")+0.5*COUNTIF('SURA Canales Masivos'!D40:D46,"Parcial"))/(COUNTIF('SURA Canales Masivos'!D40:D46,"Sí")+COUNTIF('SURA Canales Masivos'!D40:D46,"Si")+COUNTIF('SURA Canales Masivos'!D40:D46,"Parcial")+COUNTIF('SURA Canales Masivos'!D40:D46,"No")),0)</f>
        <v>0.6428571428571429</v>
      </c>
      <c r="D20" s="185">
        <f>IFERROR((COUNTIF('SURA Canales Masivos'!D49:D51,"Sí")+COUNTIF('SURA Canales Masivos'!D49:D51,"Si")+0.5*COUNTIF('SURA Canales Masivos'!D49:D51,"Parcial"))/(COUNTIF('SURA Canales Masivos'!D49:D51,"Sí")+COUNTIF('SURA Canales Masivos'!D49:D51,"Si")+COUNTIF('SURA Canales Masivos'!D49:D51,"Parcial")+COUNTIF('SURA Canales Masivos'!D49:D51,"No")),0)</f>
        <v>0.83333333333333337</v>
      </c>
      <c r="E20" s="185">
        <f>IFERROR((COUNTIF('SURA Canales Masivos'!D54:D55,"Sí")+COUNTIF('SURA Canales Masivos'!D54:D55,"Si")+0.5*COUNTIF('SURA Canales Masivos'!D54:D55,"Parcial"))/(COUNTIF('SURA Canales Masivos'!D54:D55,"Sí")+COUNTIF('SURA Canales Masivos'!D54:D55,"Si")+COUNTIF('SURA Canales Masivos'!D54:D55,"Parcial")+COUNTIF('SURA Canales Masivos'!D54:D55,"No")),0)</f>
        <v>0.5</v>
      </c>
      <c r="F20" s="185">
        <f>IFERROR('SURA Canales Masivos'!E57,0)</f>
        <v>0.58823529411764708</v>
      </c>
      <c r="G20" s="172"/>
      <c r="H20" s="172"/>
      <c r="I20" s="172"/>
      <c r="J20" s="172"/>
      <c r="K20" s="185" t="str">
        <f t="shared" si="16"/>
        <v>SURA Canales Masivos</v>
      </c>
      <c r="L20" s="185">
        <f t="shared" si="17"/>
        <v>0.4</v>
      </c>
      <c r="M20" s="185"/>
      <c r="N20" s="185" t="str">
        <f t="shared" si="18"/>
        <v>SURA Canales Masivos</v>
      </c>
      <c r="O20" s="185">
        <f t="shared" si="19"/>
        <v>0.6428571428571429</v>
      </c>
      <c r="P20" s="185"/>
      <c r="Q20" s="185" t="str">
        <f t="shared" si="20"/>
        <v>SURA Canales Masivos</v>
      </c>
      <c r="R20" s="185">
        <f t="shared" si="21"/>
        <v>0.83333333333333337</v>
      </c>
      <c r="S20" s="172"/>
      <c r="T20" s="172" t="str">
        <f t="shared" si="22"/>
        <v>SURA Canales Masivos</v>
      </c>
      <c r="U20" s="185">
        <f t="shared" si="23"/>
        <v>0.58823529411764708</v>
      </c>
      <c r="V20" s="172"/>
      <c r="W20" s="70"/>
      <c r="X20" s="178"/>
      <c r="Y20" s="178"/>
      <c r="Z20" s="178"/>
      <c r="AA20" s="178"/>
      <c r="AB20" s="178"/>
      <c r="AC20" s="178"/>
      <c r="AD20" s="178"/>
      <c r="AE20" s="178"/>
      <c r="AF20" s="178"/>
      <c r="AG20" s="178"/>
      <c r="AH20" s="178"/>
      <c r="AI20" s="178"/>
      <c r="AJ20" s="178"/>
      <c r="AK20" s="178"/>
      <c r="AL20" s="178"/>
      <c r="AM20" s="178"/>
      <c r="AN20" s="178"/>
      <c r="AO20" s="178"/>
      <c r="AP20" s="178"/>
      <c r="AQ20" s="178"/>
      <c r="AR20" s="178"/>
      <c r="AS20" s="178"/>
      <c r="AT20" s="178"/>
      <c r="AU20" s="178"/>
      <c r="AV20" s="178"/>
      <c r="AW20" s="178"/>
      <c r="AX20" s="178"/>
      <c r="AY20" s="178"/>
      <c r="AZ20" s="178"/>
      <c r="BA20" s="178"/>
      <c r="BB20" s="178"/>
      <c r="BC20" s="178"/>
      <c r="BD20" s="178"/>
      <c r="BE20" s="178"/>
      <c r="BF20" s="178"/>
      <c r="BG20" s="178"/>
      <c r="BH20" s="178"/>
      <c r="BI20" s="178"/>
      <c r="BJ20" s="178"/>
      <c r="BK20" s="178"/>
      <c r="BL20" s="178"/>
      <c r="BM20" s="178"/>
      <c r="BN20" s="178"/>
      <c r="BO20" s="178" t="s">
        <v>170</v>
      </c>
      <c r="BP20" s="178">
        <f>Dashboard!O64</f>
        <v>5.5</v>
      </c>
      <c r="BQ20"/>
    </row>
    <row r="21" spans="1:69" ht="15" customHeight="1" x14ac:dyDescent="0.35">
      <c r="A21" s="172" t="s">
        <v>232</v>
      </c>
      <c r="B21" s="185">
        <f>IFERROR((COUNTIF('BCO COES Integracion'!D34:D38,"Sí")+COUNTIF('BCO COES Integracion'!D34:D38,"Si")+0.5*COUNTIF('BCO COES Integracion'!D34:D38,"Parcial"))/(COUNTIF('BCO COES Integracion'!D34:D38,"Sí")+COUNTIF('BCO COES Integracion'!D34:D38,"Si")+COUNTIF('BCO COES Integracion'!D34:D38,"Parcial")+COUNTIF('BCO COES Integracion'!D34:D38,"No")),0)</f>
        <v>0.6</v>
      </c>
      <c r="C21" s="185">
        <f>IFERROR((COUNTIF('BCO COES Integracion'!D41:D47,"Sí")+COUNTIF('BCO COES Integracion'!D41:D47,"Si")+0.5*COUNTIF('BCO COES Integracion'!D41:D47,"Parcial"))/(COUNTIF('BCO COES Integracion'!D41:D47,"Sí")+COUNTIF('BCO COES Integracion'!D41:D47,"Si")+COUNTIF('BCO COES Integracion'!D41:D47,"Parcial")+COUNTIF('BCO COES Integracion'!D41:D47,"No")),0)</f>
        <v>0.7857142857142857</v>
      </c>
      <c r="D21" s="185">
        <f>IFERROR((COUNTIF('BCO COES Integracion'!D50:D52,"Sí")+COUNTIF('BCO COES Integracion'!D50:D52,"Si")+0.5*COUNTIF('BCO COES Integracion'!D50:D52,"Parcial"))/(COUNTIF('BCO COES Integracion'!D50:D52,"Sí")+COUNTIF('BCO COES Integracion'!D50:D52,"Si")+COUNTIF('BCO COES Integracion'!D50:D52,"Parcial")+COUNTIF('BCO COES Integracion'!D50:D52,"No")),0)</f>
        <v>0.83333333333333337</v>
      </c>
      <c r="E21" s="185">
        <f>IFERROR((COUNTIF('BCO COES Integracion'!D55:D56,"Sí")+COUNTIF('BCO COES Integracion'!D55:D56,"Si")+0.5*COUNTIF('BCO COES Integracion'!D55:D56,"Parcial"))/(COUNTIF('BCO COES Integracion'!D55:D56,"Sí")+COUNTIF('BCO COES Integracion'!D55:D56,"Si")+COUNTIF('BCO COES Integracion'!D55:D56,"Parcial")+COUNTIF('BCO COES Integracion'!D55:D56,"No")),0)</f>
        <v>0.75</v>
      </c>
      <c r="F21" s="185">
        <f>IFERROR('BCO COES Integracion'!E58,0)</f>
        <v>0.73529411764705888</v>
      </c>
      <c r="G21" s="172"/>
      <c r="H21" s="172"/>
      <c r="I21" s="172"/>
      <c r="J21" s="172"/>
      <c r="K21" s="185" t="str">
        <f t="shared" si="16"/>
        <v>BCO Gioti1</v>
      </c>
      <c r="L21" s="185">
        <f t="shared" si="17"/>
        <v>0.6</v>
      </c>
      <c r="M21" s="185"/>
      <c r="N21" s="185" t="str">
        <f t="shared" si="18"/>
        <v>BCO Gioti1</v>
      </c>
      <c r="O21" s="185">
        <f t="shared" si="19"/>
        <v>0.7857142857142857</v>
      </c>
      <c r="P21" s="185"/>
      <c r="Q21" s="185" t="str">
        <f t="shared" si="20"/>
        <v>BCO Gioti1</v>
      </c>
      <c r="R21" s="185">
        <f t="shared" si="21"/>
        <v>0.83333333333333337</v>
      </c>
      <c r="S21" s="172"/>
      <c r="T21" s="172" t="str">
        <f t="shared" si="22"/>
        <v>BCO COES Integracion</v>
      </c>
      <c r="U21" s="185">
        <f t="shared" si="23"/>
        <v>0.73529411764705888</v>
      </c>
      <c r="V21" s="172"/>
      <c r="W21" s="70"/>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c r="BB21" s="178"/>
      <c r="BC21" s="178"/>
      <c r="BD21" s="178"/>
      <c r="BE21" s="178"/>
      <c r="BF21" s="178"/>
      <c r="BG21" s="178"/>
      <c r="BH21" s="178"/>
      <c r="BI21" s="178"/>
      <c r="BJ21" s="178"/>
      <c r="BK21" s="178"/>
      <c r="BL21" s="178"/>
      <c r="BM21" s="178"/>
      <c r="BN21" s="178"/>
      <c r="BO21" s="178" t="s">
        <v>171</v>
      </c>
      <c r="BP21" s="178">
        <f>Dashboard!O65</f>
        <v>1</v>
      </c>
      <c r="BQ21"/>
    </row>
    <row r="22" spans="1:69" ht="15" customHeight="1" x14ac:dyDescent="0.35">
      <c r="A22" s="172" t="s">
        <v>233</v>
      </c>
      <c r="B22" s="185">
        <f>IFERROR((COUNTIF('BCO COES Datos'!D34:D38,"Sí")+COUNTIF('BCO COES Datos'!D34:D38,"Si")+0.5*COUNTIF('BCO COES Datos'!D34:D38,"Parcial"))/(COUNTIF('BCO COES Datos'!D34:D38,"Sí")+COUNTIF('BCO COES Datos'!D34:D38,"Si")+COUNTIF('BCO COES Datos'!D34:D38,"Parcial")+COUNTIF('BCO COES Datos'!D34:D38,"No")),0)</f>
        <v>0.6</v>
      </c>
      <c r="C22" s="185">
        <f>IFERROR((COUNTIF('BCO COES Datos'!D41:D47,"Sí")+COUNTIF('BCO COES Datos'!D41:D47,"Si")+0.5*COUNTIF('BCO COES Datos'!D41:D47,"Parcial"))/(COUNTIF('BCO COES Datos'!D41:D47,"Sí")+COUNTIF('BCO COES Datos'!D41:D47,"Si")+COUNTIF('BCO COES Datos'!D41:D47,"Parcial")+COUNTIF('BCO COES Datos'!D41:D47,"No")),0)</f>
        <v>0.7857142857142857</v>
      </c>
      <c r="D22" s="185">
        <f>IFERROR((COUNTIF('BCO COES Datos'!D50:D52,"Sí")+COUNTIF('BCO COES Datos'!D50:D52,"Si")+0.5*COUNTIF('BCO COES Datos'!D50:D52,"Parcial"))/(COUNTIF('BCO COES Datos'!D50:D52,"Sí")+COUNTIF('BCO COES Datos'!D50:D52,"Si")+COUNTIF('BCO COES Datos'!D50:D52,"Parcial")+COUNTIF('BCO COES Datos'!D50:D52,"No")),0)</f>
        <v>0.83333333333333337</v>
      </c>
      <c r="E22" s="185">
        <f>IFERROR((COUNTIF('BCO COES Datos'!D55:D56,"Sí")+COUNTIF('BCO COES Datos'!D55:D56,"Si")+0.5*COUNTIF('BCO COES Datos'!D55:D56,"Parcial"))/(COUNTIF('BCO COES Datos'!D55:D56,"Sí")+COUNTIF('BCO COES Datos'!D55:D56,"Si")+COUNTIF('BCO COES Datos'!D55:D56,"Parcial")+COUNTIF('BCO COES Datos'!D55:D56,"No")),0)</f>
        <v>0.75</v>
      </c>
      <c r="F22" s="185">
        <f>IFERROR('BCO COES Datos'!E58,0)</f>
        <v>0.73529411764705888</v>
      </c>
      <c r="G22" s="172"/>
      <c r="H22" s="172"/>
      <c r="I22" s="172"/>
      <c r="J22" s="172"/>
      <c r="K22" s="185" t="str">
        <f t="shared" si="16"/>
        <v>BCO Gioti2</v>
      </c>
      <c r="L22" s="185">
        <f t="shared" si="17"/>
        <v>0.6</v>
      </c>
      <c r="M22" s="185"/>
      <c r="N22" s="185" t="str">
        <f t="shared" si="18"/>
        <v>BCO Gioti2</v>
      </c>
      <c r="O22" s="185">
        <f t="shared" si="19"/>
        <v>0.7857142857142857</v>
      </c>
      <c r="P22" s="185"/>
      <c r="Q22" s="185" t="str">
        <f t="shared" si="20"/>
        <v>BCO Gioti2</v>
      </c>
      <c r="R22" s="185">
        <f t="shared" si="21"/>
        <v>0.83333333333333337</v>
      </c>
      <c r="S22" s="172"/>
      <c r="T22" s="172" t="str">
        <f t="shared" si="22"/>
        <v>BCO COES Datos</v>
      </c>
      <c r="U22" s="185">
        <f t="shared" si="23"/>
        <v>0.73529411764705888</v>
      </c>
      <c r="V22" s="172"/>
      <c r="W22" s="70"/>
      <c r="X22" s="178"/>
      <c r="Y22" s="178"/>
      <c r="Z22" s="178"/>
      <c r="AA22" s="178"/>
      <c r="AB22" s="178"/>
      <c r="AC22" s="178"/>
      <c r="AD22" s="178"/>
      <c r="AE22" s="178"/>
      <c r="AF22" s="178"/>
      <c r="AG22" s="178"/>
      <c r="AH22" s="178"/>
      <c r="AI22" s="178"/>
      <c r="AJ22" s="178"/>
      <c r="AK22" s="178"/>
      <c r="AL22" s="178"/>
      <c r="AM22" s="178"/>
      <c r="AN22" s="178"/>
      <c r="AO22" s="178"/>
      <c r="AP22" s="178"/>
      <c r="AQ22" s="178"/>
      <c r="AR22" s="178"/>
      <c r="AS22" s="178"/>
      <c r="AT22" s="178"/>
      <c r="AU22" s="178"/>
      <c r="AV22" s="178"/>
      <c r="AW22" s="178"/>
      <c r="AX22" s="178"/>
      <c r="AY22" s="178"/>
      <c r="AZ22" s="178"/>
      <c r="BA22" s="178"/>
      <c r="BB22" s="178"/>
      <c r="BC22" s="178"/>
      <c r="BD22" s="178"/>
      <c r="BE22" s="178"/>
      <c r="BF22" s="178"/>
      <c r="BG22" s="178"/>
      <c r="BH22" s="178"/>
      <c r="BI22" s="178"/>
      <c r="BJ22" s="178"/>
      <c r="BK22" s="178"/>
      <c r="BL22" s="178"/>
      <c r="BM22" s="178"/>
      <c r="BN22" s="178"/>
      <c r="BO22" s="178" t="s">
        <v>172</v>
      </c>
      <c r="BP22" s="178">
        <f>Dashboard!O66</f>
        <v>11.5</v>
      </c>
      <c r="BQ22"/>
    </row>
    <row r="23" spans="1:69" x14ac:dyDescent="0.35">
      <c r="A23" s="172" t="s">
        <v>234</v>
      </c>
      <c r="B23" s="185">
        <f>IFERROR((COUNTIF('BCO Soporte'!D34:D38,"Sí")+COUNTIF('BCO Soporte'!D34:D38,"Si")+0.5*COUNTIF('BCO Soporte'!D34:D38,"Parcial"))/(COUNTIF('BCO Soporte'!D34:D38,"Sí")+COUNTIF('BCO Soporte'!D34:D38,"Si")+COUNTIF('BCO Soporte'!D34:D38,"Parcial")+COUNTIF('BCO Soporte'!D34:D38,"No")),0)</f>
        <v>0.6</v>
      </c>
      <c r="C23" s="185">
        <f>IFERROR((COUNTIF('BCO Soporte'!D41:D47,"Sí")+COUNTIF('BCO Soporte'!D41:D47,"Si")+0.5*COUNTIF('BCO Soporte'!D41:D47,"Parcial"))/(COUNTIF('BCO Soporte'!D41:D47,"Sí")+COUNTIF('BCO Soporte'!D41:D47,"Si")+COUNTIF('BCO Soporte'!D41:D47,"Parcial")+COUNTIF('BCO Soporte'!D41:D47,"No")),0)</f>
        <v>0.7857142857142857</v>
      </c>
      <c r="D23" s="185">
        <f>IFERROR((COUNTIF('BCO Soporte'!D50:D52,"Sí")+COUNTIF('BCO Soporte'!D50:D52,"Si")+0.5*COUNTIF('BCO Soporte'!D50:D52,"Parcial"))/(COUNTIF('BCO Soporte'!D50:D52,"Sí")+COUNTIF('BCO Soporte'!D50:D52,"Si")+COUNTIF('BCO Soporte'!D50:D52,"Parcial")+COUNTIF('BCO Soporte'!D50:D52,"No")),0)</f>
        <v>0.83333333333333337</v>
      </c>
      <c r="E23" s="185">
        <f>IFERROR((COUNTIF('BCO Soporte'!D55:D56,"Sí")+COUNTIF('BCO Soporte'!D55:D56,"Si")+0.5*COUNTIF('BCO Soporte'!D55:D56,"Parcial"))/(COUNTIF('BCO Soporte'!D55:D56,"Sí")+COUNTIF('BCO Soporte'!D55:D56,"Si")+COUNTIF('BCO Soporte'!D55:D56,"Parcial")+COUNTIF('BCO Soporte'!D55:D56,"No")),0)</f>
        <v>0.75</v>
      </c>
      <c r="F23" s="185">
        <f>IFERROR('BCO Soporte'!E58,0)</f>
        <v>0.73529411764705888</v>
      </c>
      <c r="G23" s="172"/>
      <c r="H23" s="172"/>
      <c r="I23" s="172"/>
      <c r="J23" s="172"/>
      <c r="K23" s="185" t="str">
        <f t="shared" si="16"/>
        <v>BCO Gioti3</v>
      </c>
      <c r="L23" s="185">
        <f t="shared" si="17"/>
        <v>0.6</v>
      </c>
      <c r="M23" s="185"/>
      <c r="N23" s="185" t="str">
        <f t="shared" si="18"/>
        <v>BCO Gioti3</v>
      </c>
      <c r="O23" s="185">
        <f t="shared" si="19"/>
        <v>0.7857142857142857</v>
      </c>
      <c r="P23" s="185"/>
      <c r="Q23" s="185" t="str">
        <f t="shared" si="20"/>
        <v>BCO Gioti3</v>
      </c>
      <c r="R23" s="185">
        <f t="shared" si="21"/>
        <v>0.83333333333333337</v>
      </c>
      <c r="S23" s="172"/>
      <c r="T23" s="172" t="str">
        <f t="shared" si="22"/>
        <v>BCO Soporte</v>
      </c>
      <c r="U23" s="185">
        <f t="shared" si="23"/>
        <v>0.73529411764705888</v>
      </c>
      <c r="V23" s="172"/>
      <c r="W23" s="70"/>
      <c r="X23" s="178"/>
      <c r="Y23" s="178"/>
      <c r="Z23" s="178"/>
      <c r="AA23" s="178"/>
      <c r="AB23" s="178"/>
      <c r="AC23" s="178"/>
      <c r="AD23" s="178"/>
      <c r="AE23" s="178"/>
      <c r="AF23" s="178"/>
      <c r="AG23" s="178"/>
      <c r="AH23" s="178"/>
      <c r="AI23" s="178"/>
      <c r="AJ23" s="178"/>
      <c r="AK23" s="178"/>
      <c r="AL23" s="178"/>
      <c r="AM23" s="178"/>
      <c r="AN23" s="178"/>
      <c r="AO23" s="178"/>
      <c r="AP23" s="178"/>
      <c r="AQ23" s="178"/>
      <c r="AR23" s="178"/>
      <c r="AS23" s="178"/>
      <c r="AT23" s="178"/>
      <c r="AU23" s="178"/>
      <c r="AV23" s="178"/>
      <c r="AW23" s="178"/>
      <c r="AX23" s="178"/>
      <c r="AY23" s="178"/>
      <c r="AZ23" s="178"/>
      <c r="BA23" s="178"/>
      <c r="BB23" s="178"/>
      <c r="BC23" s="178"/>
      <c r="BD23" s="178"/>
      <c r="BE23" s="178"/>
      <c r="BF23" s="178"/>
      <c r="BG23" s="178"/>
      <c r="BH23" s="178"/>
      <c r="BI23" s="178"/>
      <c r="BJ23" s="178"/>
      <c r="BK23" s="178"/>
      <c r="BL23" s="178"/>
      <c r="BM23" s="178"/>
      <c r="BN23" s="178"/>
      <c r="BO23" s="178" t="s">
        <v>173</v>
      </c>
      <c r="BP23" s="178">
        <f>Dashboard!O67</f>
        <v>3</v>
      </c>
      <c r="BQ23"/>
    </row>
    <row r="24" spans="1:69" x14ac:dyDescent="0.35">
      <c r="A24" s="172" t="s">
        <v>235</v>
      </c>
      <c r="B24" s="185">
        <f>IFERROR((COUNTIF('BCO COES Emma'!D34:D38,"Sí")+COUNTIF('BCO COES Emma'!D34:D38,"Si")+0.5*COUNTIF('BCO COES Emma'!D34:D38,"Parcial"))/(COUNTIF('BCO COES Emma'!D34:D38,"Sí")+COUNTIF('BCO COES Emma'!D34:D38,"Si")+COUNTIF('BCO COES Emma'!D34:D38,"Parcial")+COUNTIF('BCO COES Emma'!D34:D38,"No")),0)</f>
        <v>0.6</v>
      </c>
      <c r="C24" s="185">
        <f>IFERROR((COUNTIF('BCO COES Emma'!D41:D47,"Sí")+COUNTIF('BCO COES Emma'!D41:D47,"Si")+0.5*COUNTIF('BCO COES Emma'!D41:D47,"Parcial"))/(COUNTIF('BCO COES Emma'!D41:D47,"Sí")+COUNTIF('BCO COES Emma'!D41:D47,"Si")+COUNTIF('BCO COES Emma'!D41:D47,"Parcial")+COUNTIF('BCO COES Emma'!D41:D47,"No")),0)</f>
        <v>0.7857142857142857</v>
      </c>
      <c r="D24" s="185">
        <f>IFERROR((COUNTIF('BCO COES Emma'!D50:D52,"Sí")+COUNTIF('BCO COES Emma'!D50:D52,"Si")+0.5*COUNTIF('BCO COES Emma'!D50:D52,"Parcial"))/(COUNTIF('BCO COES Emma'!D50:D52,"Sí")+COUNTIF('BCO COES Emma'!D50:D52,"Si")+COUNTIF('BCO COES Emma'!D50:D52,"Parcial")+COUNTIF('BCO COES Emma'!D50:D52,"No")),0)</f>
        <v>0.83333333333333337</v>
      </c>
      <c r="E24" s="185">
        <f>IFERROR((COUNTIF('BCO COES Emma'!D55:D56,"Sí")+COUNTIF('BCO COES Emma'!D55:D56,"Si")+0.5*COUNTIF('BCO COES Emma'!D55:D56,"Parcial"))/(COUNTIF('BCO COES Emma'!D55:D56,"Sí")+COUNTIF('BCO COES Emma'!D55:D56,"Si")+COUNTIF('BCO COES Emma'!D55:D56,"Parcial")+COUNTIF('BCO COES Emma'!D55:D56,"No")),0)</f>
        <v>0.75</v>
      </c>
      <c r="F24" s="185">
        <f>IFERROR('BCO COES Emma'!E58,0)</f>
        <v>0.73529411764705888</v>
      </c>
      <c r="G24" s="172"/>
      <c r="H24" s="172"/>
      <c r="I24" s="172"/>
      <c r="J24" s="172"/>
      <c r="K24" s="185" t="str">
        <f t="shared" si="16"/>
        <v>BCO Gioti4</v>
      </c>
      <c r="L24" s="185">
        <f t="shared" si="17"/>
        <v>0.6</v>
      </c>
      <c r="M24" s="185"/>
      <c r="N24" s="185" t="str">
        <f t="shared" si="18"/>
        <v>BCO Gioti4</v>
      </c>
      <c r="O24" s="185">
        <f t="shared" si="19"/>
        <v>0.7857142857142857</v>
      </c>
      <c r="P24" s="185"/>
      <c r="Q24" s="185" t="str">
        <f t="shared" si="20"/>
        <v>BCO Gioti4</v>
      </c>
      <c r="R24" s="185">
        <f t="shared" si="21"/>
        <v>0.83333333333333337</v>
      </c>
      <c r="S24" s="172"/>
      <c r="T24" s="172" t="str">
        <f t="shared" si="22"/>
        <v>BCO COES Emma</v>
      </c>
      <c r="U24" s="185">
        <f t="shared" si="23"/>
        <v>0.73529411764705888</v>
      </c>
      <c r="V24" s="172"/>
      <c r="W24" s="70"/>
      <c r="X24" s="178"/>
      <c r="Y24" s="178"/>
      <c r="Z24" s="178"/>
      <c r="AA24" s="178"/>
      <c r="AB24" s="178"/>
      <c r="AC24" s="178"/>
      <c r="AD24" s="178"/>
      <c r="AE24" s="178"/>
      <c r="AF24" s="178"/>
      <c r="AG24" s="178"/>
      <c r="AH24" s="178"/>
      <c r="AI24" s="178"/>
      <c r="AJ24" s="178"/>
      <c r="AK24" s="178"/>
      <c r="AL24" s="178"/>
      <c r="AM24" s="178"/>
      <c r="AN24" s="178"/>
      <c r="AO24" s="178"/>
      <c r="AP24" s="178"/>
      <c r="AQ24" s="178"/>
      <c r="AR24" s="178"/>
      <c r="AS24" s="178"/>
      <c r="AT24" s="178"/>
      <c r="AU24" s="178"/>
      <c r="AV24" s="178"/>
      <c r="AW24" s="178"/>
      <c r="AX24" s="178"/>
      <c r="AY24" s="178"/>
      <c r="AZ24" s="178"/>
      <c r="BA24" s="178"/>
      <c r="BB24" s="178"/>
      <c r="BC24" s="178"/>
      <c r="BD24" s="178"/>
      <c r="BE24" s="178"/>
      <c r="BF24" s="178"/>
      <c r="BG24" s="178"/>
      <c r="BH24" s="178"/>
      <c r="BI24" s="178"/>
      <c r="BJ24" s="178"/>
      <c r="BK24" s="178"/>
      <c r="BL24" s="178"/>
      <c r="BM24" s="178"/>
      <c r="BN24" s="178"/>
      <c r="BO24" s="178" t="s">
        <v>174</v>
      </c>
      <c r="BP24" s="178">
        <f>Dashboard!O68</f>
        <v>2.5</v>
      </c>
      <c r="BQ24"/>
    </row>
    <row r="25" spans="1:69" ht="15" customHeight="1" x14ac:dyDescent="0.35">
      <c r="A25" s="172" t="s">
        <v>125</v>
      </c>
      <c r="B25" s="185">
        <f>IFERROR((COUNTIF(AES!D33:D37,"Sí")+COUNTIF(AES!D33:D37,"Si")+0.5*COUNTIF(AES!D33:D37,"Parcial"))/(COUNTIF(AES!D33:D37,"Sí")+COUNTIF(AES!D33:D37,"Si")+COUNTIF(AES!D33:D37,"Parcial")+COUNTIF(AES!D33:D37,"No")),0)</f>
        <v>0.4</v>
      </c>
      <c r="C25" s="185">
        <f>IFERROR((COUNTIF(AES!D40:D46,"Sí")+COUNTIF(AES!D40:D46,"Si")+0.5*COUNTIF(AES!D40:D46,"Parcial"))/(COUNTIF(AES!D40:D46,"Sí")+COUNTIF(AES!D40:D46,"Si")+COUNTIF(AES!D40:D46,"Parcial")+COUNTIF(AES!D40:D46,"No")),0)</f>
        <v>0.42857142857142855</v>
      </c>
      <c r="D25" s="185">
        <f>IFERROR((COUNTIF(AES!D49:D51,"Sí")+COUNTIF(AES!D49:D51,"Si")+0.5*COUNTIF(AES!D49:D51,"Parcial"))/(COUNTIF(AES!D49:D51,"Sí")+COUNTIF(AES!D49:D51,"Si")+COUNTIF(AES!D49:D51,"Parcial")+COUNTIF(AES!D49:D51,"No")),0)</f>
        <v>0.16666666666666666</v>
      </c>
      <c r="E25" s="185">
        <f>IFERROR((COUNTIF(AES!D54:D55,"Sí")+COUNTIF(AES!D54:D55,"Si")+0.5*COUNTIF(AES!D54:D55,"Parcial"))/(COUNTIF(AES!D54:D55,"Sí")+COUNTIF(AES!D54:D55,"Si")+COUNTIF(AES!D54:D55,"Parcial")+COUNTIF(AES!D54:D55,"No")),0)</f>
        <v>0.25</v>
      </c>
      <c r="F25" s="185">
        <f>IFERROR(AES!E57,0)</f>
        <v>0.29411764705882398</v>
      </c>
      <c r="G25" s="172"/>
      <c r="H25" s="172"/>
      <c r="I25" s="172"/>
      <c r="J25" s="172"/>
      <c r="K25" s="185" t="str">
        <f t="shared" si="16"/>
        <v>AES</v>
      </c>
      <c r="L25" s="185">
        <f t="shared" si="17"/>
        <v>0.4</v>
      </c>
      <c r="M25" s="185"/>
      <c r="N25" s="185" t="str">
        <f t="shared" si="18"/>
        <v>AES</v>
      </c>
      <c r="O25" s="185">
        <f t="shared" si="19"/>
        <v>0.42857142857142855</v>
      </c>
      <c r="P25" s="185"/>
      <c r="Q25" s="185" t="str">
        <f t="shared" si="20"/>
        <v>AES</v>
      </c>
      <c r="R25" s="185">
        <f t="shared" si="21"/>
        <v>0.16666666666666666</v>
      </c>
      <c r="S25" s="172"/>
      <c r="T25" s="172" t="str">
        <f t="shared" si="22"/>
        <v>BCO Emma Iseries</v>
      </c>
      <c r="U25" s="185">
        <f t="shared" si="23"/>
        <v>0.73529411764705888</v>
      </c>
      <c r="V25" s="172"/>
      <c r="W25" s="70"/>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c r="BB25" s="178"/>
      <c r="BC25" s="178"/>
      <c r="BD25" s="178"/>
      <c r="BE25" s="178"/>
      <c r="BF25" s="178"/>
      <c r="BG25" s="178"/>
      <c r="BH25" s="178"/>
      <c r="BI25" s="178"/>
      <c r="BJ25" s="178"/>
      <c r="BK25" s="178"/>
      <c r="BL25" s="178"/>
      <c r="BM25" s="178"/>
      <c r="BN25" s="178"/>
      <c r="BO25" s="178" t="s">
        <v>175</v>
      </c>
      <c r="BP25" s="178">
        <f>Dashboard!O69</f>
        <v>5.5</v>
      </c>
      <c r="BQ25"/>
    </row>
    <row r="26" spans="1:69" ht="15" customHeight="1" x14ac:dyDescent="0.35">
      <c r="A26" s="172" t="s">
        <v>126</v>
      </c>
      <c r="B26" s="185">
        <f>IFERROR((COUNTIF(XM!D33:D37,"Sí")+COUNTIF(XM!D33:D37,"Si")+0.5*COUNTIF(XM!D33:D37,"Parcial"))/(COUNTIF(XM!D33:D37,"Sí")+COUNTIF(XM!D33:D37,"Si")+COUNTIF(XM!D33:D37,"Parcial")+COUNTIF(XM!D33:D37,"No")),0)</f>
        <v>0.4</v>
      </c>
      <c r="C26" s="185">
        <f>IFERROR((COUNTIF(XM!D40:D46,"Sí")+COUNTIF(XM!D40:D46,"Si")+0.5*COUNTIF(XM!D40:D46,"Parcial"))/(COUNTIF(XM!D40:D46,"Sí")+COUNTIF(XM!D40:D46,"Si")+COUNTIF(XM!D40:D46,"Parcial")+COUNTIF(XM!D40:D46,"No")),0)</f>
        <v>0.5</v>
      </c>
      <c r="D26" s="185">
        <f>IFERROR((COUNTIF(XM!D49:D51,"Sí")+COUNTIF(XM!D49:D51,"Si")+0.5*COUNTIF(XM!D49:D51,"Parcial"))/(COUNTIF(XM!D49:D51,"Sí")+COUNTIF(XM!D49:D51,"Si")+COUNTIF(XM!D49:D51,"Parcial")+COUNTIF(XM!D49:D51,"No")),0)</f>
        <v>0.66666666666666663</v>
      </c>
      <c r="E26" s="185">
        <f>IFERROR((COUNTIF(XM!D54:D55,"Sí")+COUNTIF(XM!D54:D55,"Si")+0.5*COUNTIF(XM!D54:D55,"Parcial"))/(COUNTIF(XM!D54:D55,"Sí")+COUNTIF(XM!D54:D55,"Si")+COUNTIF(XM!D54:D55,"Parcial")+COUNTIF(XM!D54:D55,"No")),0)</f>
        <v>0.5</v>
      </c>
      <c r="F26" s="185">
        <f>IFERROR(XM!E57,0)</f>
        <v>0.5</v>
      </c>
      <c r="G26" s="172"/>
      <c r="H26" s="172"/>
      <c r="I26" s="172"/>
      <c r="J26" s="172"/>
      <c r="K26" s="185" t="str">
        <f t="shared" si="16"/>
        <v>XM</v>
      </c>
      <c r="L26" s="185">
        <f t="shared" si="17"/>
        <v>0.4</v>
      </c>
      <c r="M26" s="185"/>
      <c r="N26" s="185" t="str">
        <f t="shared" si="18"/>
        <v>XM</v>
      </c>
      <c r="O26" s="185">
        <f t="shared" si="19"/>
        <v>0.5</v>
      </c>
      <c r="P26" s="185"/>
      <c r="Q26" s="185" t="str">
        <f t="shared" si="20"/>
        <v>XM</v>
      </c>
      <c r="R26" s="185">
        <f t="shared" si="21"/>
        <v>0.66666666666666663</v>
      </c>
      <c r="S26" s="172"/>
      <c r="T26" s="172" t="str">
        <f t="shared" si="22"/>
        <v>AES</v>
      </c>
      <c r="U26" s="185">
        <f t="shared" si="23"/>
        <v>0.29411764705882398</v>
      </c>
      <c r="V26" s="172"/>
      <c r="W26" s="70"/>
      <c r="X26" s="178"/>
      <c r="Y26" s="178"/>
      <c r="Z26" s="178"/>
      <c r="AA26" s="178"/>
      <c r="AB26" s="178"/>
      <c r="AC26" s="178"/>
      <c r="AD26" s="178"/>
      <c r="AE26" s="178"/>
      <c r="AF26" s="178"/>
      <c r="AG26" s="178"/>
      <c r="AH26" s="178"/>
      <c r="AI26" s="178"/>
      <c r="AJ26" s="178"/>
      <c r="AK26" s="178"/>
      <c r="AL26" s="178"/>
      <c r="AM26" s="178"/>
      <c r="AN26" s="178"/>
      <c r="AO26" s="178"/>
      <c r="AP26" s="178"/>
      <c r="AQ26" s="178"/>
      <c r="AR26" s="178"/>
      <c r="AS26" s="178"/>
      <c r="AT26" s="178"/>
      <c r="AU26" s="178"/>
      <c r="AV26" s="178"/>
      <c r="AW26" s="178"/>
      <c r="AX26" s="178"/>
      <c r="AY26" s="178"/>
      <c r="AZ26" s="178"/>
      <c r="BA26" s="178"/>
      <c r="BB26" s="178"/>
      <c r="BC26" s="178"/>
      <c r="BD26" s="178"/>
      <c r="BE26" s="178"/>
      <c r="BF26" s="178"/>
      <c r="BG26" s="178"/>
      <c r="BH26" s="178"/>
      <c r="BI26" s="178"/>
      <c r="BJ26" s="178"/>
      <c r="BK26" s="178"/>
      <c r="BL26" s="178"/>
      <c r="BM26" s="178"/>
      <c r="BN26" s="178"/>
      <c r="BO26" s="178"/>
      <c r="BP26" s="178"/>
      <c r="BQ26"/>
    </row>
    <row r="27" spans="1:69" ht="15" customHeight="1" x14ac:dyDescent="0.35">
      <c r="A27" s="172" t="s">
        <v>127</v>
      </c>
      <c r="B27" s="185">
        <f>IFERROR((COUNTIF(MEDICARTE!D34:D38,"Sí")+COUNTIF(MEDICARTE!D34:D38,"Si")+0.5*COUNTIF(MEDICARTE!D34:D38,"Parcial"))/(COUNTIF(MEDICARTE!D34:D38,"Sí")+COUNTIF(MEDICARTE!D34:D38,"Si")+COUNTIF(MEDICARTE!D34:D38,"Parcial")+COUNTIF(MEDICARTE!D34:D38,"No")),0)</f>
        <v>0</v>
      </c>
      <c r="C27" s="185">
        <f>IFERROR((COUNTIF(MEDICARTE!D41:D47,"Sí")+COUNTIF(MEDICARTE!D41:D47,"Si")+0.5*COUNTIF(MEDICARTE!D41:D47,"Parcial"))/(COUNTIF(MEDICARTE!D41:D47,"Sí")+COUNTIF(MEDICARTE!D41:D47,"Si")+COUNTIF(MEDICARTE!D41:D47,"Parcial")+COUNTIF(MEDICARTE!D41:D47,"No")),0)</f>
        <v>0</v>
      </c>
      <c r="D27" s="185">
        <f>IFERROR((COUNTIF(MEDICARTE!D50:D52,"Sí")+COUNTIF(MEDICARTE!D50:D52,"Si")+0.5*COUNTIF(MEDICARTE!D50:D52,"Parcial"))/(COUNTIF(MEDICARTE!D50:D52,"Sí")+COUNTIF(MEDICARTE!D50:D52,"Si")+COUNTIF(MEDICARTE!D50:D52,"Parcial")+COUNTIF(MEDICARTE!D50:D52,"No")),0)</f>
        <v>0</v>
      </c>
      <c r="E27" s="185">
        <f>IFERROR((COUNTIF(MEDICARTE!D55:D56,"Sí")+COUNTIF(MEDICARTE!D55:D56,"Si")+0.5*COUNTIF(MEDICARTE!D55:D56,"Parcial"))/(COUNTIF(MEDICARTE!D55:D56,"Sí")+COUNTIF(MEDICARTE!D55:D56,"Si")+COUNTIF(MEDICARTE!D55:D56,"Parcial")+COUNTIF(MEDICARTE!D55:D56,"No")),0)</f>
        <v>0</v>
      </c>
      <c r="F27" s="185">
        <f>IFERROR(MEDICARTE!E58,0)</f>
        <v>0</v>
      </c>
      <c r="G27" s="172"/>
      <c r="H27" s="172"/>
      <c r="I27" s="172"/>
      <c r="J27" s="172"/>
      <c r="K27" s="185" t="str">
        <f t="shared" si="16"/>
        <v>MEDICARTE</v>
      </c>
      <c r="L27" s="185">
        <f t="shared" si="17"/>
        <v>0</v>
      </c>
      <c r="M27" s="185"/>
      <c r="N27" s="185" t="str">
        <f t="shared" si="18"/>
        <v>MEDICARTE</v>
      </c>
      <c r="O27" s="185">
        <f t="shared" si="19"/>
        <v>0</v>
      </c>
      <c r="P27" s="185"/>
      <c r="Q27" s="185" t="str">
        <f t="shared" si="20"/>
        <v>MEDICARTE</v>
      </c>
      <c r="R27" s="185">
        <f t="shared" si="21"/>
        <v>0</v>
      </c>
      <c r="S27" s="172"/>
      <c r="T27" s="172" t="str">
        <f t="shared" si="22"/>
        <v>XM</v>
      </c>
      <c r="U27" s="185">
        <f t="shared" si="23"/>
        <v>0.5</v>
      </c>
      <c r="V27" s="172"/>
      <c r="W27" s="70"/>
      <c r="X27" s="178"/>
      <c r="Y27" s="178"/>
      <c r="Z27" s="178"/>
      <c r="AA27" s="178"/>
      <c r="AB27" s="178"/>
      <c r="AC27" s="178"/>
      <c r="AD27" s="178"/>
      <c r="AE27" s="178"/>
      <c r="AF27" s="178"/>
      <c r="AG27" s="178"/>
      <c r="AH27" s="178"/>
      <c r="AI27" s="178"/>
      <c r="AJ27" s="178"/>
      <c r="AK27" s="178"/>
      <c r="AL27" s="178"/>
      <c r="AM27" s="178"/>
      <c r="AN27" s="178"/>
      <c r="AO27" s="178"/>
      <c r="AP27" s="178"/>
      <c r="AQ27" s="178"/>
      <c r="AR27" s="178"/>
      <c r="AS27" s="178"/>
      <c r="AT27" s="178"/>
      <c r="AU27" s="178"/>
      <c r="AV27" s="178"/>
      <c r="AW27" s="178"/>
      <c r="AX27" s="178"/>
      <c r="AY27" s="178"/>
      <c r="AZ27" s="178"/>
      <c r="BA27" s="178"/>
      <c r="BB27" s="178"/>
      <c r="BC27" s="178"/>
      <c r="BD27" s="178"/>
      <c r="BE27" s="178"/>
      <c r="BF27" s="178"/>
      <c r="BG27" s="178"/>
      <c r="BH27" s="178"/>
      <c r="BI27" s="178"/>
      <c r="BJ27" s="178"/>
      <c r="BK27" s="178"/>
      <c r="BL27" s="178"/>
      <c r="BM27" s="178"/>
      <c r="BN27" s="178"/>
      <c r="BO27" s="178"/>
      <c r="BP27" s="178"/>
      <c r="BQ27"/>
    </row>
    <row r="28" spans="1:69" ht="15" customHeight="1" x14ac:dyDescent="0.35">
      <c r="A28" s="172"/>
      <c r="B28" s="172"/>
      <c r="C28" s="172"/>
      <c r="D28" s="172"/>
      <c r="E28" s="172"/>
      <c r="F28" s="172"/>
      <c r="G28" s="172"/>
      <c r="H28" s="172"/>
      <c r="I28" s="172"/>
      <c r="J28" s="172"/>
      <c r="K28" s="172"/>
      <c r="L28" s="172"/>
      <c r="M28" s="172"/>
      <c r="N28" s="172"/>
      <c r="O28" s="172"/>
      <c r="P28" s="172"/>
      <c r="Q28" s="172"/>
      <c r="R28" s="172"/>
      <c r="S28" s="172"/>
      <c r="T28" s="172" t="str">
        <f t="shared" si="22"/>
        <v>MEDICARTE</v>
      </c>
      <c r="U28" s="172">
        <f t="shared" si="23"/>
        <v>0</v>
      </c>
      <c r="V28" s="172"/>
      <c r="W28" s="70"/>
      <c r="X28" s="178"/>
      <c r="Y28" s="178"/>
      <c r="Z28" s="178"/>
      <c r="AA28" s="178"/>
      <c r="AB28" s="178"/>
      <c r="AC28" s="178"/>
      <c r="AD28" s="178"/>
      <c r="AE28" s="178"/>
      <c r="AF28" s="178"/>
      <c r="AG28" s="178"/>
      <c r="AH28" s="178"/>
      <c r="AI28" s="178"/>
      <c r="AJ28" s="178"/>
      <c r="AK28" s="178"/>
      <c r="AL28" s="178"/>
      <c r="AM28" s="178"/>
      <c r="AN28" s="178"/>
      <c r="AO28" s="178"/>
      <c r="AP28" s="178"/>
      <c r="AQ28" s="178"/>
      <c r="AR28" s="178"/>
      <c r="AS28" s="178"/>
      <c r="AT28" s="178"/>
      <c r="AU28" s="178"/>
      <c r="AV28" s="178"/>
      <c r="AW28" s="178"/>
      <c r="AX28" s="178"/>
      <c r="AY28" s="178"/>
      <c r="AZ28" s="178"/>
      <c r="BA28" s="178"/>
      <c r="BB28" s="178"/>
      <c r="BC28" s="178"/>
      <c r="BD28" s="178"/>
      <c r="BE28" s="178"/>
      <c r="BF28" s="178"/>
      <c r="BG28" s="178"/>
      <c r="BH28" s="178"/>
      <c r="BI28" s="178"/>
      <c r="BJ28" s="178"/>
      <c r="BK28" s="178"/>
      <c r="BL28" s="178"/>
      <c r="BM28" s="178"/>
      <c r="BN28" s="178"/>
      <c r="BO28" s="178"/>
      <c r="BP28" s="178"/>
      <c r="BQ28"/>
    </row>
    <row r="29" spans="1:69" ht="15" customHeight="1" x14ac:dyDescent="0.35">
      <c r="A29" s="179" t="s">
        <v>236</v>
      </c>
      <c r="B29" s="179"/>
      <c r="C29" s="179"/>
      <c r="D29" s="179"/>
      <c r="E29" s="179"/>
      <c r="F29" s="179"/>
      <c r="G29" s="179"/>
      <c r="H29" s="179"/>
      <c r="I29" s="179"/>
      <c r="J29" s="172"/>
      <c r="K29" s="172"/>
      <c r="L29" s="172"/>
      <c r="M29" s="172"/>
      <c r="N29" s="172"/>
      <c r="O29" s="172"/>
      <c r="P29" s="172"/>
      <c r="Q29" s="172"/>
      <c r="R29" s="172"/>
      <c r="S29" s="172"/>
      <c r="T29" s="172"/>
      <c r="U29" s="172"/>
      <c r="V29" s="172"/>
      <c r="W29" s="70"/>
      <c r="X29" s="178"/>
      <c r="Y29" s="178"/>
      <c r="Z29" s="178"/>
      <c r="AA29" s="178"/>
      <c r="AB29" s="178"/>
      <c r="AC29" s="178"/>
      <c r="AD29" s="178"/>
      <c r="AE29" s="178"/>
      <c r="AF29" s="178"/>
      <c r="AG29" s="178"/>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8"/>
      <c r="BD29" s="178"/>
      <c r="BE29" s="178"/>
      <c r="BF29" s="178"/>
      <c r="BG29" s="178"/>
      <c r="BH29" s="178"/>
      <c r="BI29" s="178"/>
      <c r="BJ29" s="178"/>
      <c r="BK29" s="178"/>
      <c r="BL29" s="178"/>
      <c r="BM29" s="178"/>
      <c r="BN29" s="178"/>
      <c r="BO29" s="178"/>
      <c r="BP29" s="178"/>
      <c r="BQ29"/>
    </row>
    <row r="30" spans="1:69" ht="15" customHeight="1" x14ac:dyDescent="0.35">
      <c r="A30" s="179" t="s">
        <v>196</v>
      </c>
      <c r="B30" s="179" t="s">
        <v>237</v>
      </c>
      <c r="C30" s="179" t="s">
        <v>238</v>
      </c>
      <c r="D30" s="179" t="s">
        <v>239</v>
      </c>
      <c r="E30" s="179" t="s">
        <v>240</v>
      </c>
      <c r="F30" s="179" t="s">
        <v>241</v>
      </c>
      <c r="G30" s="179" t="s">
        <v>242</v>
      </c>
      <c r="H30" s="179" t="s">
        <v>243</v>
      </c>
      <c r="I30" s="179" t="s">
        <v>244</v>
      </c>
      <c r="J30" s="172"/>
      <c r="K30" s="172"/>
      <c r="L30" s="172"/>
      <c r="M30" s="172"/>
      <c r="N30" s="172"/>
      <c r="O30" s="172"/>
      <c r="P30" s="172"/>
      <c r="Q30" s="172"/>
      <c r="R30" s="172"/>
      <c r="S30" s="172"/>
      <c r="T30" s="172"/>
      <c r="U30" s="172"/>
      <c r="V30" s="172"/>
      <c r="W30" s="70"/>
      <c r="X30" s="178"/>
      <c r="Y30" s="178"/>
      <c r="Z30" s="178"/>
      <c r="AA30" s="178"/>
      <c r="AB30" s="178"/>
      <c r="AC30" s="178"/>
      <c r="AD30" s="178"/>
      <c r="AE30" s="178"/>
      <c r="AF30" s="178"/>
      <c r="AG30" s="178"/>
      <c r="AH30" s="178"/>
      <c r="AI30" s="178"/>
      <c r="AJ30" s="178"/>
      <c r="AK30" s="178"/>
      <c r="AL30" s="178"/>
      <c r="AM30" s="178"/>
      <c r="AN30" s="178"/>
      <c r="AO30" s="178"/>
      <c r="AP30" s="178"/>
      <c r="AQ30" s="178"/>
      <c r="AR30" s="178"/>
      <c r="AS30" s="178"/>
      <c r="AT30" s="178"/>
      <c r="AU30" s="178"/>
      <c r="AV30" s="178"/>
      <c r="AW30" s="178"/>
      <c r="AX30" s="178"/>
      <c r="AY30" s="178"/>
      <c r="AZ30" s="178"/>
      <c r="BA30" s="178"/>
      <c r="BB30" s="178"/>
      <c r="BC30" s="178"/>
      <c r="BD30" s="178"/>
      <c r="BE30" s="178"/>
      <c r="BF30" s="178"/>
      <c r="BG30" s="178"/>
      <c r="BH30" s="178"/>
      <c r="BI30" s="178"/>
      <c r="BJ30" s="178"/>
      <c r="BK30" s="178"/>
      <c r="BL30" s="178"/>
      <c r="BM30" s="178"/>
      <c r="BN30" s="178"/>
      <c r="BO30" s="178"/>
      <c r="BP30" s="178"/>
      <c r="BQ30"/>
    </row>
    <row r="31" spans="1:69" ht="15" customHeight="1" x14ac:dyDescent="0.35">
      <c r="A31" s="172" t="s">
        <v>116</v>
      </c>
      <c r="B31" s="187">
        <f>IF('SURA Cotizadores'!C99="Sí",1,IF('SURA Cotizadores'!C99="Si",1,IF('SURA Cotizadores'!C99="Parcial",0.5,IF('SURA Cotizadores'!C99="No",0,0))))</f>
        <v>0.5</v>
      </c>
      <c r="C31" s="187">
        <f>IF('SURA Cotizadores'!C100="Sí",1,IF('SURA Cotizadores'!C100="Si",1,IF('SURA Cotizadores'!C100="Parcial",0.5,IF('SURA Cotizadores'!C100="No",0,0))))</f>
        <v>1</v>
      </c>
      <c r="D31" s="187">
        <f>IF('SURA Cotizadores'!C101="Sí",1,IF('SURA Cotizadores'!C101="Si",1,IF('SURA Cotizadores'!C101="Parcial",0.5,IF('SURA Cotizadores'!C101="No",0,0))))</f>
        <v>1</v>
      </c>
      <c r="E31" s="187">
        <f>IF('SURA Cotizadores'!C102="Sí",1,IF('SURA Cotizadores'!C102="Si",1,IF('SURA Cotizadores'!C102="Parcial",0.5,IF('SURA Cotizadores'!C102="No",0,0))))</f>
        <v>0.5</v>
      </c>
      <c r="F31" s="187">
        <f>IF('SURA Cotizadores'!C103="Sí",1,IF('SURA Cotizadores'!C103="Si",1,IF('SURA Cotizadores'!C103="Parcial",0.5,IF('SURA Cotizadores'!C103="No",0,0))))</f>
        <v>0</v>
      </c>
      <c r="G31" s="187">
        <f>IF('SURA Cotizadores'!C104="Sí",1,IF('SURA Cotizadores'!C104="Si",1,IF('SURA Cotizadores'!C104="Parcial",0.5,IF('SURA Cotizadores'!C104="No",0,0))))</f>
        <v>0.5</v>
      </c>
      <c r="H31" s="187">
        <f>IF('SURA Cotizadores'!C105="Sí",1,IF('SURA Cotizadores'!C105="Si",1,IF('SURA Cotizadores'!C105="Parcial",0.5,IF('SURA Cotizadores'!C105="No",0,0))))</f>
        <v>0.5</v>
      </c>
      <c r="I31" s="187">
        <f t="shared" ref="I31:I41" si="24">SUM(B31:H31)</f>
        <v>4</v>
      </c>
      <c r="J31" s="172"/>
      <c r="K31" s="179" t="s">
        <v>196</v>
      </c>
      <c r="L31" s="179" t="s">
        <v>230</v>
      </c>
      <c r="M31" s="172"/>
      <c r="N31" s="179" t="s">
        <v>196</v>
      </c>
      <c r="O31" s="179" t="s">
        <v>245</v>
      </c>
      <c r="P31" s="172"/>
      <c r="Q31" s="172"/>
      <c r="R31" s="172"/>
      <c r="S31" s="172"/>
      <c r="T31" s="172"/>
      <c r="U31" s="172"/>
      <c r="V31" s="172"/>
      <c r="W31" s="70"/>
      <c r="X31" s="178"/>
      <c r="Y31" s="178"/>
      <c r="Z31" s="178"/>
      <c r="AA31" s="178"/>
      <c r="AB31" s="178"/>
      <c r="AC31" s="178"/>
      <c r="AD31" s="178"/>
      <c r="AE31" s="178"/>
      <c r="AF31" s="178"/>
      <c r="AG31" s="178"/>
      <c r="AH31" s="178"/>
      <c r="AI31" s="178"/>
      <c r="AJ31" s="178"/>
      <c r="AK31" s="178"/>
      <c r="AL31" s="178"/>
      <c r="AM31" s="178"/>
      <c r="AN31" s="178"/>
      <c r="AO31" s="178"/>
      <c r="AP31" s="178"/>
      <c r="AQ31" s="178"/>
      <c r="AR31" s="178"/>
      <c r="AS31" s="178"/>
      <c r="AT31" s="178"/>
      <c r="AU31" s="178"/>
      <c r="AV31" s="178"/>
      <c r="AW31" s="178"/>
      <c r="AX31" s="178"/>
      <c r="AY31" s="178"/>
      <c r="AZ31" s="178"/>
      <c r="BA31" s="178"/>
      <c r="BB31" s="178"/>
      <c r="BC31" s="178"/>
      <c r="BD31" s="178"/>
      <c r="BE31" s="178"/>
      <c r="BF31" s="178"/>
      <c r="BG31" s="178"/>
      <c r="BH31" s="178"/>
      <c r="BI31" s="178"/>
      <c r="BJ31" s="178"/>
      <c r="BK31" s="178"/>
      <c r="BL31" s="178"/>
      <c r="BM31" s="178"/>
      <c r="BN31" s="178"/>
      <c r="BO31" s="178"/>
      <c r="BP31" s="178"/>
      <c r="BQ31"/>
    </row>
    <row r="32" spans="1:69" ht="15" customHeight="1" x14ac:dyDescent="0.35">
      <c r="A32" s="172" t="s">
        <v>117</v>
      </c>
      <c r="B32" s="187">
        <f>IF('SURA Digital Venta'!C100="Sí",1,IF('SURA Digital Venta'!C100="Si",1,IF('SURA Digital Venta'!C100="Parcial",0.5,IF('SURA Digital Venta'!C100="No",0,0))))</f>
        <v>0.5</v>
      </c>
      <c r="C32" s="187">
        <f>IF('SURA Digital Venta'!C101="Sí",1,IF('SURA Digital Venta'!C101="Si",1,IF('SURA Digital Venta'!C101="Parcial",0.5,IF('SURA Digital Venta'!C101="No",0,0))))</f>
        <v>1</v>
      </c>
      <c r="D32" s="187">
        <f>IF('SURA Digital Venta'!C102="Sí",1,IF('SURA Digital Venta'!C102="Si",1,IF('SURA Digital Venta'!C102="Parcial",0.5,IF('SURA Digital Venta'!C102="No",0,0))))</f>
        <v>1</v>
      </c>
      <c r="E32" s="187">
        <f>IF('SURA Digital Venta'!C103="Sí",1,IF('SURA Digital Venta'!C103="Si",1,IF('SURA Digital Venta'!C103="Parcial",0.5,IF('SURA Digital Venta'!C103="No",0,0))))</f>
        <v>0.5</v>
      </c>
      <c r="F32" s="187">
        <f>IF('SURA Digital Venta'!C104="Sí",1,IF('SURA Digital Venta'!C104="Si",1,IF('SURA Digital Venta'!C104="Parcial",0.5,IF('SURA Digital Venta'!C104="No",0,0))))</f>
        <v>0</v>
      </c>
      <c r="G32" s="187">
        <f>IF('SURA Digital Venta'!C105="Sí",1,IF('SURA Digital Venta'!C105="Si",1,IF('SURA Digital Venta'!C105="Parcial",0.5,IF('SURA Digital Venta'!C105="No",0,0))))</f>
        <v>0.5</v>
      </c>
      <c r="H32" s="187">
        <f>IF('SURA Digital Venta'!C106="Sí",1,IF('SURA Digital Venta'!C106="Si",1,IF('SURA Digital Venta'!C106="Parcial",0.5,IF('SURA Digital Venta'!C106="No",0,0))))</f>
        <v>1</v>
      </c>
      <c r="I32" s="187">
        <f t="shared" si="24"/>
        <v>4.5</v>
      </c>
      <c r="J32" s="172"/>
      <c r="K32" s="172" t="str">
        <f t="shared" ref="K32:K42" si="25">A17</f>
        <v>SURA Cotizadores</v>
      </c>
      <c r="L32" s="185">
        <f t="shared" ref="L32:L42" si="26">E17</f>
        <v>0.5</v>
      </c>
      <c r="M32" s="172"/>
      <c r="N32" s="172" t="str">
        <f t="shared" ref="N32:N43" si="27">AS3</f>
        <v>SURA Cotizadores</v>
      </c>
      <c r="O32" s="187">
        <f t="shared" ref="O32:O43" si="28">AT3</f>
        <v>13</v>
      </c>
      <c r="P32" s="172"/>
      <c r="Q32" s="172"/>
      <c r="R32" s="172"/>
      <c r="S32" s="172"/>
      <c r="T32" s="172"/>
      <c r="U32" s="172"/>
      <c r="V32" s="172"/>
      <c r="W32" s="70"/>
      <c r="X32" s="178"/>
      <c r="Y32" s="178"/>
      <c r="Z32" s="178"/>
      <c r="AA32" s="178"/>
      <c r="AB32" s="178"/>
      <c r="AC32" s="178"/>
      <c r="AD32" s="178"/>
      <c r="AE32" s="178"/>
      <c r="AF32" s="178"/>
      <c r="AG32" s="178"/>
      <c r="AH32" s="178"/>
      <c r="AI32" s="178"/>
      <c r="AJ32" s="178"/>
      <c r="AK32" s="178"/>
      <c r="AL32" s="178"/>
      <c r="AM32" s="178"/>
      <c r="AN32" s="178"/>
      <c r="AO32" s="178"/>
      <c r="AP32" s="178"/>
      <c r="AQ32" s="178"/>
      <c r="AR32" s="178"/>
      <c r="AS32" s="178"/>
      <c r="AT32" s="178"/>
      <c r="AU32" s="178"/>
      <c r="AV32" s="178"/>
      <c r="AW32" s="178"/>
      <c r="AX32" s="178"/>
      <c r="AY32" s="178"/>
      <c r="AZ32" s="178"/>
      <c r="BA32" s="178"/>
      <c r="BB32" s="178"/>
      <c r="BC32" s="178"/>
      <c r="BD32" s="178"/>
      <c r="BE32" s="178"/>
      <c r="BF32" s="178"/>
      <c r="BG32" s="178"/>
      <c r="BH32" s="178"/>
      <c r="BI32" s="178"/>
      <c r="BJ32" s="178"/>
      <c r="BK32" s="178"/>
      <c r="BL32" s="178"/>
      <c r="BM32" s="178"/>
      <c r="BN32" s="178"/>
      <c r="BO32" s="178"/>
      <c r="BP32" s="178"/>
      <c r="BQ32"/>
    </row>
    <row r="33" spans="1:69" ht="15" customHeight="1" x14ac:dyDescent="0.35">
      <c r="A33" s="172" t="s">
        <v>118</v>
      </c>
      <c r="B33" s="187">
        <f>IF('SURA Automatizacion'!C100="Sí",1,IF('SURA Automatizacion'!C100="Si",1,IF('SURA Automatizacion'!C100="Parcial",0.5,IF('SURA Automatizacion'!C100="No",0,0))))</f>
        <v>0.5</v>
      </c>
      <c r="C33" s="187">
        <f>IF('SURA Automatizacion'!C101="Sí",1,IF('SURA Automatizacion'!C101="Si",1,IF('SURA Automatizacion'!C101="Parcial",0.5,IF('SURA Automatizacion'!C101="No",0,0))))</f>
        <v>0</v>
      </c>
      <c r="D33" s="187">
        <f>IF('SURA Automatizacion'!C102="Sí",1,IF('SURA Automatizacion'!C102="Si",1,IF('SURA Automatizacion'!C102="Parcial",0.5,IF('SURA Automatizacion'!C102="No",0,0))))</f>
        <v>1</v>
      </c>
      <c r="E33" s="187">
        <f>IF('SURA Automatizacion'!C103="Sí",1,IF('SURA Automatizacion'!C103="Si",1,IF('SURA Automatizacion'!C103="Parcial",0.5,IF('SURA Automatizacion'!C103="No",0,0))))</f>
        <v>0.5</v>
      </c>
      <c r="F33" s="187">
        <f>IF('SURA Automatizacion'!C104="Sí",1,IF('SURA Automatizacion'!C104="Si",1,IF('SURA Automatizacion'!C104="Parcial",0.5,IF('SURA Automatizacion'!C104="No",0,0))))</f>
        <v>0</v>
      </c>
      <c r="G33" s="187">
        <f>IF('SURA Automatizacion'!C105="Sí",1,IF('SURA Automatizacion'!C105="Si",1,IF('SURA Automatizacion'!C105="Parcial",0.5,IF('SURA Automatizacion'!C105="No",0,0))))</f>
        <v>0.5</v>
      </c>
      <c r="H33" s="187">
        <f>IF('SURA Automatizacion'!C106="Sí",1,IF('SURA Automatizacion'!C106="Si",1,IF('SURA Automatizacion'!C106="Parcial",0.5,IF('SURA Automatizacion'!C106="No",0,0))))</f>
        <v>1</v>
      </c>
      <c r="I33" s="187">
        <f t="shared" si="24"/>
        <v>3.5</v>
      </c>
      <c r="J33" s="172"/>
      <c r="K33" s="172" t="str">
        <f t="shared" si="25"/>
        <v>SURA Digital Venta</v>
      </c>
      <c r="L33" s="185">
        <f t="shared" si="26"/>
        <v>0.5</v>
      </c>
      <c r="M33" s="172"/>
      <c r="N33" s="172" t="str">
        <f t="shared" si="27"/>
        <v>SURA Digital Venta</v>
      </c>
      <c r="O33" s="187">
        <f t="shared" si="28"/>
        <v>12.5</v>
      </c>
      <c r="P33" s="172"/>
      <c r="Q33" s="172"/>
      <c r="R33" s="172"/>
      <c r="S33" s="172"/>
      <c r="T33" s="172"/>
      <c r="U33" s="172"/>
      <c r="V33" s="172"/>
      <c r="W33" s="70"/>
      <c r="X33" s="178"/>
      <c r="Y33" s="178"/>
      <c r="Z33" s="178"/>
      <c r="AA33" s="178"/>
      <c r="AB33" s="178"/>
      <c r="AC33" s="178"/>
      <c r="AD33" s="178"/>
      <c r="AE33" s="178"/>
      <c r="AF33" s="178"/>
      <c r="AG33" s="178"/>
      <c r="AH33" s="178"/>
      <c r="AI33" s="178"/>
      <c r="AJ33" s="178"/>
      <c r="AK33" s="178"/>
      <c r="AL33" s="178"/>
      <c r="AM33" s="178"/>
      <c r="AN33" s="178"/>
      <c r="AO33" s="178"/>
      <c r="AP33" s="178"/>
      <c r="AQ33" s="178"/>
      <c r="AR33" s="178"/>
      <c r="AS33" s="178"/>
      <c r="AT33" s="178"/>
      <c r="AU33" s="178"/>
      <c r="AV33" s="178"/>
      <c r="AW33" s="178"/>
      <c r="AX33" s="178"/>
      <c r="AY33" s="178"/>
      <c r="AZ33" s="178"/>
      <c r="BA33" s="178"/>
      <c r="BB33" s="178"/>
      <c r="BC33" s="178"/>
      <c r="BD33" s="178"/>
      <c r="BE33" s="178"/>
      <c r="BF33" s="178"/>
      <c r="BG33" s="178"/>
      <c r="BH33" s="178"/>
      <c r="BI33" s="178"/>
      <c r="BJ33" s="178"/>
      <c r="BK33" s="178"/>
      <c r="BL33" s="178"/>
      <c r="BM33" s="178"/>
      <c r="BN33" s="178"/>
      <c r="BO33" s="178"/>
      <c r="BP33" s="178"/>
      <c r="BQ33"/>
    </row>
    <row r="34" spans="1:69" ht="15" customHeight="1" x14ac:dyDescent="0.35">
      <c r="A34" s="172" t="s">
        <v>119</v>
      </c>
      <c r="B34" s="187">
        <f>IF('SURA Canales Masivos'!C100="Sí",1,IF('SURA Canales Masivos'!C100="Si",1,IF('SURA Canales Masivos'!C100="Parcial",0.5,IF('SURA Canales Masivos'!C100="No",0,0))))</f>
        <v>0.5</v>
      </c>
      <c r="C34" s="187">
        <f>IF('SURA Canales Masivos'!C101="Sí",1,IF('SURA Canales Masivos'!C101="Si",1,IF('SURA Canales Masivos'!C101="Parcial",0.5,IF('SURA Canales Masivos'!C101="No",0,0))))</f>
        <v>1</v>
      </c>
      <c r="D34" s="187">
        <f>IF('SURA Canales Masivos'!C102="Sí",1,IF('SURA Canales Masivos'!C102="Si",1,IF('SURA Canales Masivos'!C102="Parcial",0.5,IF('SURA Canales Masivos'!C102="No",0,0))))</f>
        <v>1</v>
      </c>
      <c r="E34" s="187">
        <f>IF('SURA Canales Masivos'!C103="Sí",1,IF('SURA Canales Masivos'!C103="Si",1,IF('SURA Canales Masivos'!C103="Parcial",0.5,IF('SURA Canales Masivos'!C103="No",0,0))))</f>
        <v>0.5</v>
      </c>
      <c r="F34" s="187">
        <f>IF('SURA Canales Masivos'!C104="Sí",1,IF('SURA Canales Masivos'!C104="Si",1,IF('SURA Canales Masivos'!C104="Parcial",0.5,IF('SURA Canales Masivos'!C104="No",0,0))))</f>
        <v>0</v>
      </c>
      <c r="G34" s="187">
        <f>IF('SURA Canales Masivos'!C105="Sí",1,IF('SURA Canales Masivos'!C105="Si",1,IF('SURA Canales Masivos'!C105="Parcial",0.5,IF('SURA Canales Masivos'!C105="No",0,0))))</f>
        <v>0.5</v>
      </c>
      <c r="H34" s="187">
        <f>IF('SURA Canales Masivos'!C106="Sí",1,IF('SURA Canales Masivos'!C106="Si",1,IF('SURA Canales Masivos'!C106="Parcial",0.5,IF('SURA Canales Masivos'!C106="No",0,0))))</f>
        <v>0.5</v>
      </c>
      <c r="I34" s="187">
        <f t="shared" si="24"/>
        <v>4</v>
      </c>
      <c r="J34" s="172"/>
      <c r="K34" s="172" t="str">
        <f t="shared" si="25"/>
        <v>SURA Automatizacion</v>
      </c>
      <c r="L34" s="185">
        <f t="shared" si="26"/>
        <v>0.5</v>
      </c>
      <c r="M34" s="172"/>
      <c r="N34" s="172" t="str">
        <f t="shared" si="27"/>
        <v>SURA Automatizacion</v>
      </c>
      <c r="O34" s="187">
        <f t="shared" si="28"/>
        <v>11</v>
      </c>
      <c r="P34" s="172"/>
      <c r="Q34" s="172"/>
      <c r="R34" s="172"/>
      <c r="S34" s="172"/>
      <c r="T34" s="172"/>
      <c r="U34" s="172"/>
      <c r="V34" s="172"/>
      <c r="W34" s="70"/>
      <c r="X34" s="178"/>
      <c r="Y34" s="178"/>
      <c r="Z34" s="178"/>
      <c r="AA34" s="178"/>
      <c r="AB34" s="178"/>
      <c r="AC34" s="178"/>
      <c r="AD34" s="178"/>
      <c r="AE34" s="178"/>
      <c r="AF34" s="178"/>
      <c r="AG34" s="178"/>
      <c r="AH34" s="178"/>
      <c r="AI34" s="178"/>
      <c r="AJ34" s="178"/>
      <c r="AK34" s="178"/>
      <c r="AL34" s="178"/>
      <c r="AM34" s="178"/>
      <c r="AN34" s="178"/>
      <c r="AO34" s="178"/>
      <c r="AP34" s="178"/>
      <c r="AQ34" s="178"/>
      <c r="AR34" s="178"/>
      <c r="AS34" s="178"/>
      <c r="AT34" s="178"/>
      <c r="AU34" s="178"/>
      <c r="AV34" s="178"/>
      <c r="AW34" s="178"/>
      <c r="AX34" s="178"/>
      <c r="AY34" s="178"/>
      <c r="AZ34" s="178"/>
      <c r="BA34" s="178"/>
      <c r="BB34" s="178"/>
      <c r="BC34" s="178"/>
      <c r="BD34" s="178"/>
      <c r="BE34" s="178"/>
      <c r="BF34" s="178"/>
      <c r="BG34" s="178"/>
      <c r="BH34" s="178"/>
      <c r="BI34" s="178"/>
      <c r="BJ34" s="178"/>
      <c r="BK34" s="178"/>
      <c r="BL34" s="178"/>
      <c r="BM34" s="178"/>
      <c r="BN34" s="178"/>
      <c r="BO34" s="178"/>
      <c r="BP34" s="178"/>
      <c r="BQ34"/>
    </row>
    <row r="35" spans="1:69" x14ac:dyDescent="0.35">
      <c r="A35" s="172" t="s">
        <v>232</v>
      </c>
      <c r="B35" s="187">
        <f>IF('BCO COES Integracion'!C101="Sí",1,IF('BCO COES Integracion'!C101="Si",1,IF('BCO COES Integracion'!C101="Parcial",0.5,IF('BCO COES Integracion'!C101="No",0,0))))</f>
        <v>0.5</v>
      </c>
      <c r="C35" s="187">
        <f>IF('BCO COES Integracion'!C102="Sí",1,IF('BCO COES Integracion'!C102="Si",1,IF('BCO COES Integracion'!C102="Parcial",0.5,IF('BCO COES Integracion'!C102="No",0,0))))</f>
        <v>0</v>
      </c>
      <c r="D35" s="187">
        <f>IF('BCO COES Integracion'!C103="Sí",1,IF('BCO COES Integracion'!C103="Si",1,IF('BCO COES Integracion'!C103="Parcial",0.5,IF('BCO COES Integracion'!C103="No",0,0))))</f>
        <v>0.5</v>
      </c>
      <c r="E35" s="187">
        <f>IF('BCO COES Integracion'!C104="Sí",1,IF('BCO COES Integracion'!C104="Si",1,IF('BCO COES Integracion'!C104="Parcial",0.5,IF('BCO COES Integracion'!C104="No",0,0))))</f>
        <v>0</v>
      </c>
      <c r="F35" s="187">
        <f>IF('BCO COES Integracion'!C105="Sí",1,IF('BCO COES Integracion'!C105="Si",1,IF('BCO COES Integracion'!C105="Parcial",0.5,IF('BCO COES Integracion'!C105="No",0,0))))</f>
        <v>0</v>
      </c>
      <c r="G35" s="187">
        <f>IF('BCO COES Integracion'!C106="Sí",1,IF('BCO COES Integracion'!C106="Si",1,IF('BCO COES Integracion'!C106="Parcial",0.5,IF('BCO COES Integracion'!C106="No",0,0))))</f>
        <v>0</v>
      </c>
      <c r="H35" s="187">
        <f>IF('BCO COES Integracion'!C107="Sí",1,IF('BCO COES Integracion'!C107="Si",1,IF('BCO COES Integracion'!C107="Parcial",0.5,IF('BCO COES Integracion'!C107="No",0,0))))</f>
        <v>0</v>
      </c>
      <c r="I35" s="187">
        <f t="shared" si="24"/>
        <v>1</v>
      </c>
      <c r="J35" s="172"/>
      <c r="K35" s="172" t="str">
        <f t="shared" si="25"/>
        <v>SURA Canales Masivos</v>
      </c>
      <c r="L35" s="185">
        <f t="shared" si="26"/>
        <v>0.5</v>
      </c>
      <c r="M35" s="172"/>
      <c r="N35" s="172" t="str">
        <f t="shared" si="27"/>
        <v>SURA Canales Masivos</v>
      </c>
      <c r="O35" s="187">
        <f t="shared" si="28"/>
        <v>13</v>
      </c>
      <c r="P35" s="172"/>
      <c r="Q35" s="172"/>
      <c r="R35" s="172"/>
      <c r="S35" s="172"/>
      <c r="T35" s="172"/>
      <c r="U35" s="172"/>
      <c r="V35" s="172"/>
      <c r="W35" s="70"/>
      <c r="X35" s="178"/>
      <c r="Y35" s="178"/>
      <c r="Z35" s="178"/>
      <c r="AA35" s="178"/>
      <c r="AB35" s="178"/>
      <c r="AC35" s="178"/>
      <c r="AD35" s="178"/>
      <c r="AE35" s="178"/>
      <c r="AF35" s="178"/>
      <c r="AG35" s="178"/>
      <c r="AH35" s="178"/>
      <c r="AI35" s="178"/>
      <c r="AJ35" s="178"/>
      <c r="AK35" s="178"/>
      <c r="AL35" s="178"/>
      <c r="AM35" s="178"/>
      <c r="AN35" s="178"/>
      <c r="AO35" s="178"/>
      <c r="AP35" s="178"/>
      <c r="AQ35" s="178"/>
      <c r="AR35" s="178"/>
      <c r="AS35" s="178"/>
      <c r="AT35" s="178"/>
      <c r="AU35" s="178"/>
      <c r="AV35" s="178"/>
      <c r="AW35" s="178"/>
      <c r="AX35" s="178"/>
      <c r="AY35" s="178"/>
      <c r="AZ35" s="178"/>
      <c r="BA35" s="178"/>
      <c r="BB35" s="178"/>
      <c r="BC35" s="178"/>
      <c r="BD35" s="178"/>
      <c r="BE35" s="178"/>
      <c r="BF35" s="178"/>
      <c r="BG35" s="178"/>
      <c r="BH35" s="178"/>
      <c r="BI35" s="178"/>
      <c r="BJ35" s="178"/>
      <c r="BK35" s="178"/>
      <c r="BL35" s="178"/>
      <c r="BM35" s="178"/>
      <c r="BN35" s="178"/>
      <c r="BO35" s="178"/>
      <c r="BP35" s="178"/>
      <c r="BQ35"/>
    </row>
    <row r="36" spans="1:69" ht="15" customHeight="1" x14ac:dyDescent="0.35">
      <c r="A36" s="172" t="s">
        <v>233</v>
      </c>
      <c r="B36" s="187">
        <f>IF('BCO COES Datos'!C101="Sí",1,IF('BCO COES Datos'!C101="Si",1,IF('BCO COES Datos'!C101="Parcial",0.5,IF('BCO COES Datos'!C101="No",0,0))))</f>
        <v>0.5</v>
      </c>
      <c r="C36" s="187">
        <f>IF('BCO COES Datos'!C102="Sí",1,IF('BCO COES Datos'!C102="Si",1,IF('BCO COES Datos'!C102="Parcial",0.5,IF('BCO COES Datos'!C102="No",0,0))))</f>
        <v>0</v>
      </c>
      <c r="D36" s="187">
        <f>IF('BCO COES Datos'!C103="Sí",1,IF('BCO COES Datos'!C103="Si",1,IF('BCO COES Datos'!C103="Parcial",0.5,IF('BCO COES Datos'!C103="No",0,0))))</f>
        <v>0.5</v>
      </c>
      <c r="E36" s="187">
        <f>IF('BCO COES Datos'!C104="Sí",1,IF('BCO COES Datos'!C104="Si",1,IF('BCO COES Datos'!C104="Parcial",0.5,IF('BCO COES Datos'!C104="No",0,0))))</f>
        <v>0</v>
      </c>
      <c r="F36" s="187">
        <f>IF('BCO COES Datos'!C105="Sí",1,IF('BCO COES Datos'!C105="Si",1,IF('BCO COES Datos'!C105="Parcial",0.5,IF('BCO COES Datos'!C105="No",0,0))))</f>
        <v>0</v>
      </c>
      <c r="G36" s="187">
        <f>IF('BCO COES Datos'!C106="Sí",1,IF('BCO COES Datos'!C106="Si",1,IF('BCO COES Datos'!C106="Parcial",0.5,IF('BCO COES Datos'!C106="No",0,0))))</f>
        <v>0</v>
      </c>
      <c r="H36" s="187">
        <f>IF('BCO COES Datos'!C107="Sí",1,IF('BCO COES Datos'!C107="Si",1,IF('BCO COES Datos'!C107="Parcial",0.5,IF('BCO COES Datos'!C107="No",0,0))))</f>
        <v>0</v>
      </c>
      <c r="I36" s="187">
        <f t="shared" si="24"/>
        <v>1</v>
      </c>
      <c r="J36" s="172"/>
      <c r="K36" s="172" t="str">
        <f t="shared" si="25"/>
        <v>BCO Gioti1</v>
      </c>
      <c r="L36" s="185">
        <f t="shared" si="26"/>
        <v>0.75</v>
      </c>
      <c r="M36" s="172"/>
      <c r="N36" s="172" t="str">
        <f t="shared" si="27"/>
        <v>BCO COES Integracion</v>
      </c>
      <c r="O36" s="187">
        <f t="shared" si="28"/>
        <v>9.5</v>
      </c>
      <c r="P36" s="172"/>
      <c r="Q36" s="172"/>
      <c r="R36" s="172"/>
      <c r="S36" s="172"/>
      <c r="T36" s="172"/>
      <c r="U36" s="172"/>
      <c r="V36" s="172"/>
      <c r="W36" s="70"/>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row>
    <row r="37" spans="1:69" x14ac:dyDescent="0.35">
      <c r="A37" s="172" t="s">
        <v>234</v>
      </c>
      <c r="B37" s="187">
        <f>IF('BCO Soporte'!C102="Sí",1,IF('BCO Soporte'!C102="Si",1,IF('BCO Soporte'!C102="Parcial",0.5,IF('BCO Soporte'!C102="No",0,0))))</f>
        <v>0</v>
      </c>
      <c r="C37" s="187">
        <f>IF('BCO Soporte'!C103="Sí",1,IF('BCO Soporte'!C103="Si",1,IF('BCO Soporte'!C103="Parcial",0.5,IF('BCO Soporte'!C103="No",0,0))))</f>
        <v>0.5</v>
      </c>
      <c r="D37" s="187">
        <f>IF('BCO Soporte'!C104="Sí",1,IF('BCO Soporte'!C104="Si",1,IF('BCO Soporte'!C104="Parcial",0.5,IF('BCO Soporte'!C104="No",0,0))))</f>
        <v>0</v>
      </c>
      <c r="E37" s="187">
        <f>IF('BCO Soporte'!C105="Sí",1,IF('BCO Soporte'!C105="Si",1,IF('BCO Soporte'!C105="Parcial",0.5,IF('BCO Soporte'!C105="No",0,0))))</f>
        <v>0</v>
      </c>
      <c r="F37" s="187">
        <f>IF('BCO Soporte'!C106="Sí",1,IF('BCO Soporte'!C106="Si",1,IF('BCO Soporte'!C106="Parcial",0.5,IF('BCO Soporte'!C106="No",0,0))))</f>
        <v>0</v>
      </c>
      <c r="G37" s="187">
        <f>IF('BCO Soporte'!C107="Sí",1,IF('BCO Soporte'!C107="Si",1,IF('BCO Soporte'!C107="Parcial",0.5,IF('BCO Soporte'!C107="No",0,0))))</f>
        <v>0</v>
      </c>
      <c r="H37" s="187">
        <f>IF('BCO Soporte'!C108="Sí",1,IF('BCO Soporte'!C108="Si",1,IF('BCO Soporte'!C108="Parcial",0.5,IF('BCO Soporte'!C108="No",0,0))))</f>
        <v>0.5</v>
      </c>
      <c r="I37" s="187">
        <f t="shared" si="24"/>
        <v>1</v>
      </c>
      <c r="J37" s="172"/>
      <c r="K37" s="172" t="str">
        <f t="shared" si="25"/>
        <v>BCO Gioti2</v>
      </c>
      <c r="L37" s="185">
        <f t="shared" si="26"/>
        <v>0.75</v>
      </c>
      <c r="M37" s="172"/>
      <c r="N37" s="172" t="str">
        <f t="shared" si="27"/>
        <v>BCO COES Datos</v>
      </c>
      <c r="O37" s="187">
        <f t="shared" si="28"/>
        <v>9.5</v>
      </c>
      <c r="P37" s="172"/>
      <c r="Q37" s="172"/>
      <c r="R37" s="172"/>
      <c r="S37" s="172"/>
      <c r="T37" s="172"/>
      <c r="U37" s="172"/>
      <c r="V37" s="172"/>
      <c r="W37" s="70"/>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row>
    <row r="38" spans="1:69" x14ac:dyDescent="0.35">
      <c r="A38" s="172" t="s">
        <v>235</v>
      </c>
      <c r="B38" s="187">
        <f>IF('BCO COES Emma'!C101="Sí",1,IF('BCO COES Emma'!C101="Si",1,IF('BCO COES Emma'!C101="Parcial",0.5,IF('BCO COES Emma'!C101="No",0,0))))</f>
        <v>0.5</v>
      </c>
      <c r="C38" s="187">
        <f>IF('BCO COES Emma'!C102="Sí",1,IF('BCO COES Emma'!C102="Si",1,IF('BCO COES Emma'!C102="Parcial",0.5,IF('BCO COES Emma'!C102="No",0,0))))</f>
        <v>0</v>
      </c>
      <c r="D38" s="187">
        <f>IF('BCO COES Emma'!C103="Sí",1,IF('BCO COES Emma'!C103="Si",1,IF('BCO COES Emma'!C103="Parcial",0.5,IF('BCO COES Emma'!C103="No",0,0))))</f>
        <v>0.5</v>
      </c>
      <c r="E38" s="187">
        <f>IF('BCO COES Emma'!C104="Sí",1,IF('BCO COES Emma'!C104="Si",1,IF('BCO COES Emma'!C104="Parcial",0.5,IF('BCO COES Emma'!C104="No",0,0))))</f>
        <v>0</v>
      </c>
      <c r="F38" s="187">
        <f>IF('BCO COES Emma'!C105="Sí",1,IF('BCO COES Emma'!C105="Si",1,IF('BCO COES Emma'!C105="Parcial",0.5,IF('BCO COES Emma'!C105="No",0,0))))</f>
        <v>0</v>
      </c>
      <c r="G38" s="187">
        <f>IF('BCO COES Emma'!C106="Sí",1,IF('BCO COES Emma'!C106="Si",1,IF('BCO COES Emma'!C106="Parcial",0.5,IF('BCO COES Emma'!C106="No",0,0))))</f>
        <v>0</v>
      </c>
      <c r="H38" s="187">
        <f>IF('BCO COES Emma'!C107="Sí",1,IF('BCO COES Emma'!C107="Si",1,IF('BCO COES Emma'!C107="Parcial",0.5,IF('BCO COES Emma'!C107="No",0,0))))</f>
        <v>0</v>
      </c>
      <c r="I38" s="187">
        <f t="shared" si="24"/>
        <v>1</v>
      </c>
      <c r="J38" s="172"/>
      <c r="K38" s="172" t="str">
        <f t="shared" si="25"/>
        <v>BCO Gioti3</v>
      </c>
      <c r="L38" s="185">
        <f t="shared" si="26"/>
        <v>0.75</v>
      </c>
      <c r="M38" s="172"/>
      <c r="N38" s="172" t="str">
        <f t="shared" si="27"/>
        <v>BCO Soporte</v>
      </c>
      <c r="O38" s="187">
        <f t="shared" si="28"/>
        <v>9</v>
      </c>
      <c r="P38" s="172"/>
      <c r="Q38" s="172"/>
      <c r="R38" s="172"/>
      <c r="S38" s="172"/>
      <c r="T38" s="172"/>
      <c r="U38" s="172"/>
      <c r="V38" s="172"/>
      <c r="W38" s="70"/>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row>
    <row r="39" spans="1:69" ht="15" customHeight="1" x14ac:dyDescent="0.35">
      <c r="A39" s="172" t="s">
        <v>125</v>
      </c>
      <c r="B39" s="187">
        <f>IF(AES!C98="Sí",1,IF(AES!C98="Si",1,IF(AES!C98="Parcial",0.5,IF(AES!C98="No",0,0))))</f>
        <v>0</v>
      </c>
      <c r="C39" s="187">
        <f>IF(AES!C99="Sí",1,IF(AES!C99="Si",1,IF(AES!C99="Parcial",0.5,IF(AES!C99="No",0,0))))</f>
        <v>0</v>
      </c>
      <c r="D39" s="187">
        <f>IF(AES!C100="Sí",1,IF(AES!C100="Si",1,IF(AES!C100="Parcial",0.5,IF(AES!C100="No",0,0))))</f>
        <v>0</v>
      </c>
      <c r="E39" s="187">
        <f>IF(AES!C101="Sí",1,IF(AES!C101="Si",1,IF(AES!C101="Parcial",0.5,IF(AES!C101="No",0,0))))</f>
        <v>0.5</v>
      </c>
      <c r="F39" s="187">
        <f>IF(AES!C102="Sí",1,IF(AES!C102="Si",1,IF(AES!C102="Parcial",0.5,IF(AES!C102="No",0,0))))</f>
        <v>0</v>
      </c>
      <c r="G39" s="187">
        <f>IF(AES!C103="Sí",1,IF(AES!C103="Si",1,IF(AES!C103="Parcial",0.5,IF(AES!C103="No",0,0))))</f>
        <v>0.5</v>
      </c>
      <c r="H39" s="187">
        <f>IF(AES!C104="Sí",1,IF(AES!C104="Si",1,IF(AES!C104="Parcial",0.5,IF(AES!C104="No",0,0))))</f>
        <v>0</v>
      </c>
      <c r="I39" s="187">
        <f t="shared" si="24"/>
        <v>1</v>
      </c>
      <c r="J39" s="172"/>
      <c r="K39" s="172" t="str">
        <f t="shared" si="25"/>
        <v>BCO Gioti4</v>
      </c>
      <c r="L39" s="185">
        <f t="shared" si="26"/>
        <v>0.75</v>
      </c>
      <c r="M39" s="172"/>
      <c r="N39" s="172" t="str">
        <f t="shared" si="27"/>
        <v>BCO COES Emma</v>
      </c>
      <c r="O39" s="187">
        <f t="shared" si="28"/>
        <v>9.5</v>
      </c>
      <c r="P39" s="172"/>
      <c r="Q39" s="172"/>
      <c r="R39" s="172"/>
      <c r="S39" s="172"/>
      <c r="T39" s="172"/>
      <c r="U39" s="172"/>
      <c r="V39" s="172"/>
      <c r="W39" s="70"/>
      <c r="X39" s="178"/>
      <c r="Y39" s="178"/>
      <c r="Z39" s="178"/>
      <c r="AA39" s="178"/>
      <c r="AB39" s="178"/>
      <c r="AC39" s="178"/>
      <c r="AD39" s="178"/>
      <c r="AE39" s="178"/>
      <c r="AF39" s="178"/>
      <c r="AG39" s="178"/>
      <c r="AH39" s="178"/>
      <c r="AI39" s="178"/>
      <c r="AJ39" s="178"/>
      <c r="AK39" s="178"/>
      <c r="AL39" s="178"/>
      <c r="AM39" s="178"/>
      <c r="AN39" s="178"/>
      <c r="AO39" s="178"/>
      <c r="AP39" s="178"/>
      <c r="AQ39" s="178"/>
      <c r="AR39" s="178"/>
      <c r="AS39" s="178"/>
      <c r="AT39" s="178"/>
      <c r="AU39" s="178"/>
      <c r="AV39" s="178"/>
      <c r="AW39" s="178"/>
      <c r="AX39" s="178"/>
      <c r="AY39" s="178"/>
      <c r="AZ39" s="178"/>
      <c r="BA39" s="178"/>
      <c r="BB39" s="178"/>
      <c r="BC39" s="178"/>
      <c r="BD39" s="178"/>
      <c r="BE39" s="178"/>
      <c r="BF39" s="178"/>
      <c r="BG39" s="178"/>
      <c r="BH39" s="178"/>
      <c r="BI39" s="178"/>
      <c r="BJ39" s="178"/>
      <c r="BK39" s="178"/>
      <c r="BL39" s="178"/>
      <c r="BM39" s="178"/>
      <c r="BN39" s="178"/>
      <c r="BO39" s="178"/>
      <c r="BP39" s="178"/>
      <c r="BQ39"/>
    </row>
    <row r="40" spans="1:69" ht="15" customHeight="1" x14ac:dyDescent="0.35">
      <c r="A40" s="172" t="s">
        <v>126</v>
      </c>
      <c r="B40" s="187">
        <f>IF(XM!C100="Sí",1,IF(XM!C100="Si",1,IF(XM!C100="Parcial",0.5,IF(XM!C100="No",0,0))))</f>
        <v>0.5</v>
      </c>
      <c r="C40" s="187">
        <f>IF(XM!C101="Sí",1,IF(XM!C101="Si",1,IF(XM!C101="Parcial",0.5,IF(XM!C101="No",0,0))))</f>
        <v>0</v>
      </c>
      <c r="D40" s="187">
        <f>IF(XM!C102="Sí",1,IF(XM!C102="Si",1,IF(XM!C102="Parcial",0.5,IF(XM!C102="No",0,0))))</f>
        <v>1</v>
      </c>
      <c r="E40" s="187">
        <f>IF(XM!C103="Sí",1,IF(XM!C103="Si",1,IF(XM!C103="Parcial",0.5,IF(XM!C103="No",0,0))))</f>
        <v>0.5</v>
      </c>
      <c r="F40" s="187">
        <f>IF(XM!C104="Sí",1,IF(XM!C104="Si",1,IF(XM!C104="Parcial",0.5,IF(XM!C104="No",0,0))))</f>
        <v>0</v>
      </c>
      <c r="G40" s="187">
        <f>IF(XM!C105="Sí",1,IF(XM!C105="Si",1,IF(XM!C105="Parcial",0.5,IF(XM!C105="No",0,0))))</f>
        <v>0.5</v>
      </c>
      <c r="H40" s="187">
        <f>IF(XM!C106="Sí",1,IF(XM!C106="Si",1,IF(XM!C106="Parcial",0.5,IF(XM!C106="No",0,0))))</f>
        <v>1</v>
      </c>
      <c r="I40" s="187">
        <f t="shared" si="24"/>
        <v>3.5</v>
      </c>
      <c r="J40" s="172"/>
      <c r="K40" s="172" t="str">
        <f t="shared" si="25"/>
        <v>AES</v>
      </c>
      <c r="L40" s="185">
        <f t="shared" si="26"/>
        <v>0.25</v>
      </c>
      <c r="M40" s="172"/>
      <c r="N40" s="172" t="str">
        <f t="shared" si="27"/>
        <v>BCO Emma Iseries</v>
      </c>
      <c r="O40" s="187">
        <f t="shared" si="28"/>
        <v>2</v>
      </c>
      <c r="P40" s="172"/>
      <c r="Q40" s="172"/>
      <c r="R40" s="172"/>
      <c r="S40" s="172"/>
      <c r="T40" s="172"/>
      <c r="U40" s="172"/>
      <c r="V40" s="172"/>
      <c r="W40" s="70"/>
      <c r="X40" s="178"/>
      <c r="Y40" s="178"/>
      <c r="Z40" s="178"/>
      <c r="AA40" s="178"/>
      <c r="AB40" s="178"/>
      <c r="AC40" s="178"/>
      <c r="AD40" s="178"/>
      <c r="AE40" s="178"/>
      <c r="AF40" s="178"/>
      <c r="AG40" s="178"/>
      <c r="AH40" s="178"/>
      <c r="AI40" s="178"/>
      <c r="AJ40" s="178"/>
      <c r="AK40" s="178"/>
      <c r="AL40" s="178"/>
      <c r="AM40" s="178"/>
      <c r="AN40" s="178"/>
      <c r="AO40" s="178"/>
      <c r="AP40" s="178"/>
      <c r="AQ40" s="178"/>
      <c r="AR40" s="178"/>
      <c r="AS40" s="178"/>
      <c r="AT40" s="178"/>
      <c r="AU40" s="178"/>
      <c r="AV40" s="178"/>
      <c r="AW40" s="178"/>
      <c r="AX40" s="178"/>
      <c r="AY40" s="178"/>
      <c r="AZ40" s="178"/>
      <c r="BA40" s="178"/>
      <c r="BB40" s="178"/>
      <c r="BC40" s="178"/>
      <c r="BD40" s="178"/>
      <c r="BE40" s="178"/>
      <c r="BF40" s="178"/>
      <c r="BG40" s="178"/>
      <c r="BH40" s="178"/>
      <c r="BI40" s="178"/>
      <c r="BJ40" s="178"/>
      <c r="BK40" s="178"/>
      <c r="BL40" s="178"/>
      <c r="BM40" s="178"/>
      <c r="BN40" s="178"/>
      <c r="BO40" s="178"/>
      <c r="BP40" s="178"/>
      <c r="BQ40"/>
    </row>
    <row r="41" spans="1:69" ht="15" customHeight="1" x14ac:dyDescent="0.35">
      <c r="A41" s="172" t="s">
        <v>127</v>
      </c>
      <c r="B41" s="187">
        <f>IF(MEDICARTE!C101="Sí",1,IF(MEDICARTE!C101="Si",1,IF(MEDICARTE!C101="Parcial",0.5,IF(MEDICARTE!C101="No",0,0))))</f>
        <v>0</v>
      </c>
      <c r="C41" s="187">
        <f>IF(MEDICARTE!C102="Sí",1,IF(MEDICARTE!C102="Si",1,IF(MEDICARTE!C102="Parcial",0.5,IF(MEDICARTE!C102="No",0,0))))</f>
        <v>0</v>
      </c>
      <c r="D41" s="187">
        <f>IF(MEDICARTE!C103="Sí",1,IF(MEDICARTE!C103="Si",1,IF(MEDICARTE!C103="Parcial",0.5,IF(MEDICARTE!C103="No",0,0))))</f>
        <v>0</v>
      </c>
      <c r="E41" s="187">
        <f>IF(MEDICARTE!C104="Sí",1,IF(MEDICARTE!C104="Si",1,IF(MEDICARTE!C104="Parcial",0.5,IF(MEDICARTE!C104="No",0,0))))</f>
        <v>0</v>
      </c>
      <c r="F41" s="187">
        <f>IF(MEDICARTE!C105="Sí",1,IF(MEDICARTE!C105="Si",1,IF(MEDICARTE!C105="Parcial",0.5,IF(MEDICARTE!C105="No",0,0))))</f>
        <v>0</v>
      </c>
      <c r="G41" s="187">
        <f>IF(MEDICARTE!C106="Sí",1,IF(MEDICARTE!C106="Si",1,IF(MEDICARTE!C106="Parcial",0.5,IF(MEDICARTE!C106="No",0,0))))</f>
        <v>0</v>
      </c>
      <c r="H41" s="187">
        <f>IF(MEDICARTE!C107="Sí",1,IF(MEDICARTE!C107="Si",1,IF(MEDICARTE!C107="Parcial",0.5,IF(MEDICARTE!C107="No",0,0))))</f>
        <v>0</v>
      </c>
      <c r="I41" s="187">
        <f t="shared" si="24"/>
        <v>0</v>
      </c>
      <c r="J41" s="172"/>
      <c r="K41" s="172" t="str">
        <f t="shared" si="25"/>
        <v>XM</v>
      </c>
      <c r="L41" s="185">
        <f t="shared" si="26"/>
        <v>0.5</v>
      </c>
      <c r="M41" s="172"/>
      <c r="N41" s="172" t="str">
        <f t="shared" si="27"/>
        <v>AES</v>
      </c>
      <c r="O41" s="187">
        <f t="shared" si="28"/>
        <v>7</v>
      </c>
      <c r="P41" s="172"/>
      <c r="Q41" s="172"/>
      <c r="R41" s="172"/>
      <c r="S41" s="172"/>
      <c r="T41" s="172"/>
      <c r="U41" s="172"/>
      <c r="V41" s="172"/>
      <c r="W41" s="70"/>
      <c r="X41" s="178"/>
      <c r="Y41" s="178"/>
      <c r="Z41" s="178"/>
      <c r="AA41" s="178"/>
      <c r="AB41" s="178"/>
      <c r="AC41" s="178"/>
      <c r="AD41" s="178"/>
      <c r="AE41" s="178"/>
      <c r="AF41" s="178"/>
      <c r="AG41" s="178"/>
      <c r="AH41" s="178"/>
      <c r="AI41" s="178"/>
      <c r="AJ41" s="178"/>
      <c r="AK41" s="178"/>
      <c r="AL41" s="178"/>
      <c r="AM41" s="178"/>
      <c r="AN41" s="178"/>
      <c r="AO41" s="178"/>
      <c r="AP41" s="178"/>
      <c r="AQ41" s="178"/>
      <c r="AR41" s="178"/>
      <c r="AS41" s="178"/>
      <c r="AT41" s="178"/>
      <c r="AU41" s="178"/>
      <c r="AV41" s="178"/>
      <c r="AW41" s="178"/>
      <c r="AX41" s="178"/>
      <c r="AY41" s="178"/>
      <c r="AZ41" s="178"/>
      <c r="BA41" s="178"/>
      <c r="BB41" s="178"/>
      <c r="BC41" s="178"/>
      <c r="BD41" s="178"/>
      <c r="BE41" s="178"/>
      <c r="BF41" s="178"/>
      <c r="BG41" s="178"/>
      <c r="BH41" s="178"/>
      <c r="BI41" s="178"/>
      <c r="BJ41" s="178"/>
      <c r="BK41" s="178"/>
      <c r="BL41" s="178"/>
      <c r="BM41" s="178"/>
      <c r="BN41" s="178"/>
      <c r="BO41" s="178"/>
      <c r="BP41" s="178"/>
      <c r="BQ41"/>
    </row>
    <row r="42" spans="1:69" ht="15" customHeight="1" x14ac:dyDescent="0.35">
      <c r="A42" s="172" t="s">
        <v>246</v>
      </c>
      <c r="B42" s="187">
        <f t="shared" ref="B42:I42" si="29">SUM(B31:B41)</f>
        <v>4</v>
      </c>
      <c r="C42" s="187">
        <f t="shared" si="29"/>
        <v>3.5</v>
      </c>
      <c r="D42" s="187">
        <f t="shared" si="29"/>
        <v>6.5</v>
      </c>
      <c r="E42" s="187">
        <f t="shared" si="29"/>
        <v>3</v>
      </c>
      <c r="F42" s="187">
        <f t="shared" si="29"/>
        <v>0</v>
      </c>
      <c r="G42" s="187">
        <f t="shared" si="29"/>
        <v>3</v>
      </c>
      <c r="H42" s="187">
        <f t="shared" si="29"/>
        <v>4.5</v>
      </c>
      <c r="I42" s="187">
        <f t="shared" si="29"/>
        <v>24.5</v>
      </c>
      <c r="J42" s="172"/>
      <c r="K42" s="172" t="str">
        <f t="shared" si="25"/>
        <v>MEDICARTE</v>
      </c>
      <c r="L42" s="185">
        <f t="shared" si="26"/>
        <v>0</v>
      </c>
      <c r="M42" s="172"/>
      <c r="N42" s="172" t="str">
        <f t="shared" si="27"/>
        <v>XM</v>
      </c>
      <c r="O42" s="187">
        <f t="shared" si="28"/>
        <v>16</v>
      </c>
      <c r="P42" s="172"/>
      <c r="Q42" s="172"/>
      <c r="R42" s="172"/>
      <c r="S42" s="172"/>
      <c r="T42" s="172"/>
      <c r="U42" s="172"/>
      <c r="V42" s="172"/>
      <c r="W42" s="70"/>
      <c r="X42" s="178"/>
      <c r="Y42" s="178"/>
      <c r="Z42" s="178"/>
      <c r="AA42" s="178"/>
      <c r="AB42" s="178"/>
      <c r="AC42" s="178"/>
      <c r="AD42" s="178"/>
      <c r="AE42" s="178"/>
      <c r="AF42" s="178"/>
      <c r="AG42" s="178"/>
      <c r="AH42" s="178"/>
      <c r="AI42" s="178"/>
      <c r="AJ42" s="178"/>
      <c r="AK42" s="178"/>
      <c r="AL42" s="178"/>
      <c r="AM42" s="178"/>
      <c r="AN42" s="178"/>
      <c r="AO42" s="178"/>
      <c r="AP42" s="178"/>
      <c r="AQ42" s="178"/>
      <c r="AR42" s="178"/>
      <c r="AS42" s="178"/>
      <c r="AT42" s="178"/>
      <c r="AU42" s="178"/>
      <c r="AV42" s="178"/>
      <c r="AW42" s="178"/>
      <c r="AX42" s="178"/>
      <c r="AY42" s="178"/>
      <c r="AZ42" s="178"/>
      <c r="BA42" s="178"/>
      <c r="BB42" s="178"/>
      <c r="BC42" s="178"/>
      <c r="BD42" s="178"/>
      <c r="BE42" s="178"/>
      <c r="BF42" s="178"/>
      <c r="BG42" s="178"/>
      <c r="BH42" s="178"/>
      <c r="BI42" s="178"/>
      <c r="BJ42" s="178"/>
      <c r="BK42" s="178"/>
      <c r="BL42" s="178"/>
      <c r="BM42" s="178"/>
      <c r="BN42" s="178"/>
      <c r="BO42" s="178"/>
      <c r="BP42" s="178"/>
      <c r="BQ42"/>
    </row>
    <row r="43" spans="1:69" ht="15" customHeight="1" x14ac:dyDescent="0.35">
      <c r="A43" s="172"/>
      <c r="B43" s="172"/>
      <c r="C43" s="172"/>
      <c r="D43" s="172"/>
      <c r="E43" s="172"/>
      <c r="F43" s="172"/>
      <c r="G43" s="172"/>
      <c r="H43" s="172"/>
      <c r="I43" s="172"/>
      <c r="J43" s="172"/>
      <c r="K43" s="172"/>
      <c r="L43" s="172"/>
      <c r="M43" s="172"/>
      <c r="N43" s="172" t="str">
        <f t="shared" si="27"/>
        <v>MEDICARTE</v>
      </c>
      <c r="O43" s="172">
        <f t="shared" si="28"/>
        <v>1</v>
      </c>
      <c r="P43" s="172"/>
      <c r="Q43" s="172"/>
      <c r="R43" s="172"/>
      <c r="S43" s="172"/>
      <c r="T43" s="172"/>
      <c r="U43" s="172"/>
      <c r="V43" s="172"/>
      <c r="W43" s="70"/>
      <c r="X43" s="178"/>
      <c r="Y43" s="178"/>
      <c r="Z43" s="178"/>
      <c r="AA43" s="178"/>
      <c r="AB43" s="178"/>
      <c r="AC43" s="178"/>
      <c r="AD43" s="178"/>
      <c r="AE43" s="178"/>
      <c r="AF43" s="178"/>
      <c r="AG43" s="178"/>
      <c r="AH43" s="178"/>
      <c r="AI43" s="178"/>
      <c r="AJ43" s="178"/>
      <c r="AK43" s="178"/>
      <c r="AL43" s="178"/>
      <c r="AM43" s="178"/>
      <c r="AN43" s="178"/>
      <c r="AO43" s="178"/>
      <c r="AP43" s="178"/>
      <c r="AQ43" s="178"/>
      <c r="AR43" s="178"/>
      <c r="AS43" s="178"/>
      <c r="AT43" s="178"/>
      <c r="AU43" s="178"/>
      <c r="AV43" s="178"/>
      <c r="AW43" s="178"/>
      <c r="AX43" s="178"/>
      <c r="AY43" s="178"/>
      <c r="AZ43" s="178"/>
      <c r="BA43" s="178"/>
      <c r="BB43" s="178"/>
      <c r="BC43" s="178"/>
      <c r="BD43" s="178"/>
      <c r="BE43" s="178"/>
      <c r="BF43" s="178"/>
      <c r="BG43" s="178"/>
      <c r="BH43" s="178"/>
      <c r="BI43" s="178"/>
      <c r="BJ43" s="178"/>
      <c r="BK43" s="178"/>
      <c r="BL43" s="178"/>
      <c r="BM43" s="178"/>
      <c r="BN43" s="178"/>
      <c r="BO43" s="178"/>
      <c r="BP43" s="178"/>
      <c r="BQ43"/>
    </row>
    <row r="44" spans="1:69" ht="15" customHeight="1" x14ac:dyDescent="0.35">
      <c r="A44" s="179" t="s">
        <v>247</v>
      </c>
      <c r="B44" s="179"/>
      <c r="C44" s="179"/>
      <c r="D44" s="179"/>
      <c r="E44" s="179"/>
      <c r="F44" s="179"/>
      <c r="G44" s="179"/>
      <c r="H44" s="172"/>
      <c r="I44" s="172"/>
      <c r="J44" s="172"/>
      <c r="K44" s="172"/>
      <c r="L44" s="172"/>
      <c r="M44" s="172"/>
      <c r="N44" s="172"/>
      <c r="O44" s="172"/>
      <c r="P44" s="172"/>
      <c r="Q44" s="172"/>
      <c r="R44" s="172"/>
      <c r="S44" s="172"/>
      <c r="T44" s="172"/>
      <c r="U44" s="172"/>
      <c r="V44" s="172"/>
      <c r="W44" s="70"/>
      <c r="X44" s="178"/>
      <c r="Y44" s="178"/>
      <c r="Z44" s="178"/>
      <c r="AA44" s="178"/>
      <c r="AB44" s="178"/>
      <c r="AC44" s="178"/>
      <c r="AD44" s="178"/>
      <c r="AE44" s="178"/>
      <c r="AF44" s="178"/>
      <c r="AG44" s="178"/>
      <c r="AH44" s="178"/>
      <c r="AI44" s="178"/>
      <c r="AJ44" s="178"/>
      <c r="AK44" s="178"/>
      <c r="AL44" s="178"/>
      <c r="AM44" s="178"/>
      <c r="AN44" s="178"/>
      <c r="AO44" s="178"/>
      <c r="AP44" s="178"/>
      <c r="AQ44" s="178"/>
      <c r="AR44" s="178"/>
      <c r="AS44" s="178"/>
      <c r="AT44" s="178"/>
      <c r="AU44" s="178"/>
      <c r="AV44" s="178"/>
      <c r="AW44" s="178"/>
      <c r="AX44" s="178"/>
      <c r="AY44" s="178"/>
      <c r="AZ44" s="178"/>
      <c r="BA44" s="178"/>
      <c r="BB44" s="178"/>
      <c r="BC44" s="178"/>
      <c r="BD44" s="178"/>
      <c r="BE44" s="178"/>
      <c r="BF44" s="178"/>
      <c r="BG44" s="178"/>
      <c r="BH44" s="178"/>
      <c r="BI44" s="178"/>
      <c r="BJ44" s="178"/>
      <c r="BK44" s="178"/>
      <c r="BL44" s="178"/>
      <c r="BM44" s="178"/>
      <c r="BN44" s="178"/>
      <c r="BO44" s="178"/>
      <c r="BP44" s="178"/>
      <c r="BQ44"/>
    </row>
    <row r="45" spans="1:69" x14ac:dyDescent="0.35">
      <c r="A45" s="179" t="s">
        <v>210</v>
      </c>
      <c r="B45" s="179" t="s">
        <v>248</v>
      </c>
      <c r="C45" s="179" t="s">
        <v>249</v>
      </c>
      <c r="D45" s="179" t="s">
        <v>125</v>
      </c>
      <c r="E45" s="179" t="s">
        <v>126</v>
      </c>
      <c r="F45" s="179" t="s">
        <v>127</v>
      </c>
      <c r="G45" s="179" t="s">
        <v>250</v>
      </c>
      <c r="H45" s="172"/>
      <c r="I45" s="172"/>
      <c r="J45" s="172"/>
      <c r="K45" s="172"/>
      <c r="L45" s="172"/>
      <c r="M45" s="172"/>
      <c r="N45" s="172"/>
      <c r="O45" s="172"/>
      <c r="P45" s="172"/>
      <c r="Q45" s="172"/>
      <c r="R45" s="172"/>
      <c r="S45" s="172"/>
      <c r="T45" s="172"/>
      <c r="U45" s="172"/>
      <c r="V45" s="172"/>
      <c r="W45" s="70"/>
      <c r="X45" s="178"/>
      <c r="Y45" s="178"/>
      <c r="Z45" s="178"/>
      <c r="AA45" s="178"/>
      <c r="AB45" s="178"/>
      <c r="AC45" s="178"/>
      <c r="AD45" s="178"/>
      <c r="AE45" s="178"/>
      <c r="AF45" s="178"/>
      <c r="AG45" s="178"/>
      <c r="AH45" s="178"/>
      <c r="AI45" s="178"/>
      <c r="AJ45" s="178"/>
      <c r="AK45" s="178"/>
      <c r="AL45" s="178"/>
      <c r="AM45" s="178"/>
      <c r="AN45" s="178"/>
      <c r="AO45" s="178"/>
      <c r="AP45" s="178"/>
      <c r="AQ45" s="178"/>
      <c r="AR45" s="178"/>
      <c r="AS45" s="178"/>
      <c r="AT45" s="178"/>
      <c r="AU45" s="178"/>
      <c r="AV45" s="178"/>
      <c r="AW45" s="178"/>
      <c r="AX45" s="178"/>
      <c r="AY45" s="178"/>
      <c r="AZ45" s="178"/>
      <c r="BA45" s="178"/>
      <c r="BB45" s="178"/>
      <c r="BC45" s="178"/>
      <c r="BD45" s="178"/>
      <c r="BE45" s="178"/>
      <c r="BF45" s="178"/>
      <c r="BG45" s="178"/>
      <c r="BH45" s="178"/>
      <c r="BI45" s="178"/>
      <c r="BJ45" s="178"/>
      <c r="BK45" s="178"/>
      <c r="BL45" s="178"/>
      <c r="BM45" s="178"/>
      <c r="BN45" s="178"/>
      <c r="BO45" s="178"/>
      <c r="BP45" s="178"/>
      <c r="BQ45"/>
    </row>
    <row r="46" spans="1:69" x14ac:dyDescent="0.35">
      <c r="A46" s="172" t="s">
        <v>227</v>
      </c>
      <c r="B46" s="185">
        <f>IFERROR(AVERAGE(B17:B20),0)</f>
        <v>0.375</v>
      </c>
      <c r="C46" s="185">
        <f>IFERROR(AVERAGE(B21:B24),0)</f>
        <v>0.6</v>
      </c>
      <c r="D46" s="185">
        <f>B25</f>
        <v>0.4</v>
      </c>
      <c r="E46" s="185">
        <f>B26</f>
        <v>0.4</v>
      </c>
      <c r="F46" s="185">
        <f>B27</f>
        <v>0</v>
      </c>
      <c r="G46" s="185">
        <f>100%</f>
        <v>1</v>
      </c>
      <c r="H46" s="172"/>
      <c r="I46" s="172"/>
      <c r="J46" s="172"/>
      <c r="K46" s="172"/>
      <c r="L46" s="172"/>
      <c r="M46" s="172"/>
      <c r="N46" s="172"/>
      <c r="O46" s="172"/>
      <c r="P46" s="172"/>
      <c r="Q46" s="172"/>
      <c r="R46" s="172"/>
      <c r="S46" s="172"/>
      <c r="T46" s="172"/>
      <c r="U46" s="172"/>
      <c r="V46" s="172"/>
      <c r="W46" s="70"/>
      <c r="X46" s="178"/>
      <c r="Y46" s="178"/>
      <c r="Z46" s="178"/>
      <c r="AA46" s="178"/>
      <c r="AB46" s="178"/>
      <c r="AC46" s="178"/>
      <c r="AD46" s="178"/>
      <c r="AE46" s="178"/>
      <c r="AF46" s="178"/>
      <c r="AG46" s="178"/>
      <c r="AH46" s="178"/>
      <c r="AI46" s="178"/>
      <c r="AJ46" s="178"/>
      <c r="AK46" s="178"/>
      <c r="AL46" s="178"/>
      <c r="AM46" s="178"/>
      <c r="AN46" s="178"/>
      <c r="AO46" s="178"/>
      <c r="AP46" s="178"/>
      <c r="AQ46" s="178"/>
      <c r="AR46" s="178"/>
      <c r="AS46" s="178"/>
      <c r="AT46" s="178"/>
      <c r="AU46" s="178"/>
      <c r="AV46" s="178"/>
      <c r="AW46" s="178"/>
      <c r="AX46" s="178"/>
      <c r="AY46" s="178"/>
      <c r="AZ46" s="178"/>
      <c r="BA46" s="178"/>
      <c r="BB46" s="178"/>
      <c r="BC46" s="178"/>
      <c r="BD46" s="178"/>
      <c r="BE46" s="178"/>
      <c r="BF46" s="178"/>
      <c r="BG46" s="178"/>
      <c r="BH46" s="178"/>
      <c r="BI46" s="178"/>
      <c r="BJ46" s="178"/>
      <c r="BK46" s="178"/>
      <c r="BL46" s="178"/>
      <c r="BM46" s="178"/>
      <c r="BN46" s="178"/>
      <c r="BO46" s="178"/>
      <c r="BP46" s="178"/>
      <c r="BQ46"/>
    </row>
    <row r="47" spans="1:69" ht="15" customHeight="1" x14ac:dyDescent="0.35">
      <c r="A47" s="172" t="s">
        <v>228</v>
      </c>
      <c r="B47" s="185">
        <f>IFERROR(AVERAGE(C17:C20),0)</f>
        <v>0.625</v>
      </c>
      <c r="C47" s="185">
        <f>IFERROR(AVERAGE(C21:C24),0)</f>
        <v>0.7857142857142857</v>
      </c>
      <c r="D47" s="185">
        <f>C25</f>
        <v>0.42857142857142855</v>
      </c>
      <c r="E47" s="185">
        <f>C26</f>
        <v>0.5</v>
      </c>
      <c r="F47" s="185">
        <f>C27</f>
        <v>0</v>
      </c>
      <c r="G47" s="185">
        <f>100%</f>
        <v>1</v>
      </c>
      <c r="H47" s="172"/>
      <c r="I47" s="172"/>
      <c r="J47" s="172"/>
      <c r="K47" s="172"/>
      <c r="L47" s="172"/>
      <c r="M47" s="172"/>
      <c r="N47" s="172"/>
      <c r="O47" s="172"/>
      <c r="P47" s="172"/>
      <c r="Q47" s="172"/>
      <c r="R47" s="172"/>
      <c r="S47" s="172"/>
      <c r="T47" s="172"/>
      <c r="U47" s="172"/>
      <c r="V47" s="172"/>
      <c r="W47" s="70"/>
      <c r="X47" s="178"/>
      <c r="Y47" s="178"/>
      <c r="Z47" s="178"/>
      <c r="AA47" s="178"/>
      <c r="AB47" s="178"/>
      <c r="AC47" s="178"/>
      <c r="AD47" s="178"/>
      <c r="AE47" s="178"/>
      <c r="AF47" s="178"/>
      <c r="AG47" s="178"/>
      <c r="AH47" s="178"/>
      <c r="AI47" s="178"/>
      <c r="AJ47" s="178"/>
      <c r="AK47" s="178"/>
      <c r="AL47" s="178"/>
      <c r="AM47" s="178"/>
      <c r="AN47" s="178"/>
      <c r="AO47" s="178"/>
      <c r="AP47" s="178"/>
      <c r="AQ47" s="178"/>
      <c r="AR47" s="178"/>
      <c r="AS47" s="178"/>
      <c r="AT47" s="178"/>
      <c r="AU47" s="178"/>
      <c r="AV47" s="178"/>
      <c r="AW47" s="178"/>
      <c r="AX47" s="178"/>
      <c r="AY47" s="178"/>
      <c r="AZ47" s="178"/>
      <c r="BA47" s="178"/>
      <c r="BB47" s="178"/>
      <c r="BC47" s="178"/>
      <c r="BD47" s="178"/>
      <c r="BE47" s="178"/>
      <c r="BF47" s="178"/>
      <c r="BG47" s="178"/>
      <c r="BH47" s="178"/>
      <c r="BI47" s="178"/>
      <c r="BJ47" s="178"/>
      <c r="BK47" s="178"/>
      <c r="BL47" s="178"/>
      <c r="BM47" s="178"/>
      <c r="BN47" s="178"/>
      <c r="BO47" s="178"/>
      <c r="BP47" s="178"/>
      <c r="BQ47"/>
    </row>
    <row r="48" spans="1:69" ht="15" customHeight="1" x14ac:dyDescent="0.35">
      <c r="A48" s="172" t="s">
        <v>229</v>
      </c>
      <c r="B48" s="185">
        <f>IFERROR(AVERAGE(D17:D20),0)</f>
        <v>0.83333333333333337</v>
      </c>
      <c r="C48" s="185">
        <f>IFERROR(AVERAGE(D21:D24),0)</f>
        <v>0.83333333333333337</v>
      </c>
      <c r="D48" s="185">
        <f>D25</f>
        <v>0.16666666666666666</v>
      </c>
      <c r="E48" s="185">
        <f>D26</f>
        <v>0.66666666666666663</v>
      </c>
      <c r="F48" s="185">
        <f>D27</f>
        <v>0</v>
      </c>
      <c r="G48" s="185">
        <f>100%</f>
        <v>1</v>
      </c>
      <c r="H48" s="172"/>
      <c r="I48" s="172"/>
      <c r="J48" s="172"/>
      <c r="K48" s="172"/>
      <c r="L48" s="172"/>
      <c r="M48" s="172"/>
      <c r="N48" s="172"/>
      <c r="O48" s="172"/>
      <c r="P48" s="172"/>
      <c r="Q48" s="172"/>
      <c r="R48" s="172"/>
      <c r="S48" s="172"/>
      <c r="T48" s="172"/>
      <c r="U48" s="172"/>
      <c r="V48" s="172"/>
      <c r="W48" s="70"/>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8"/>
      <c r="BN48" s="178"/>
      <c r="BO48" s="178"/>
      <c r="BP48" s="178"/>
      <c r="BQ48"/>
    </row>
    <row r="49" spans="1:69" ht="15" customHeight="1" x14ac:dyDescent="0.35">
      <c r="A49" s="172" t="s">
        <v>230</v>
      </c>
      <c r="B49" s="185">
        <f>IFERROR(AVERAGE(E17:E20),0)</f>
        <v>0.5</v>
      </c>
      <c r="C49" s="185">
        <f>IFERROR(AVERAGE(E21:E24),0)</f>
        <v>0.75</v>
      </c>
      <c r="D49" s="185">
        <f>E25</f>
        <v>0.25</v>
      </c>
      <c r="E49" s="185">
        <f>E26</f>
        <v>0.5</v>
      </c>
      <c r="F49" s="185">
        <f>E27</f>
        <v>0</v>
      </c>
      <c r="G49" s="185">
        <f>100%</f>
        <v>1</v>
      </c>
      <c r="H49" s="172"/>
      <c r="I49" s="172"/>
      <c r="J49" s="172"/>
      <c r="K49" s="172"/>
      <c r="L49" s="172"/>
      <c r="M49" s="172"/>
      <c r="N49" s="172"/>
      <c r="O49" s="172"/>
      <c r="P49" s="172"/>
      <c r="Q49" s="172"/>
      <c r="R49" s="172"/>
      <c r="S49" s="172"/>
      <c r="T49" s="172"/>
      <c r="U49" s="172"/>
      <c r="V49" s="172"/>
      <c r="W49" s="70"/>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row>
    <row r="50" spans="1:69" ht="15" customHeight="1" x14ac:dyDescent="0.35">
      <c r="A50" s="172"/>
      <c r="B50" s="172"/>
      <c r="C50" s="172"/>
      <c r="D50" s="172"/>
      <c r="E50" s="172"/>
      <c r="F50" s="172"/>
      <c r="G50" s="172"/>
      <c r="H50" s="172"/>
      <c r="I50" s="172"/>
      <c r="J50" s="172"/>
      <c r="K50" s="172"/>
      <c r="L50" s="172"/>
      <c r="M50" s="172"/>
      <c r="N50" s="172"/>
      <c r="O50" s="172"/>
      <c r="P50" s="172"/>
      <c r="Q50" s="172"/>
      <c r="R50" s="172"/>
      <c r="S50" s="172"/>
      <c r="T50" s="172"/>
      <c r="U50" s="172"/>
      <c r="V50" s="172"/>
      <c r="W50" s="70"/>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row>
    <row r="51" spans="1:69" ht="15" customHeight="1" x14ac:dyDescent="0.35">
      <c r="A51" s="179" t="s">
        <v>251</v>
      </c>
      <c r="B51" s="179"/>
      <c r="C51" s="179"/>
      <c r="D51" s="179"/>
      <c r="E51" s="172"/>
      <c r="F51" s="172"/>
      <c r="G51" s="172"/>
      <c r="H51" s="172"/>
      <c r="I51" s="172"/>
      <c r="J51" s="172"/>
      <c r="K51" s="172"/>
      <c r="L51" s="172"/>
      <c r="M51" s="172"/>
      <c r="N51" s="172"/>
      <c r="O51" s="172"/>
      <c r="P51" s="172"/>
      <c r="Q51" s="172"/>
      <c r="R51" s="172"/>
      <c r="S51" s="172"/>
      <c r="T51" s="172"/>
      <c r="U51" s="172"/>
      <c r="V51" s="172"/>
      <c r="W51" s="70"/>
      <c r="X51" s="178"/>
      <c r="Y51" s="178"/>
      <c r="Z51" s="178"/>
      <c r="AA51" s="178"/>
      <c r="AB51" s="178"/>
      <c r="AC51" s="178"/>
      <c r="AD51" s="178"/>
      <c r="AE51" s="178"/>
      <c r="AF51" s="178"/>
      <c r="AG51" s="178"/>
      <c r="AH51" s="178"/>
      <c r="AI51" s="178"/>
      <c r="AJ51" s="178"/>
      <c r="AK51" s="178"/>
      <c r="AL51" s="178"/>
      <c r="AM51" s="178"/>
      <c r="AN51" s="178"/>
      <c r="AO51" s="178"/>
      <c r="AP51" s="178"/>
      <c r="AQ51" s="178"/>
      <c r="AR51" s="178"/>
      <c r="AS51" s="178"/>
      <c r="AT51" s="178"/>
      <c r="AU51" s="178"/>
      <c r="AV51" s="178"/>
      <c r="AW51" s="178"/>
      <c r="AX51" s="178"/>
      <c r="AY51" s="178"/>
      <c r="AZ51" s="178"/>
      <c r="BA51" s="178"/>
      <c r="BB51" s="178"/>
      <c r="BC51" s="178"/>
      <c r="BD51" s="178"/>
      <c r="BE51" s="178"/>
      <c r="BF51" s="178"/>
      <c r="BG51" s="178"/>
      <c r="BH51" s="178"/>
      <c r="BI51" s="178"/>
      <c r="BJ51" s="178"/>
      <c r="BK51" s="178"/>
      <c r="BL51" s="178"/>
      <c r="BM51" s="178"/>
      <c r="BN51" s="178"/>
      <c r="BO51" s="178"/>
      <c r="BP51" s="178"/>
      <c r="BQ51"/>
    </row>
    <row r="52" spans="1:69" ht="15" customHeight="1" x14ac:dyDescent="0.35">
      <c r="A52" s="179" t="s">
        <v>252</v>
      </c>
      <c r="B52" s="179" t="s">
        <v>253</v>
      </c>
      <c r="C52" s="179" t="s">
        <v>254</v>
      </c>
      <c r="D52" s="179" t="s">
        <v>255</v>
      </c>
      <c r="E52" s="172"/>
      <c r="F52" s="172"/>
      <c r="G52" s="172"/>
      <c r="H52" s="172"/>
      <c r="I52" s="172"/>
      <c r="J52" s="172"/>
      <c r="K52" s="172"/>
      <c r="L52" s="172"/>
      <c r="M52" s="172"/>
      <c r="N52" s="172"/>
      <c r="O52" s="172"/>
      <c r="P52" s="172"/>
      <c r="Q52" s="172"/>
      <c r="R52" s="172"/>
      <c r="S52" s="172"/>
      <c r="T52" s="172"/>
      <c r="U52" s="172"/>
      <c r="V52" s="172"/>
      <c r="W52" s="70"/>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8"/>
      <c r="AY52" s="178"/>
      <c r="AZ52" s="178"/>
      <c r="BA52" s="178"/>
      <c r="BB52" s="178"/>
      <c r="BC52" s="178"/>
      <c r="BD52" s="178"/>
      <c r="BE52" s="178"/>
      <c r="BF52" s="178"/>
      <c r="BG52" s="178"/>
      <c r="BH52" s="178"/>
      <c r="BI52" s="178"/>
      <c r="BJ52" s="178"/>
      <c r="BK52" s="178"/>
      <c r="BL52" s="178"/>
      <c r="BM52" s="178"/>
      <c r="BN52" s="178"/>
      <c r="BO52" s="178"/>
      <c r="BP52" s="178"/>
      <c r="BQ52"/>
    </row>
    <row r="53" spans="1:69" ht="15" customHeight="1" x14ac:dyDescent="0.35">
      <c r="A53" s="172" t="s">
        <v>256</v>
      </c>
      <c r="B53" s="185">
        <f>75%</f>
        <v>0.75</v>
      </c>
      <c r="C53" s="185">
        <f>85%</f>
        <v>0.85</v>
      </c>
      <c r="D53" s="185">
        <f>IFERROR(AVERAGE('SURA Cotizadores'!C66,'SURA Digital Venta'!C67,'SURA Automatizacion'!C67,'SURA Canales Masivos'!C67,'BCO COES Integracion'!C68,'BCO COES Datos'!C68,'BCO Soporte'!C68,'BCO COES Emma'!C68,AES!C65,XM!C67,MEDICARTE!C68),0)</f>
        <v>0.68</v>
      </c>
      <c r="E53" s="172"/>
      <c r="F53" s="172"/>
      <c r="G53" s="172"/>
      <c r="H53" s="172"/>
      <c r="I53" s="172"/>
      <c r="J53" s="172"/>
      <c r="K53" s="172"/>
      <c r="L53" s="172"/>
      <c r="M53" s="172"/>
      <c r="N53" s="172"/>
      <c r="O53" s="172"/>
      <c r="P53" s="172"/>
      <c r="Q53" s="172"/>
      <c r="R53" s="172"/>
      <c r="S53" s="172"/>
      <c r="T53" s="172"/>
      <c r="U53" s="172"/>
      <c r="V53" s="172"/>
      <c r="W53" s="70"/>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row>
    <row r="54" spans="1:69" ht="15" customHeight="1" x14ac:dyDescent="0.35">
      <c r="A54" s="172" t="s">
        <v>257</v>
      </c>
      <c r="B54" s="185">
        <f>95%</f>
        <v>0.95</v>
      </c>
      <c r="C54" s="185">
        <f>98%</f>
        <v>0.98</v>
      </c>
      <c r="D54" s="185">
        <f>IFERROR(AVERAGE('SURA Cotizadores'!C68,'SURA Digital Venta'!C69,'SURA Automatizacion'!C69,'SURA Canales Masivos'!C69,'BCO COES Integracion'!C70,'BCO COES Datos'!C70,'BCO Soporte'!C70,'BCO COES Emma'!C70,AES!C67,XM!C69,MEDICARTE!C70),0)</f>
        <v>0.80599999999999983</v>
      </c>
      <c r="E54" s="172"/>
      <c r="F54" s="172"/>
      <c r="G54" s="172"/>
      <c r="H54" s="172"/>
      <c r="I54" s="172"/>
      <c r="J54" s="172"/>
      <c r="K54" s="172"/>
      <c r="L54" s="172"/>
      <c r="M54" s="172"/>
      <c r="N54" s="172"/>
      <c r="O54" s="172"/>
      <c r="P54" s="172"/>
      <c r="Q54" s="172"/>
      <c r="R54" s="172"/>
      <c r="S54" s="172"/>
      <c r="T54" s="172"/>
      <c r="U54" s="172"/>
      <c r="V54" s="172"/>
      <c r="W54" s="70"/>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8"/>
      <c r="AY54" s="178"/>
      <c r="AZ54" s="178"/>
      <c r="BA54" s="178"/>
      <c r="BB54" s="178"/>
      <c r="BC54" s="178"/>
      <c r="BD54" s="178"/>
      <c r="BE54" s="178"/>
      <c r="BF54" s="178"/>
      <c r="BG54" s="178"/>
      <c r="BH54" s="178"/>
      <c r="BI54" s="178"/>
      <c r="BJ54" s="178"/>
      <c r="BK54" s="178"/>
      <c r="BL54" s="178"/>
      <c r="BM54" s="178"/>
      <c r="BN54" s="178"/>
      <c r="BO54" s="178"/>
      <c r="BP54" s="178"/>
      <c r="BQ54"/>
    </row>
    <row r="55" spans="1:69" x14ac:dyDescent="0.35">
      <c r="A55" s="172" t="s">
        <v>111</v>
      </c>
      <c r="B55" s="172">
        <f>45</f>
        <v>45</v>
      </c>
      <c r="C55" s="172">
        <f>65</f>
        <v>65</v>
      </c>
      <c r="D55" s="172">
        <f>IFERROR(AVERAGE('SURA Cotizadores'!C89,'SURA Digital Venta'!C90,'SURA Automatizacion'!C90,'SURA Canales Masivos'!C90,'BCO COES Integracion'!C91,'BCO COES Datos'!C91,'BCO Soporte'!C91,'BCO COES Emma'!C91,AES!C88,XM!C90,MEDICARTE!C91),0)</f>
        <v>0</v>
      </c>
      <c r="E55" s="172"/>
      <c r="F55" s="172"/>
      <c r="G55" s="172"/>
      <c r="H55" s="172"/>
      <c r="I55" s="172"/>
      <c r="J55" s="172"/>
      <c r="K55" s="172"/>
      <c r="L55" s="172"/>
      <c r="M55" s="172"/>
      <c r="N55" s="172"/>
      <c r="O55" s="172"/>
      <c r="P55" s="172"/>
      <c r="Q55" s="172"/>
      <c r="R55" s="172"/>
      <c r="S55" s="172"/>
      <c r="T55" s="172"/>
      <c r="U55" s="172"/>
      <c r="V55" s="172"/>
      <c r="W55" s="70"/>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8"/>
      <c r="AY55" s="178"/>
      <c r="AZ55" s="178"/>
      <c r="BA55" s="178"/>
      <c r="BB55" s="178"/>
      <c r="BC55" s="178"/>
      <c r="BD55" s="178"/>
      <c r="BE55" s="178"/>
      <c r="BF55" s="178"/>
      <c r="BG55" s="178"/>
      <c r="BH55" s="178"/>
      <c r="BI55" s="178"/>
      <c r="BJ55" s="178"/>
      <c r="BK55" s="178"/>
      <c r="BL55" s="178"/>
      <c r="BM55" s="178"/>
      <c r="BN55" s="178"/>
      <c r="BO55" s="178"/>
      <c r="BP55" s="178"/>
      <c r="BQ55"/>
    </row>
    <row r="56" spans="1:69" x14ac:dyDescent="0.35">
      <c r="A56" s="172" t="s">
        <v>258</v>
      </c>
      <c r="B56" s="185">
        <f>15%</f>
        <v>0.15</v>
      </c>
      <c r="C56" s="185">
        <f>8%</f>
        <v>0.08</v>
      </c>
      <c r="D56" s="185">
        <f>IFERROR(AVERAGE(IF('SURA Cotizadores'!C125&gt;1,'SURA Cotizadores'!C125/100,'SURA Cotizadores'!C125),IF('SURA Digital Venta'!C125&gt;1,'SURA Digital Venta'!C125/100,'SURA Digital Venta'!C125),IF('SURA Automatizacion'!C125&gt;1,'SURA Automatizacion'!C125/100,'SURA Automatizacion'!C125),IF('SURA Canales Masivos'!C125&gt;1,'SURA Canales Masivos'!C125/100,'SURA Canales Masivos'!C125),IF('BCO COES Integracion'!C126&gt;1,'BCO COES Integracion'!C126/100,'BCO COES Integracion'!C126),IF('BCO COES Datos'!C126&gt;1,'BCO COES Datos'!C126/100,'BCO COES Datos'!C126),IF('BCO Soporte'!C127&gt;1,'BCO Soporte'!C127/100,'BCO Soporte'!C127),IF('BCO COES Emma'!C126&gt;1,'BCO COES Emma'!C126/100,'BCO COES Emma'!C126),IF(AES!C123&gt;1,AES!C123/100,AES!C123),IF(XM!C125&gt;1,XM!C125/100,XM!C125),IF(MEDICARTE!C126&gt;1,MEDICARTE!C126/100,MEDICARTE!C126)),0)</f>
        <v>0</v>
      </c>
      <c r="E56" s="172"/>
      <c r="F56" s="172"/>
      <c r="G56" s="172"/>
      <c r="H56" s="172"/>
      <c r="I56" s="172"/>
      <c r="J56" s="172"/>
      <c r="K56" s="172"/>
      <c r="L56" s="172"/>
      <c r="M56" s="172"/>
      <c r="N56" s="172"/>
      <c r="O56" s="172"/>
      <c r="P56" s="172"/>
      <c r="Q56" s="172"/>
      <c r="R56" s="172"/>
      <c r="S56" s="172"/>
      <c r="T56" s="172"/>
      <c r="U56" s="172"/>
      <c r="V56" s="172"/>
      <c r="W56" s="70"/>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8"/>
      <c r="AY56" s="178"/>
      <c r="AZ56" s="178"/>
      <c r="BA56" s="178"/>
      <c r="BB56" s="178"/>
      <c r="BC56" s="178"/>
      <c r="BD56" s="178"/>
      <c r="BE56" s="178"/>
      <c r="BF56" s="178"/>
      <c r="BG56" s="178"/>
      <c r="BH56" s="178"/>
      <c r="BI56" s="178"/>
      <c r="BJ56" s="178"/>
      <c r="BK56" s="178"/>
      <c r="BL56" s="178"/>
      <c r="BM56" s="178"/>
      <c r="BN56" s="178"/>
      <c r="BO56" s="178"/>
      <c r="BP56" s="178"/>
      <c r="BQ56"/>
    </row>
    <row r="57" spans="1:69" x14ac:dyDescent="0.35">
      <c r="A57" s="172" t="s">
        <v>259</v>
      </c>
      <c r="B57" s="185">
        <f>20%</f>
        <v>0.2</v>
      </c>
      <c r="C57" s="185">
        <f>40%</f>
        <v>0.4</v>
      </c>
      <c r="D57" s="185">
        <f>IFERROR(AVERAGE(IF('SURA Cotizadores'!C73&gt;1,'SURA Cotizadores'!C73/100,'SURA Cotizadores'!C73),IF('SURA Digital Venta'!C74&gt;1,'SURA Digital Venta'!C74/100,'SURA Digital Venta'!C74),IF('SURA Automatizacion'!C74&gt;1,'SURA Automatizacion'!C74/100,'SURA Automatizacion'!C74),IF('SURA Canales Masivos'!C74&gt;1,'SURA Canales Masivos'!C74/100,'SURA Canales Masivos'!C74),IF('BCO COES Integracion'!C75&gt;1,'BCO COES Integracion'!C75/100,'BCO COES Integracion'!C75),IF('BCO COES Datos'!C75&gt;1,'BCO COES Datos'!C75/100,'BCO COES Datos'!C75),IF('BCO Soporte'!C75&gt;1,'BCO Soporte'!C75/100,'BCO Soporte'!C75),IF('BCO COES Emma'!C75&gt;1,'BCO COES Emma'!C75/100,'BCO COES Emma'!C75),IF(AES!C72&gt;1,AES!C72/100,AES!C72),IF(XM!C74&gt;1,XM!C74/100,XM!C74),IF(MEDICARTE!C75&gt;1,MEDICARTE!C75/100,MEDICARTE!C75)),0)</f>
        <v>1.3333333333333334E-2</v>
      </c>
      <c r="E57" s="172"/>
      <c r="F57" s="172"/>
      <c r="G57" s="172"/>
      <c r="H57" s="172"/>
      <c r="I57" s="172"/>
      <c r="J57" s="172"/>
      <c r="K57" s="172"/>
      <c r="L57" s="172"/>
      <c r="M57" s="172"/>
      <c r="N57" s="172"/>
      <c r="O57" s="172"/>
      <c r="P57" s="172"/>
      <c r="Q57" s="172"/>
      <c r="R57" s="172"/>
      <c r="S57" s="172"/>
      <c r="T57" s="172"/>
      <c r="U57" s="172"/>
      <c r="V57" s="172"/>
      <c r="W57" s="70"/>
      <c r="X57" s="178"/>
      <c r="Y57" s="178"/>
      <c r="Z57" s="178"/>
      <c r="AA57" s="178"/>
      <c r="AB57" s="178"/>
      <c r="AC57" s="178"/>
      <c r="AD57" s="178"/>
      <c r="AE57" s="178"/>
      <c r="AF57" s="178"/>
      <c r="AG57" s="178"/>
      <c r="AH57" s="178"/>
      <c r="AI57" s="178"/>
      <c r="AJ57" s="178"/>
      <c r="AK57" s="178"/>
      <c r="AL57" s="178"/>
      <c r="AM57" s="178"/>
      <c r="AN57" s="178"/>
      <c r="AO57" s="178"/>
      <c r="AP57" s="178"/>
      <c r="AQ57" s="178"/>
      <c r="AR57" s="178"/>
      <c r="AS57" s="178"/>
      <c r="AT57" s="178"/>
      <c r="AU57" s="178"/>
      <c r="AV57" s="178"/>
      <c r="AW57" s="178"/>
      <c r="AX57" s="178"/>
      <c r="AY57" s="178"/>
      <c r="AZ57" s="178"/>
      <c r="BA57" s="178"/>
      <c r="BB57" s="178"/>
      <c r="BC57" s="178"/>
      <c r="BD57" s="178"/>
      <c r="BE57" s="178"/>
      <c r="BF57" s="178"/>
      <c r="BG57" s="178"/>
      <c r="BH57" s="178"/>
      <c r="BI57" s="178"/>
      <c r="BJ57" s="178"/>
      <c r="BK57" s="178"/>
      <c r="BL57" s="178"/>
      <c r="BM57" s="178"/>
      <c r="BN57" s="178"/>
      <c r="BO57" s="178"/>
      <c r="BP57" s="178"/>
      <c r="BQ57"/>
    </row>
    <row r="58" spans="1:69" x14ac:dyDescent="0.35">
      <c r="A58" s="172" t="s">
        <v>260</v>
      </c>
      <c r="B58" s="172">
        <f>15</f>
        <v>15</v>
      </c>
      <c r="C58" s="172">
        <f>8</f>
        <v>8</v>
      </c>
      <c r="D58" s="172">
        <f>IFERROR(AVERAGE('SURA Cotizadores'!C71,'SURA Digital Venta'!C72,'SURA Automatizacion'!C72,'SURA Canales Masivos'!C72,'BCO COES Integracion'!C73,'BCO COES Datos'!C73,'BCO Soporte'!C73,'BCO COES Emma'!C73,AES!C70,XM!C72,MEDICARTE!C73),0)</f>
        <v>0</v>
      </c>
      <c r="E58" s="172"/>
      <c r="F58" s="172"/>
      <c r="G58" s="172"/>
      <c r="H58" s="172"/>
      <c r="I58" s="172"/>
      <c r="J58" s="172"/>
      <c r="K58" s="172"/>
      <c r="L58" s="172"/>
      <c r="M58" s="172"/>
      <c r="N58" s="172"/>
      <c r="O58" s="172"/>
      <c r="P58" s="172"/>
      <c r="Q58" s="172"/>
      <c r="R58" s="172"/>
      <c r="S58" s="172"/>
      <c r="T58" s="172"/>
      <c r="U58" s="172"/>
      <c r="V58" s="172"/>
      <c r="W58" s="70"/>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row>
    <row r="59" spans="1:69" x14ac:dyDescent="0.35">
      <c r="A59"/>
      <c r="B59"/>
      <c r="C59"/>
      <c r="D59"/>
      <c r="E59"/>
      <c r="F59"/>
      <c r="G59"/>
      <c r="H59"/>
      <c r="I59"/>
      <c r="J59"/>
      <c r="K59"/>
      <c r="L59"/>
      <c r="M59"/>
      <c r="N59"/>
      <c r="O59"/>
      <c r="P59"/>
      <c r="Q59"/>
      <c r="R59"/>
      <c r="S59"/>
      <c r="T59"/>
      <c r="U59"/>
      <c r="V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x14ac:dyDescent="0.35">
      <c r="A60"/>
      <c r="B60"/>
      <c r="C60"/>
      <c r="D60"/>
      <c r="E60"/>
      <c r="F60"/>
      <c r="G60"/>
      <c r="H60"/>
      <c r="I60"/>
      <c r="J60"/>
      <c r="K60"/>
      <c r="L60"/>
      <c r="M60"/>
      <c r="N60"/>
      <c r="O60"/>
      <c r="P60"/>
      <c r="Q60"/>
      <c r="R60"/>
      <c r="S60"/>
      <c r="T60"/>
      <c r="U60"/>
      <c r="V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x14ac:dyDescent="0.35">
      <c r="A61"/>
      <c r="B61"/>
      <c r="C61"/>
      <c r="D61"/>
      <c r="E61"/>
      <c r="F61"/>
      <c r="G61"/>
      <c r="H61"/>
      <c r="I61"/>
      <c r="J61"/>
      <c r="K61"/>
      <c r="L61"/>
      <c r="M61"/>
      <c r="N61"/>
      <c r="O61"/>
      <c r="P61"/>
      <c r="Q61"/>
      <c r="R61"/>
      <c r="S61"/>
      <c r="T61"/>
      <c r="U61"/>
      <c r="V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x14ac:dyDescent="0.35">
      <c r="A62"/>
      <c r="B62"/>
      <c r="C62"/>
      <c r="D62"/>
      <c r="E62"/>
      <c r="F62"/>
      <c r="G62"/>
      <c r="H62"/>
      <c r="I62"/>
      <c r="J62"/>
      <c r="K62"/>
      <c r="L62"/>
      <c r="M62"/>
      <c r="N62"/>
      <c r="O62"/>
      <c r="P62"/>
      <c r="Q62"/>
      <c r="R62"/>
      <c r="S62"/>
      <c r="T62"/>
      <c r="U62"/>
      <c r="V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x14ac:dyDescent="0.35">
      <c r="A63"/>
      <c r="B63"/>
      <c r="C63"/>
      <c r="D63"/>
      <c r="E63"/>
      <c r="F63"/>
      <c r="G63"/>
      <c r="H63"/>
      <c r="I63"/>
      <c r="J63"/>
      <c r="K63"/>
      <c r="L63"/>
      <c r="M63"/>
      <c r="N63"/>
      <c r="O63"/>
      <c r="P63"/>
      <c r="Q63"/>
      <c r="R63"/>
      <c r="S63"/>
      <c r="T63"/>
      <c r="U63"/>
      <c r="V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x14ac:dyDescent="0.35">
      <c r="A64"/>
      <c r="B64"/>
      <c r="C64"/>
      <c r="D64"/>
      <c r="E64"/>
      <c r="F64"/>
      <c r="G64"/>
      <c r="H64"/>
      <c r="I64"/>
      <c r="J64"/>
      <c r="K64"/>
      <c r="L64"/>
      <c r="M64"/>
      <c r="N64"/>
      <c r="O64"/>
      <c r="P64"/>
      <c r="Q64"/>
      <c r="R64"/>
      <c r="S64"/>
      <c r="T64"/>
      <c r="U64"/>
      <c r="V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x14ac:dyDescent="0.35">
      <c r="A65"/>
      <c r="B65"/>
      <c r="C65"/>
      <c r="D65"/>
      <c r="E65"/>
      <c r="F65"/>
      <c r="G65"/>
      <c r="H65"/>
      <c r="I65"/>
      <c r="J65"/>
      <c r="K65"/>
      <c r="L65"/>
      <c r="M65"/>
      <c r="N65"/>
      <c r="O65"/>
      <c r="P65"/>
      <c r="Q65"/>
      <c r="R65"/>
      <c r="S65"/>
      <c r="T65"/>
      <c r="U65"/>
      <c r="V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x14ac:dyDescent="0.35">
      <c r="A66"/>
      <c r="B66"/>
      <c r="C66"/>
      <c r="D66"/>
      <c r="E66"/>
      <c r="F66"/>
      <c r="G66"/>
      <c r="H66"/>
      <c r="I66"/>
      <c r="J66"/>
      <c r="K66"/>
      <c r="L66"/>
      <c r="M66"/>
      <c r="N66"/>
      <c r="O66"/>
      <c r="P66"/>
      <c r="Q66"/>
      <c r="R66"/>
      <c r="S66"/>
      <c r="T66"/>
      <c r="U66"/>
      <c r="V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x14ac:dyDescent="0.35">
      <c r="A67"/>
      <c r="B67"/>
      <c r="C67"/>
      <c r="D67"/>
      <c r="E67"/>
      <c r="F67"/>
      <c r="G67"/>
      <c r="H67"/>
      <c r="I67"/>
      <c r="J67"/>
      <c r="K67"/>
      <c r="L67"/>
      <c r="M67"/>
      <c r="N67"/>
      <c r="O67"/>
      <c r="P67"/>
      <c r="Q67"/>
      <c r="R67"/>
      <c r="S67"/>
      <c r="T67"/>
      <c r="U67"/>
      <c r="V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x14ac:dyDescent="0.35">
      <c r="A68"/>
      <c r="B68"/>
      <c r="C68"/>
      <c r="D68"/>
      <c r="E68"/>
      <c r="F68"/>
      <c r="G68"/>
      <c r="H68"/>
      <c r="I68"/>
      <c r="J68"/>
      <c r="K68"/>
      <c r="L68"/>
      <c r="M68"/>
      <c r="N68"/>
      <c r="O68"/>
      <c r="P68"/>
      <c r="Q68"/>
      <c r="R68"/>
      <c r="S68"/>
      <c r="T68"/>
      <c r="U68"/>
      <c r="V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x14ac:dyDescent="0.35">
      <c r="A69"/>
      <c r="B69"/>
      <c r="C69"/>
      <c r="D69"/>
      <c r="E69"/>
      <c r="F69"/>
      <c r="G69"/>
      <c r="H69"/>
      <c r="I69"/>
      <c r="J69"/>
      <c r="K69"/>
      <c r="L69"/>
      <c r="M69"/>
      <c r="N69"/>
      <c r="O69"/>
      <c r="P69"/>
      <c r="Q69"/>
      <c r="R69"/>
      <c r="S69"/>
      <c r="T69"/>
      <c r="U69"/>
      <c r="V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x14ac:dyDescent="0.35">
      <c r="A70"/>
      <c r="B70"/>
      <c r="C70"/>
      <c r="D70"/>
      <c r="E70"/>
      <c r="F70"/>
      <c r="G70"/>
      <c r="H70"/>
      <c r="I70"/>
      <c r="J70"/>
      <c r="K70"/>
      <c r="L70"/>
      <c r="M70"/>
      <c r="N70"/>
      <c r="O70"/>
      <c r="P70"/>
      <c r="Q70"/>
      <c r="R70"/>
      <c r="S70"/>
      <c r="T70"/>
      <c r="U70"/>
      <c r="V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x14ac:dyDescent="0.35">
      <c r="A71"/>
      <c r="B71"/>
      <c r="C71"/>
      <c r="D71"/>
      <c r="E71"/>
      <c r="F71"/>
      <c r="G71"/>
      <c r="H71"/>
      <c r="I71"/>
      <c r="J71"/>
      <c r="K71"/>
      <c r="L71"/>
      <c r="M71"/>
      <c r="N71"/>
      <c r="O71"/>
      <c r="P71"/>
      <c r="Q71"/>
      <c r="R71"/>
      <c r="S71"/>
      <c r="T71"/>
      <c r="U71"/>
      <c r="V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x14ac:dyDescent="0.35">
      <c r="A72"/>
      <c r="B72"/>
      <c r="C72"/>
      <c r="D72"/>
      <c r="E72"/>
      <c r="F72"/>
      <c r="G72"/>
      <c r="H72"/>
      <c r="I72"/>
      <c r="J72"/>
      <c r="K72"/>
      <c r="L72"/>
      <c r="M72"/>
      <c r="N72"/>
      <c r="O72"/>
      <c r="P72"/>
      <c r="Q72"/>
      <c r="R72"/>
      <c r="S72"/>
      <c r="T72"/>
      <c r="U72"/>
      <c r="V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x14ac:dyDescent="0.35">
      <c r="A73"/>
      <c r="B73"/>
      <c r="C73"/>
      <c r="D73"/>
      <c r="E73"/>
      <c r="F73"/>
      <c r="G73"/>
      <c r="H73"/>
      <c r="I73"/>
      <c r="J73"/>
      <c r="K73"/>
      <c r="L73"/>
      <c r="M73"/>
      <c r="N73"/>
      <c r="O73"/>
      <c r="P73"/>
      <c r="Q73"/>
      <c r="R73"/>
      <c r="S73"/>
      <c r="T73"/>
      <c r="U73"/>
      <c r="V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x14ac:dyDescent="0.35">
      <c r="A74"/>
      <c r="B74"/>
      <c r="C74"/>
      <c r="D74"/>
      <c r="E74"/>
      <c r="F74"/>
      <c r="G74"/>
      <c r="H74"/>
      <c r="I74"/>
      <c r="J74"/>
      <c r="K74"/>
      <c r="L74"/>
      <c r="M74"/>
      <c r="N74"/>
      <c r="O74"/>
      <c r="P74"/>
      <c r="Q74"/>
      <c r="R74"/>
      <c r="S74"/>
      <c r="T74"/>
      <c r="U74"/>
      <c r="V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x14ac:dyDescent="0.35">
      <c r="A75"/>
      <c r="B75"/>
      <c r="C75"/>
      <c r="D75"/>
      <c r="E75"/>
      <c r="F75"/>
      <c r="G75"/>
      <c r="H75"/>
      <c r="I75"/>
      <c r="J75"/>
      <c r="K75"/>
      <c r="L75"/>
      <c r="M75"/>
      <c r="N75"/>
      <c r="O75"/>
      <c r="P75"/>
      <c r="Q75"/>
      <c r="R75"/>
      <c r="S75"/>
      <c r="T75"/>
      <c r="U75"/>
      <c r="V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x14ac:dyDescent="0.35">
      <c r="A76"/>
      <c r="B76"/>
      <c r="C76"/>
      <c r="D76"/>
      <c r="E76"/>
      <c r="F76"/>
      <c r="G76"/>
      <c r="H76"/>
      <c r="I76"/>
      <c r="J76"/>
      <c r="K76"/>
      <c r="L76"/>
      <c r="M76"/>
      <c r="N76"/>
      <c r="O76"/>
      <c r="P76"/>
      <c r="Q76"/>
      <c r="R76"/>
      <c r="S76"/>
      <c r="T76"/>
      <c r="U76"/>
      <c r="V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x14ac:dyDescent="0.35">
      <c r="A77"/>
      <c r="B77"/>
      <c r="C77"/>
      <c r="D77"/>
      <c r="E77"/>
      <c r="F77"/>
      <c r="G77"/>
      <c r="H77"/>
      <c r="I77"/>
      <c r="J77"/>
      <c r="K77"/>
      <c r="L77"/>
      <c r="M77"/>
      <c r="N77"/>
      <c r="O77"/>
      <c r="P77"/>
      <c r="Q77"/>
      <c r="R77"/>
      <c r="S77"/>
      <c r="T77"/>
      <c r="U77"/>
      <c r="V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x14ac:dyDescent="0.35">
      <c r="A78"/>
      <c r="B78"/>
      <c r="C78"/>
      <c r="D78"/>
      <c r="E78"/>
      <c r="F78"/>
      <c r="G78"/>
      <c r="H78"/>
      <c r="I78"/>
      <c r="J78"/>
      <c r="K78"/>
      <c r="L78"/>
      <c r="M78"/>
      <c r="N78"/>
      <c r="O78"/>
      <c r="P78"/>
      <c r="Q78"/>
      <c r="R78"/>
      <c r="S78"/>
      <c r="T78"/>
      <c r="U78"/>
      <c r="V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x14ac:dyDescent="0.35">
      <c r="A79"/>
      <c r="B79"/>
      <c r="C79"/>
      <c r="D79"/>
      <c r="E79"/>
      <c r="F79"/>
      <c r="G79"/>
      <c r="H79"/>
      <c r="I79"/>
      <c r="J79"/>
      <c r="K79"/>
      <c r="L79"/>
      <c r="M79"/>
      <c r="N79"/>
      <c r="O79"/>
      <c r="P79"/>
      <c r="Q79"/>
      <c r="R79"/>
      <c r="S79"/>
      <c r="T79"/>
      <c r="U79"/>
      <c r="V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x14ac:dyDescent="0.35">
      <c r="A80"/>
      <c r="B80"/>
      <c r="C80"/>
      <c r="D80"/>
      <c r="E80"/>
      <c r="F80"/>
      <c r="G80"/>
      <c r="H80"/>
      <c r="I80"/>
      <c r="J80"/>
      <c r="K80"/>
      <c r="L80"/>
      <c r="M80"/>
      <c r="N80"/>
      <c r="O80"/>
      <c r="P80"/>
      <c r="Q80"/>
      <c r="R80"/>
      <c r="S80"/>
      <c r="T80"/>
      <c r="U80"/>
      <c r="V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A2F1-CC86-4F16-A17D-B7701FB4DB8B}">
  <dimension ref="B2:R58"/>
  <sheetViews>
    <sheetView showGridLines="0" topLeftCell="A27" zoomScaleNormal="100" workbookViewId="0">
      <selection activeCell="C55" sqref="C55"/>
    </sheetView>
  </sheetViews>
  <sheetFormatPr baseColWidth="10" defaultColWidth="8.54296875" defaultRowHeight="14.5" x14ac:dyDescent="0.35"/>
  <cols>
    <col min="1" max="1" width="3" style="1" customWidth="1"/>
    <col min="2" max="16" width="27.54296875" style="1" customWidth="1"/>
    <col min="17" max="17" width="8.54296875" style="1"/>
    <col min="18" max="18" width="11.26953125" style="1" bestFit="1" customWidth="1"/>
    <col min="19" max="16384" width="8.54296875" style="1"/>
  </cols>
  <sheetData>
    <row r="2" spans="2:18" ht="15" customHeight="1" x14ac:dyDescent="0.35">
      <c r="B2" s="338" t="s">
        <v>261</v>
      </c>
      <c r="C2" s="338"/>
      <c r="D2" s="338"/>
      <c r="E2" s="338"/>
      <c r="F2" s="338"/>
      <c r="G2" s="338"/>
      <c r="H2" s="338"/>
    </row>
    <row r="4" spans="2:18" ht="21.75" customHeight="1" x14ac:dyDescent="0.35">
      <c r="B4" s="33" t="s">
        <v>262</v>
      </c>
      <c r="D4" s="33" t="s">
        <v>263</v>
      </c>
      <c r="F4" s="33" t="s">
        <v>264</v>
      </c>
      <c r="H4" s="33" t="s">
        <v>265</v>
      </c>
      <c r="J4" s="33" t="s">
        <v>266</v>
      </c>
      <c r="L4" s="33" t="s">
        <v>267</v>
      </c>
      <c r="N4" s="33" t="s">
        <v>268</v>
      </c>
      <c r="P4" s="33" t="s">
        <v>269</v>
      </c>
      <c r="R4" s="33" t="s">
        <v>270</v>
      </c>
    </row>
    <row r="5" spans="2:18" ht="19.5" customHeight="1" x14ac:dyDescent="0.35">
      <c r="B5" s="34" t="s">
        <v>86</v>
      </c>
      <c r="D5" s="34" t="s">
        <v>63</v>
      </c>
      <c r="F5" s="34" t="s">
        <v>271</v>
      </c>
      <c r="H5" s="34" t="s">
        <v>272</v>
      </c>
      <c r="J5" s="34" t="s">
        <v>273</v>
      </c>
      <c r="L5" s="34" t="s">
        <v>274</v>
      </c>
      <c r="N5" s="34" t="s">
        <v>248</v>
      </c>
      <c r="P5" s="34" t="s">
        <v>271</v>
      </c>
      <c r="R5" s="34" t="s">
        <v>275</v>
      </c>
    </row>
    <row r="6" spans="2:18" ht="19.5" customHeight="1" x14ac:dyDescent="0.35">
      <c r="B6" s="34"/>
      <c r="D6" s="34"/>
      <c r="F6" s="34"/>
      <c r="H6" s="34" t="s">
        <v>276</v>
      </c>
      <c r="J6" s="34"/>
      <c r="L6" s="34"/>
      <c r="N6" s="34"/>
      <c r="P6" s="34"/>
      <c r="R6" s="34"/>
    </row>
    <row r="7" spans="2:18" ht="19.5" customHeight="1" x14ac:dyDescent="0.35">
      <c r="B7" s="35" t="s">
        <v>89</v>
      </c>
      <c r="D7" s="35" t="s">
        <v>66</v>
      </c>
      <c r="F7" s="35" t="s">
        <v>277</v>
      </c>
      <c r="H7" s="35" t="s">
        <v>278</v>
      </c>
      <c r="J7" s="35" t="s">
        <v>279</v>
      </c>
      <c r="L7" s="35" t="s">
        <v>280</v>
      </c>
      <c r="N7" s="35" t="s">
        <v>281</v>
      </c>
      <c r="P7" s="35" t="s">
        <v>277</v>
      </c>
      <c r="R7" s="35" t="s">
        <v>93</v>
      </c>
    </row>
    <row r="8" spans="2:18" ht="19.5" customHeight="1" x14ac:dyDescent="0.35">
      <c r="B8" s="34" t="s">
        <v>93</v>
      </c>
      <c r="D8" s="34" t="s">
        <v>69</v>
      </c>
      <c r="F8" s="34" t="s">
        <v>282</v>
      </c>
      <c r="H8" s="34" t="s">
        <v>283</v>
      </c>
      <c r="J8" s="34" t="s">
        <v>284</v>
      </c>
      <c r="L8" s="34" t="s">
        <v>285</v>
      </c>
      <c r="N8" s="34" t="s">
        <v>126</v>
      </c>
      <c r="P8" s="34" t="s">
        <v>282</v>
      </c>
      <c r="R8" s="34" t="s">
        <v>286</v>
      </c>
    </row>
    <row r="9" spans="2:18" ht="19.5" customHeight="1" x14ac:dyDescent="0.35">
      <c r="B9" s="35" t="s">
        <v>97</v>
      </c>
      <c r="D9" s="35" t="s">
        <v>72</v>
      </c>
      <c r="H9" s="35" t="s">
        <v>287</v>
      </c>
      <c r="J9" s="35" t="s">
        <v>288</v>
      </c>
      <c r="N9" s="34" t="s">
        <v>125</v>
      </c>
      <c r="P9" s="34" t="s">
        <v>289</v>
      </c>
    </row>
    <row r="10" spans="2:18" ht="19.5" customHeight="1" x14ac:dyDescent="0.35">
      <c r="D10" s="34" t="s">
        <v>75</v>
      </c>
      <c r="H10" s="34" t="s">
        <v>290</v>
      </c>
      <c r="J10" s="34" t="s">
        <v>291</v>
      </c>
      <c r="N10" s="35" t="s">
        <v>127</v>
      </c>
    </row>
    <row r="11" spans="2:18" ht="19.5" customHeight="1" x14ac:dyDescent="0.35">
      <c r="B11" s="33" t="s">
        <v>292</v>
      </c>
      <c r="D11" s="35" t="s">
        <v>78</v>
      </c>
    </row>
    <row r="12" spans="2:18" x14ac:dyDescent="0.35">
      <c r="B12" s="1" t="s">
        <v>293</v>
      </c>
    </row>
    <row r="13" spans="2:18" x14ac:dyDescent="0.35">
      <c r="B13" s="1" t="s">
        <v>294</v>
      </c>
    </row>
    <row r="14" spans="2:18" x14ac:dyDescent="0.35">
      <c r="B14" s="1" t="s">
        <v>295</v>
      </c>
    </row>
    <row r="15" spans="2:18" x14ac:dyDescent="0.35">
      <c r="B15" s="1" t="s">
        <v>296</v>
      </c>
    </row>
    <row r="16" spans="2:18" x14ac:dyDescent="0.35">
      <c r="B16" s="1" t="s">
        <v>297</v>
      </c>
    </row>
    <row r="17" spans="2:16" x14ac:dyDescent="0.35">
      <c r="B17" s="1" t="s">
        <v>298</v>
      </c>
    </row>
    <row r="20" spans="2:16" s="70" customFormat="1" ht="29.25" customHeight="1" x14ac:dyDescent="0.35">
      <c r="B20" s="6" t="s">
        <v>299</v>
      </c>
      <c r="D20" s="6" t="s">
        <v>300</v>
      </c>
      <c r="F20" s="6" t="s">
        <v>301</v>
      </c>
      <c r="H20" s="6" t="s">
        <v>302</v>
      </c>
      <c r="J20" s="33" t="s">
        <v>303</v>
      </c>
      <c r="L20" s="6" t="s">
        <v>304</v>
      </c>
      <c r="N20" s="6" t="s">
        <v>305</v>
      </c>
      <c r="P20" s="6" t="s">
        <v>306</v>
      </c>
    </row>
    <row r="21" spans="2:16" x14ac:dyDescent="0.35">
      <c r="B21" s="98" t="s">
        <v>307</v>
      </c>
      <c r="D21" s="98" t="s">
        <v>308</v>
      </c>
      <c r="F21" s="98" t="s">
        <v>309</v>
      </c>
      <c r="H21" s="98" t="s">
        <v>310</v>
      </c>
      <c r="J21" s="98" t="s">
        <v>311</v>
      </c>
      <c r="L21" s="98" t="s">
        <v>312</v>
      </c>
      <c r="N21" s="98" t="s">
        <v>313</v>
      </c>
      <c r="P21" s="98" t="s">
        <v>314</v>
      </c>
    </row>
    <row r="22" spans="2:16" x14ac:dyDescent="0.35">
      <c r="B22" s="34" t="s">
        <v>315</v>
      </c>
      <c r="D22" s="34" t="s">
        <v>316</v>
      </c>
      <c r="F22" s="34" t="s">
        <v>317</v>
      </c>
      <c r="H22" s="34" t="s">
        <v>318</v>
      </c>
      <c r="J22" s="34" t="s">
        <v>319</v>
      </c>
      <c r="L22" s="34" t="s">
        <v>320</v>
      </c>
      <c r="N22" s="34" t="s">
        <v>321</v>
      </c>
      <c r="P22" s="34" t="s">
        <v>322</v>
      </c>
    </row>
    <row r="23" spans="2:16" x14ac:dyDescent="0.35">
      <c r="B23" s="35" t="s">
        <v>323</v>
      </c>
      <c r="D23" s="35" t="s">
        <v>324</v>
      </c>
      <c r="F23" s="35" t="s">
        <v>325</v>
      </c>
      <c r="H23" s="35" t="s">
        <v>326</v>
      </c>
      <c r="J23" s="35" t="s">
        <v>327</v>
      </c>
      <c r="L23" s="35" t="s">
        <v>328</v>
      </c>
      <c r="N23" s="35" t="s">
        <v>329</v>
      </c>
      <c r="P23" s="35" t="s">
        <v>330</v>
      </c>
    </row>
    <row r="24" spans="2:16" x14ac:dyDescent="0.35">
      <c r="B24" s="34" t="s">
        <v>331</v>
      </c>
      <c r="D24" s="34" t="s">
        <v>332</v>
      </c>
      <c r="F24" s="34" t="s">
        <v>333</v>
      </c>
      <c r="H24" s="34" t="s">
        <v>334</v>
      </c>
      <c r="J24" s="34" t="s">
        <v>335</v>
      </c>
      <c r="L24" s="34" t="s">
        <v>336</v>
      </c>
      <c r="N24" s="34" t="s">
        <v>337</v>
      </c>
      <c r="P24" s="34" t="s">
        <v>338</v>
      </c>
    </row>
    <row r="25" spans="2:16" x14ac:dyDescent="0.35">
      <c r="B25" s="35" t="s">
        <v>339</v>
      </c>
      <c r="D25" s="35" t="s">
        <v>340</v>
      </c>
      <c r="F25" s="35" t="s">
        <v>341</v>
      </c>
      <c r="H25" s="35" t="s">
        <v>342</v>
      </c>
      <c r="J25" s="35" t="s">
        <v>343</v>
      </c>
      <c r="L25" s="35" t="s">
        <v>344</v>
      </c>
      <c r="N25" s="35" t="s">
        <v>345</v>
      </c>
      <c r="P25" s="35" t="s">
        <v>346</v>
      </c>
    </row>
    <row r="26" spans="2:16" x14ac:dyDescent="0.35">
      <c r="B26" s="98" t="s">
        <v>347</v>
      </c>
      <c r="D26" s="98" t="s">
        <v>348</v>
      </c>
      <c r="F26" s="98" t="s">
        <v>349</v>
      </c>
      <c r="H26" s="98" t="s">
        <v>350</v>
      </c>
      <c r="J26" s="98" t="s">
        <v>351</v>
      </c>
      <c r="L26" s="98" t="s">
        <v>352</v>
      </c>
      <c r="N26" s="98" t="s">
        <v>353</v>
      </c>
      <c r="P26" s="98" t="s">
        <v>354</v>
      </c>
    </row>
    <row r="27" spans="2:16" x14ac:dyDescent="0.35">
      <c r="B27" s="34" t="s">
        <v>355</v>
      </c>
      <c r="D27" s="34" t="s">
        <v>356</v>
      </c>
      <c r="F27" s="34" t="s">
        <v>357</v>
      </c>
      <c r="H27" s="34" t="s">
        <v>358</v>
      </c>
      <c r="J27" s="34" t="s">
        <v>359</v>
      </c>
      <c r="L27" s="34" t="s">
        <v>360</v>
      </c>
      <c r="N27" s="34" t="s">
        <v>361</v>
      </c>
      <c r="P27" s="34" t="s">
        <v>362</v>
      </c>
    </row>
    <row r="28" spans="2:16" x14ac:dyDescent="0.35">
      <c r="B28" s="35" t="s">
        <v>363</v>
      </c>
      <c r="D28" s="35" t="s">
        <v>364</v>
      </c>
      <c r="F28" s="35" t="s">
        <v>365</v>
      </c>
      <c r="H28" s="35" t="s">
        <v>366</v>
      </c>
      <c r="J28" s="35" t="s">
        <v>367</v>
      </c>
      <c r="L28" s="35" t="s">
        <v>368</v>
      </c>
      <c r="N28" s="35" t="s">
        <v>369</v>
      </c>
      <c r="P28" s="35" t="s">
        <v>370</v>
      </c>
    </row>
    <row r="29" spans="2:16" x14ac:dyDescent="0.35">
      <c r="B29" s="34" t="s">
        <v>371</v>
      </c>
      <c r="D29" s="34" t="s">
        <v>372</v>
      </c>
      <c r="F29" s="34" t="s">
        <v>373</v>
      </c>
      <c r="H29" s="34" t="s">
        <v>374</v>
      </c>
      <c r="J29" s="34" t="s">
        <v>375</v>
      </c>
      <c r="L29" s="34" t="s">
        <v>376</v>
      </c>
      <c r="N29" s="34" t="s">
        <v>377</v>
      </c>
      <c r="P29" s="34" t="s">
        <v>378</v>
      </c>
    </row>
    <row r="30" spans="2:16" x14ac:dyDescent="0.35">
      <c r="B30" s="35" t="s">
        <v>379</v>
      </c>
      <c r="D30" s="35" t="s">
        <v>380</v>
      </c>
      <c r="F30" s="35" t="s">
        <v>381</v>
      </c>
      <c r="H30" s="35" t="s">
        <v>382</v>
      </c>
      <c r="J30" s="35" t="s">
        <v>383</v>
      </c>
      <c r="L30" s="35" t="s">
        <v>384</v>
      </c>
      <c r="N30" s="35" t="s">
        <v>385</v>
      </c>
      <c r="P30" s="35" t="s">
        <v>386</v>
      </c>
    </row>
    <row r="31" spans="2:16" x14ac:dyDescent="0.35">
      <c r="B31" s="98" t="s">
        <v>387</v>
      </c>
      <c r="D31" s="98" t="s">
        <v>388</v>
      </c>
      <c r="F31" s="98" t="s">
        <v>389</v>
      </c>
      <c r="H31" s="98" t="s">
        <v>390</v>
      </c>
      <c r="J31" s="98" t="s">
        <v>391</v>
      </c>
      <c r="L31" s="98" t="s">
        <v>392</v>
      </c>
      <c r="N31" s="98" t="s">
        <v>393</v>
      </c>
      <c r="P31" s="98" t="s">
        <v>394</v>
      </c>
    </row>
    <row r="32" spans="2:16" x14ac:dyDescent="0.35">
      <c r="B32" s="34" t="s">
        <v>395</v>
      </c>
      <c r="D32" s="34" t="s">
        <v>396</v>
      </c>
      <c r="F32" s="34" t="s">
        <v>397</v>
      </c>
      <c r="H32" s="34" t="s">
        <v>398</v>
      </c>
      <c r="J32" s="34" t="s">
        <v>399</v>
      </c>
      <c r="L32" s="34" t="s">
        <v>400</v>
      </c>
      <c r="N32" s="34" t="s">
        <v>401</v>
      </c>
      <c r="P32" s="34" t="s">
        <v>402</v>
      </c>
    </row>
    <row r="33" spans="2:16" x14ac:dyDescent="0.35">
      <c r="B33" s="35" t="s">
        <v>403</v>
      </c>
      <c r="D33" s="35" t="s">
        <v>404</v>
      </c>
      <c r="F33" s="35" t="s">
        <v>405</v>
      </c>
      <c r="H33" s="35" t="s">
        <v>406</v>
      </c>
      <c r="J33" s="35" t="s">
        <v>407</v>
      </c>
      <c r="L33" s="35" t="s">
        <v>408</v>
      </c>
      <c r="N33" s="35" t="s">
        <v>409</v>
      </c>
      <c r="P33" s="35" t="s">
        <v>410</v>
      </c>
    </row>
    <row r="34" spans="2:16" x14ac:dyDescent="0.35">
      <c r="B34" s="34" t="s">
        <v>411</v>
      </c>
      <c r="D34" s="34" t="s">
        <v>412</v>
      </c>
      <c r="F34" s="34" t="s">
        <v>413</v>
      </c>
      <c r="H34" s="34" t="s">
        <v>414</v>
      </c>
      <c r="J34" s="34" t="s">
        <v>415</v>
      </c>
      <c r="L34" s="34" t="s">
        <v>416</v>
      </c>
      <c r="N34" s="34" t="s">
        <v>417</v>
      </c>
      <c r="P34" s="34" t="s">
        <v>418</v>
      </c>
    </row>
    <row r="35" spans="2:16" x14ac:dyDescent="0.35">
      <c r="B35" s="35" t="s">
        <v>419</v>
      </c>
      <c r="D35" s="35" t="s">
        <v>420</v>
      </c>
      <c r="F35" s="35" t="s">
        <v>421</v>
      </c>
      <c r="H35" s="35" t="s">
        <v>422</v>
      </c>
      <c r="J35" s="35" t="s">
        <v>423</v>
      </c>
      <c r="L35" s="35" t="s">
        <v>424</v>
      </c>
      <c r="N35" s="98" t="s">
        <v>425</v>
      </c>
      <c r="P35" s="98" t="s">
        <v>426</v>
      </c>
    </row>
    <row r="36" spans="2:16" x14ac:dyDescent="0.35">
      <c r="B36" s="98"/>
      <c r="D36" s="98"/>
      <c r="F36" s="98"/>
      <c r="H36" s="98"/>
      <c r="J36" s="98"/>
      <c r="L36" s="98"/>
      <c r="N36" s="34"/>
      <c r="P36" s="34"/>
    </row>
    <row r="37" spans="2:16" x14ac:dyDescent="0.35">
      <c r="B37" s="34"/>
      <c r="D37" s="34"/>
      <c r="F37" s="34"/>
      <c r="H37" s="34"/>
      <c r="J37" s="34"/>
      <c r="L37" s="98"/>
      <c r="N37" s="35"/>
      <c r="P37" s="35"/>
    </row>
    <row r="38" spans="2:16" x14ac:dyDescent="0.35">
      <c r="B38" s="35"/>
      <c r="D38" s="35"/>
      <c r="F38" s="98"/>
      <c r="H38" s="98"/>
      <c r="J38" s="98"/>
      <c r="L38" s="35"/>
      <c r="N38" s="34"/>
      <c r="P38" s="34"/>
    </row>
    <row r="39" spans="2:16" x14ac:dyDescent="0.35">
      <c r="B39" s="34"/>
      <c r="D39" s="34"/>
      <c r="F39" s="34"/>
      <c r="H39" s="34"/>
      <c r="J39" s="34"/>
      <c r="L39" s="34"/>
      <c r="N39" s="34"/>
      <c r="P39" s="34"/>
    </row>
    <row r="40" spans="2:16" x14ac:dyDescent="0.35">
      <c r="B40" s="35"/>
      <c r="D40" s="35"/>
      <c r="F40" s="35"/>
      <c r="H40" s="35"/>
      <c r="J40" s="35"/>
      <c r="L40" s="35"/>
      <c r="N40" s="35"/>
      <c r="P40" s="35"/>
    </row>
    <row r="44" spans="2:16" ht="29" x14ac:dyDescent="0.35">
      <c r="B44" s="6" t="s">
        <v>427</v>
      </c>
      <c r="D44" s="6" t="s">
        <v>428</v>
      </c>
      <c r="F44" s="6" t="s">
        <v>429</v>
      </c>
      <c r="H44" s="6" t="s">
        <v>430</v>
      </c>
      <c r="J44" s="6" t="s">
        <v>431</v>
      </c>
    </row>
    <row r="45" spans="2:16" x14ac:dyDescent="0.35">
      <c r="B45" s="34" t="s">
        <v>432</v>
      </c>
      <c r="D45" s="1" t="s">
        <v>433</v>
      </c>
      <c r="F45" s="1" t="s">
        <v>432</v>
      </c>
      <c r="H45" s="1" t="s">
        <v>434</v>
      </c>
      <c r="J45" s="1" t="s">
        <v>435</v>
      </c>
    </row>
    <row r="46" spans="2:16" x14ac:dyDescent="0.35">
      <c r="B46" s="34" t="s">
        <v>436</v>
      </c>
      <c r="D46" s="1" t="s">
        <v>437</v>
      </c>
      <c r="F46" s="1" t="s">
        <v>438</v>
      </c>
      <c r="H46" s="1" t="s">
        <v>439</v>
      </c>
      <c r="J46" s="1" t="s">
        <v>440</v>
      </c>
    </row>
    <row r="47" spans="2:16" x14ac:dyDescent="0.35">
      <c r="B47" s="35" t="s">
        <v>441</v>
      </c>
      <c r="D47" s="1" t="s">
        <v>442</v>
      </c>
      <c r="F47" s="1" t="s">
        <v>443</v>
      </c>
      <c r="H47" s="1" t="s">
        <v>444</v>
      </c>
      <c r="J47" s="1" t="s">
        <v>445</v>
      </c>
    </row>
    <row r="48" spans="2:16" x14ac:dyDescent="0.35">
      <c r="B48" s="34" t="s">
        <v>446</v>
      </c>
      <c r="D48" s="1" t="s">
        <v>447</v>
      </c>
      <c r="F48" s="1" t="s">
        <v>448</v>
      </c>
      <c r="H48" s="1" t="s">
        <v>449</v>
      </c>
      <c r="J48" s="1" t="s">
        <v>450</v>
      </c>
    </row>
    <row r="49" spans="2:10" x14ac:dyDescent="0.35">
      <c r="D49" s="1" t="s">
        <v>451</v>
      </c>
      <c r="F49" s="1" t="s">
        <v>452</v>
      </c>
      <c r="J49" s="1" t="s">
        <v>453</v>
      </c>
    </row>
    <row r="50" spans="2:10" x14ac:dyDescent="0.35">
      <c r="F50" s="1" t="s">
        <v>454</v>
      </c>
    </row>
    <row r="51" spans="2:10" x14ac:dyDescent="0.35">
      <c r="F51" s="1" t="s">
        <v>455</v>
      </c>
    </row>
    <row r="52" spans="2:10" x14ac:dyDescent="0.35">
      <c r="B52" s="6" t="s">
        <v>456</v>
      </c>
      <c r="F52" s="1" t="s">
        <v>457</v>
      </c>
    </row>
    <row r="53" spans="2:10" x14ac:dyDescent="0.35">
      <c r="B53" s="1" t="s">
        <v>458</v>
      </c>
    </row>
    <row r="54" spans="2:10" x14ac:dyDescent="0.35">
      <c r="B54" s="1" t="s">
        <v>459</v>
      </c>
    </row>
    <row r="55" spans="2:10" x14ac:dyDescent="0.35">
      <c r="B55" s="1" t="s">
        <v>460</v>
      </c>
    </row>
    <row r="56" spans="2:10" x14ac:dyDescent="0.35">
      <c r="B56" s="1" t="s">
        <v>461</v>
      </c>
    </row>
    <row r="57" spans="2:10" x14ac:dyDescent="0.35">
      <c r="B57" s="1" t="s">
        <v>462</v>
      </c>
    </row>
    <row r="58" spans="2:10" x14ac:dyDescent="0.35">
      <c r="B58" s="1" t="s">
        <v>463</v>
      </c>
    </row>
  </sheetData>
  <mergeCells count="1">
    <mergeCell ref="B2:H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F1AA0-B05A-41DD-973E-EB30C0851B69}">
  <sheetPr>
    <tabColor theme="9" tint="0.79998168889431442"/>
  </sheetPr>
  <dimension ref="A1:C13"/>
  <sheetViews>
    <sheetView workbookViewId="0">
      <selection activeCell="B10" sqref="B10"/>
    </sheetView>
  </sheetViews>
  <sheetFormatPr baseColWidth="10" defaultColWidth="8.7265625" defaultRowHeight="14.5" x14ac:dyDescent="0.35"/>
  <cols>
    <col min="1" max="1" width="32.453125" bestFit="1" customWidth="1"/>
    <col min="2" max="2" width="36.54296875" bestFit="1" customWidth="1"/>
    <col min="3" max="3" width="25.453125" bestFit="1" customWidth="1"/>
  </cols>
  <sheetData>
    <row r="1" spans="1:3" x14ac:dyDescent="0.35">
      <c r="A1" t="s">
        <v>464</v>
      </c>
      <c r="B1" s="178" t="s">
        <v>465</v>
      </c>
      <c r="C1" t="s">
        <v>466</v>
      </c>
    </row>
    <row r="2" spans="1:3" ht="29" x14ac:dyDescent="0.35">
      <c r="A2" t="s">
        <v>467</v>
      </c>
      <c r="B2" s="178" t="s">
        <v>468</v>
      </c>
      <c r="C2" t="s">
        <v>469</v>
      </c>
    </row>
    <row r="3" spans="1:3" x14ac:dyDescent="0.35">
      <c r="A3" t="s">
        <v>470</v>
      </c>
      <c r="B3" s="178" t="s">
        <v>471</v>
      </c>
      <c r="C3" t="s">
        <v>469</v>
      </c>
    </row>
    <row r="4" spans="1:3" x14ac:dyDescent="0.35">
      <c r="A4" t="s">
        <v>472</v>
      </c>
      <c r="B4" s="178" t="s">
        <v>473</v>
      </c>
      <c r="C4" t="s">
        <v>469</v>
      </c>
    </row>
    <row r="5" spans="1:3" x14ac:dyDescent="0.35">
      <c r="A5" t="s">
        <v>474</v>
      </c>
      <c r="B5" s="178" t="s">
        <v>473</v>
      </c>
      <c r="C5" t="s">
        <v>469</v>
      </c>
    </row>
    <row r="6" spans="1:3" x14ac:dyDescent="0.35">
      <c r="A6" t="s">
        <v>475</v>
      </c>
      <c r="B6" s="178" t="s">
        <v>476</v>
      </c>
      <c r="C6" t="s">
        <v>469</v>
      </c>
    </row>
    <row r="7" spans="1:3" ht="29" x14ac:dyDescent="0.35">
      <c r="A7" t="s">
        <v>477</v>
      </c>
      <c r="B7" s="178" t="s">
        <v>478</v>
      </c>
      <c r="C7" t="s">
        <v>469</v>
      </c>
    </row>
    <row r="8" spans="1:3" x14ac:dyDescent="0.35">
      <c r="A8" t="s">
        <v>257</v>
      </c>
      <c r="B8" s="178" t="s">
        <v>479</v>
      </c>
      <c r="C8" t="s">
        <v>469</v>
      </c>
    </row>
    <row r="9" spans="1:3" ht="72.5" x14ac:dyDescent="0.35">
      <c r="A9" t="s">
        <v>480</v>
      </c>
      <c r="B9" s="178" t="s">
        <v>481</v>
      </c>
      <c r="C9" t="s">
        <v>469</v>
      </c>
    </row>
    <row r="10" spans="1:3" ht="29" x14ac:dyDescent="0.35">
      <c r="A10" t="s">
        <v>482</v>
      </c>
      <c r="B10" s="178" t="s">
        <v>483</v>
      </c>
      <c r="C10" t="s">
        <v>469</v>
      </c>
    </row>
    <row r="11" spans="1:3" x14ac:dyDescent="0.35">
      <c r="A11" t="s">
        <v>484</v>
      </c>
      <c r="B11" s="178" t="s">
        <v>485</v>
      </c>
      <c r="C11" t="s">
        <v>469</v>
      </c>
    </row>
    <row r="12" spans="1:3" ht="43.5" x14ac:dyDescent="0.35">
      <c r="A12" t="s">
        <v>486</v>
      </c>
      <c r="B12" s="178" t="s">
        <v>487</v>
      </c>
      <c r="C12" t="s">
        <v>469</v>
      </c>
    </row>
    <row r="13" spans="1:3" x14ac:dyDescent="0.35">
      <c r="A13" t="s">
        <v>488</v>
      </c>
      <c r="B13" s="178"/>
      <c r="C13" t="s">
        <v>469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8CA75-EB25-4919-9C39-58487CE5FB2C}">
  <sheetPr>
    <tabColor theme="9" tint="0.79998168889431442"/>
  </sheetPr>
  <dimension ref="A1:E15"/>
  <sheetViews>
    <sheetView workbookViewId="0">
      <selection activeCell="D14" sqref="D14"/>
    </sheetView>
  </sheetViews>
  <sheetFormatPr baseColWidth="10" defaultColWidth="8.7265625" defaultRowHeight="14.5" x14ac:dyDescent="0.35"/>
  <cols>
    <col min="1" max="1" width="32.453125" bestFit="1" customWidth="1"/>
    <col min="2" max="5" width="36.54296875" bestFit="1" customWidth="1"/>
  </cols>
  <sheetData>
    <row r="1" spans="1:5" x14ac:dyDescent="0.35">
      <c r="A1" t="s">
        <v>464</v>
      </c>
      <c r="B1" s="178" t="s">
        <v>489</v>
      </c>
      <c r="C1" s="178" t="s">
        <v>490</v>
      </c>
      <c r="D1" s="178" t="s">
        <v>491</v>
      </c>
      <c r="E1" s="178" t="s">
        <v>492</v>
      </c>
    </row>
    <row r="2" spans="1:5" x14ac:dyDescent="0.35">
      <c r="A2" t="s">
        <v>467</v>
      </c>
      <c r="B2" s="178">
        <v>668</v>
      </c>
      <c r="C2" s="178">
        <v>174</v>
      </c>
      <c r="D2" s="178">
        <v>512</v>
      </c>
      <c r="E2" s="178">
        <v>171</v>
      </c>
    </row>
    <row r="3" spans="1:5" x14ac:dyDescent="0.35">
      <c r="A3" t="s">
        <v>470</v>
      </c>
      <c r="B3" s="178">
        <v>667</v>
      </c>
      <c r="C3" s="178">
        <v>174</v>
      </c>
      <c r="D3" s="178">
        <v>333</v>
      </c>
      <c r="E3" s="178">
        <v>163</v>
      </c>
    </row>
    <row r="4" spans="1:5" x14ac:dyDescent="0.35">
      <c r="A4" t="s">
        <v>472</v>
      </c>
      <c r="B4" s="178">
        <v>1</v>
      </c>
      <c r="C4" s="178">
        <v>0</v>
      </c>
      <c r="D4" s="178">
        <v>179</v>
      </c>
      <c r="E4" s="178">
        <v>8</v>
      </c>
    </row>
    <row r="5" spans="1:5" x14ac:dyDescent="0.35">
      <c r="A5" t="s">
        <v>474</v>
      </c>
      <c r="B5" s="178" t="s">
        <v>97</v>
      </c>
      <c r="C5" s="178" t="s">
        <v>97</v>
      </c>
      <c r="D5" s="178" t="s">
        <v>97</v>
      </c>
      <c r="E5" s="178" t="s">
        <v>97</v>
      </c>
    </row>
    <row r="6" spans="1:5" x14ac:dyDescent="0.35">
      <c r="A6" t="s">
        <v>475</v>
      </c>
      <c r="B6" s="178" t="s">
        <v>493</v>
      </c>
      <c r="C6" s="178" t="s">
        <v>493</v>
      </c>
      <c r="D6" s="178" t="s">
        <v>493</v>
      </c>
      <c r="E6" s="178" t="s">
        <v>493</v>
      </c>
    </row>
    <row r="7" spans="1:5" x14ac:dyDescent="0.35">
      <c r="A7" t="s">
        <v>477</v>
      </c>
      <c r="B7" s="178">
        <v>24.58</v>
      </c>
      <c r="C7" s="178">
        <v>12.38</v>
      </c>
      <c r="D7" s="178">
        <v>2.98</v>
      </c>
      <c r="E7" s="178">
        <v>17.920000000000002</v>
      </c>
    </row>
    <row r="8" spans="1:5" ht="29" x14ac:dyDescent="0.35">
      <c r="A8" t="s">
        <v>494</v>
      </c>
      <c r="B8" s="178" t="s">
        <v>495</v>
      </c>
      <c r="C8" s="178" t="s">
        <v>495</v>
      </c>
      <c r="D8" s="178" t="s">
        <v>495</v>
      </c>
      <c r="E8" s="178" t="s">
        <v>495</v>
      </c>
    </row>
    <row r="9" spans="1:5" x14ac:dyDescent="0.35">
      <c r="A9" t="s">
        <v>257</v>
      </c>
      <c r="B9" s="236">
        <v>0.7</v>
      </c>
      <c r="C9" s="236">
        <v>0.74</v>
      </c>
      <c r="D9" s="236">
        <v>0.98</v>
      </c>
      <c r="E9" s="236">
        <v>0.72</v>
      </c>
    </row>
    <row r="10" spans="1:5" x14ac:dyDescent="0.35">
      <c r="A10" t="s">
        <v>480</v>
      </c>
      <c r="B10" s="178">
        <v>65</v>
      </c>
      <c r="C10" s="178">
        <v>12</v>
      </c>
      <c r="D10" s="178">
        <v>9</v>
      </c>
      <c r="E10" s="178">
        <v>11</v>
      </c>
    </row>
    <row r="11" spans="1:5" x14ac:dyDescent="0.35">
      <c r="A11" t="s">
        <v>482</v>
      </c>
      <c r="B11" s="178">
        <v>150</v>
      </c>
      <c r="C11" s="178">
        <v>77</v>
      </c>
      <c r="D11" s="178">
        <v>80</v>
      </c>
      <c r="E11" s="178">
        <v>142</v>
      </c>
    </row>
    <row r="12" spans="1:5" x14ac:dyDescent="0.35">
      <c r="A12" t="s">
        <v>484</v>
      </c>
      <c r="B12" s="178" t="s">
        <v>496</v>
      </c>
      <c r="C12" s="178" t="s">
        <v>496</v>
      </c>
      <c r="D12" s="178" t="s">
        <v>496</v>
      </c>
      <c r="E12" s="178" t="s">
        <v>496</v>
      </c>
    </row>
    <row r="13" spans="1:5" x14ac:dyDescent="0.35">
      <c r="A13" t="s">
        <v>486</v>
      </c>
      <c r="B13" s="178">
        <v>8</v>
      </c>
      <c r="C13" s="178">
        <v>2</v>
      </c>
      <c r="D13" s="178">
        <v>6</v>
      </c>
      <c r="E13" s="178">
        <v>1</v>
      </c>
    </row>
    <row r="14" spans="1:5" x14ac:dyDescent="0.35">
      <c r="A14" t="s">
        <v>488</v>
      </c>
      <c r="B14" s="178">
        <v>0</v>
      </c>
      <c r="C14" s="178">
        <v>0</v>
      </c>
      <c r="D14" s="178">
        <v>0</v>
      </c>
      <c r="E14" s="178">
        <v>0</v>
      </c>
    </row>
    <row r="15" spans="1:5" x14ac:dyDescent="0.35">
      <c r="B15" s="178"/>
      <c r="C15" s="178"/>
      <c r="D15" s="178"/>
      <c r="E15" s="17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637C3-3ACF-48DF-9A4B-3F521E8F0B3D}">
  <sheetPr>
    <tabColor theme="0" tint="-0.249977111117893"/>
  </sheetPr>
  <dimension ref="A1:A247"/>
  <sheetViews>
    <sheetView topLeftCell="M1" workbookViewId="0">
      <selection activeCell="O12" sqref="O12"/>
    </sheetView>
  </sheetViews>
  <sheetFormatPr baseColWidth="10" defaultColWidth="8.7265625" defaultRowHeight="14.5" x14ac:dyDescent="0.35"/>
  <cols>
    <col min="1" max="1" width="36.54296875" bestFit="1" customWidth="1"/>
  </cols>
  <sheetData>
    <row r="1" spans="1:1" x14ac:dyDescent="0.35">
      <c r="A1" s="171" t="s">
        <v>497</v>
      </c>
    </row>
    <row r="48" spans="1:1" ht="16.5" x14ac:dyDescent="0.45">
      <c r="A48" s="142"/>
    </row>
    <row r="49" spans="1:1" ht="15" x14ac:dyDescent="0.4">
      <c r="A49" s="143" t="s">
        <v>498</v>
      </c>
    </row>
    <row r="50" spans="1:1" ht="15" x14ac:dyDescent="0.4">
      <c r="A50" s="144" t="s">
        <v>499</v>
      </c>
    </row>
    <row r="51" spans="1:1" ht="16.5" x14ac:dyDescent="0.45">
      <c r="A51" s="145" t="s">
        <v>500</v>
      </c>
    </row>
    <row r="52" spans="1:1" ht="16.5" x14ac:dyDescent="0.45">
      <c r="A52" s="145" t="s">
        <v>501</v>
      </c>
    </row>
    <row r="53" spans="1:1" ht="16.5" x14ac:dyDescent="0.45">
      <c r="A53" s="145" t="s">
        <v>502</v>
      </c>
    </row>
    <row r="54" spans="1:1" ht="16.5" x14ac:dyDescent="0.45">
      <c r="A54" s="145" t="s">
        <v>503</v>
      </c>
    </row>
    <row r="55" spans="1:1" ht="16.5" x14ac:dyDescent="0.45">
      <c r="A55" s="145" t="s">
        <v>504</v>
      </c>
    </row>
    <row r="56" spans="1:1" ht="16.5" x14ac:dyDescent="0.45">
      <c r="A56" s="145" t="s">
        <v>505</v>
      </c>
    </row>
    <row r="57" spans="1:1" ht="16.5" x14ac:dyDescent="0.45">
      <c r="A57" s="145" t="s">
        <v>506</v>
      </c>
    </row>
    <row r="58" spans="1:1" ht="16.5" x14ac:dyDescent="0.45">
      <c r="A58" s="145" t="s">
        <v>507</v>
      </c>
    </row>
    <row r="59" spans="1:1" ht="16.5" x14ac:dyDescent="0.45">
      <c r="A59" s="145" t="s">
        <v>508</v>
      </c>
    </row>
    <row r="60" spans="1:1" ht="16.5" x14ac:dyDescent="0.45">
      <c r="A60" s="145" t="s">
        <v>509</v>
      </c>
    </row>
    <row r="61" spans="1:1" ht="16.5" x14ac:dyDescent="0.45">
      <c r="A61" s="145" t="s">
        <v>510</v>
      </c>
    </row>
    <row r="62" spans="1:1" ht="16.5" x14ac:dyDescent="0.45">
      <c r="A62" s="145" t="s">
        <v>511</v>
      </c>
    </row>
    <row r="63" spans="1:1" ht="16.5" x14ac:dyDescent="0.45">
      <c r="A63" s="145" t="s">
        <v>512</v>
      </c>
    </row>
    <row r="64" spans="1:1" ht="16.5" x14ac:dyDescent="0.45">
      <c r="A64" s="145" t="s">
        <v>513</v>
      </c>
    </row>
    <row r="65" spans="1:1" ht="16.5" x14ac:dyDescent="0.45">
      <c r="A65" s="146" t="s">
        <v>514</v>
      </c>
    </row>
    <row r="66" spans="1:1" ht="16.5" x14ac:dyDescent="0.45">
      <c r="A66" s="142"/>
    </row>
    <row r="67" spans="1:1" ht="15" x14ac:dyDescent="0.4">
      <c r="A67" s="143" t="s">
        <v>515</v>
      </c>
    </row>
    <row r="68" spans="1:1" ht="15" x14ac:dyDescent="0.4">
      <c r="A68" s="144" t="s">
        <v>516</v>
      </c>
    </row>
    <row r="69" spans="1:1" ht="16.5" x14ac:dyDescent="0.45">
      <c r="A69" s="145" t="s">
        <v>517</v>
      </c>
    </row>
    <row r="70" spans="1:1" ht="16.5" x14ac:dyDescent="0.45">
      <c r="A70" s="145" t="s">
        <v>518</v>
      </c>
    </row>
    <row r="71" spans="1:1" ht="16.5" x14ac:dyDescent="0.45">
      <c r="A71" s="145" t="s">
        <v>519</v>
      </c>
    </row>
    <row r="72" spans="1:1" ht="16.5" x14ac:dyDescent="0.45">
      <c r="A72" s="145" t="s">
        <v>520</v>
      </c>
    </row>
    <row r="73" spans="1:1" ht="16.5" x14ac:dyDescent="0.45">
      <c r="A73" s="142"/>
    </row>
    <row r="74" spans="1:1" ht="15" x14ac:dyDescent="0.4">
      <c r="A74" s="143" t="s">
        <v>521</v>
      </c>
    </row>
    <row r="75" spans="1:1" ht="15" x14ac:dyDescent="0.4">
      <c r="A75" s="144" t="s">
        <v>522</v>
      </c>
    </row>
    <row r="76" spans="1:1" ht="16.5" x14ac:dyDescent="0.45">
      <c r="A76" s="145" t="s">
        <v>523</v>
      </c>
    </row>
    <row r="77" spans="1:1" ht="16.5" x14ac:dyDescent="0.45">
      <c r="A77" s="145" t="s">
        <v>524</v>
      </c>
    </row>
    <row r="78" spans="1:1" ht="16.5" x14ac:dyDescent="0.45">
      <c r="A78" s="147" t="s">
        <v>525</v>
      </c>
    </row>
    <row r="79" spans="1:1" ht="15" x14ac:dyDescent="0.4">
      <c r="A79" s="143" t="s">
        <v>498</v>
      </c>
    </row>
    <row r="80" spans="1:1" ht="15" x14ac:dyDescent="0.4">
      <c r="A80" s="144" t="s">
        <v>526</v>
      </c>
    </row>
    <row r="81" spans="1:1" ht="16.5" x14ac:dyDescent="0.45">
      <c r="A81" s="145" t="s">
        <v>527</v>
      </c>
    </row>
    <row r="82" spans="1:1" ht="16.5" x14ac:dyDescent="0.45">
      <c r="A82" s="145" t="s">
        <v>528</v>
      </c>
    </row>
    <row r="83" spans="1:1" ht="16.5" x14ac:dyDescent="0.45">
      <c r="A83" s="142"/>
    </row>
    <row r="84" spans="1:1" ht="15" x14ac:dyDescent="0.4">
      <c r="A84" s="143" t="s">
        <v>521</v>
      </c>
    </row>
    <row r="85" spans="1:1" ht="15" x14ac:dyDescent="0.4">
      <c r="A85" s="144" t="s">
        <v>529</v>
      </c>
    </row>
    <row r="86" spans="1:1" ht="16.5" x14ac:dyDescent="0.45">
      <c r="A86" s="145" t="s">
        <v>530</v>
      </c>
    </row>
    <row r="87" spans="1:1" ht="16.5" x14ac:dyDescent="0.45">
      <c r="A87" s="145" t="s">
        <v>531</v>
      </c>
    </row>
    <row r="88" spans="1:1" ht="16.5" x14ac:dyDescent="0.45">
      <c r="A88" s="147" t="s">
        <v>525</v>
      </c>
    </row>
    <row r="89" spans="1:1" ht="15" x14ac:dyDescent="0.4">
      <c r="A89" s="143" t="s">
        <v>498</v>
      </c>
    </row>
    <row r="90" spans="1:1" ht="15" x14ac:dyDescent="0.4">
      <c r="A90" s="144" t="s">
        <v>532</v>
      </c>
    </row>
    <row r="91" spans="1:1" ht="16.5" x14ac:dyDescent="0.45">
      <c r="A91" s="145" t="s">
        <v>533</v>
      </c>
    </row>
    <row r="92" spans="1:1" ht="16.5" x14ac:dyDescent="0.45">
      <c r="A92" s="145" t="s">
        <v>534</v>
      </c>
    </row>
    <row r="93" spans="1:1" ht="16.5" x14ac:dyDescent="0.45">
      <c r="A93" s="145" t="s">
        <v>535</v>
      </c>
    </row>
    <row r="94" spans="1:1" ht="16.5" x14ac:dyDescent="0.45">
      <c r="A94" s="145" t="s">
        <v>536</v>
      </c>
    </row>
    <row r="95" spans="1:1" ht="16.5" x14ac:dyDescent="0.45">
      <c r="A95" s="145" t="s">
        <v>537</v>
      </c>
    </row>
    <row r="96" spans="1:1" ht="16.5" x14ac:dyDescent="0.45">
      <c r="A96" s="145" t="s">
        <v>538</v>
      </c>
    </row>
    <row r="97" spans="1:1" ht="16.5" x14ac:dyDescent="0.45">
      <c r="A97" s="142"/>
    </row>
    <row r="98" spans="1:1" ht="15" x14ac:dyDescent="0.4">
      <c r="A98" s="143" t="s">
        <v>539</v>
      </c>
    </row>
    <row r="99" spans="1:1" ht="15" x14ac:dyDescent="0.4">
      <c r="A99" s="144" t="s">
        <v>540</v>
      </c>
    </row>
    <row r="100" spans="1:1" ht="16.5" x14ac:dyDescent="0.45">
      <c r="A100" s="145" t="s">
        <v>541</v>
      </c>
    </row>
    <row r="101" spans="1:1" ht="16.5" x14ac:dyDescent="0.45">
      <c r="A101" s="145" t="s">
        <v>542</v>
      </c>
    </row>
    <row r="102" spans="1:1" ht="16.5" x14ac:dyDescent="0.45">
      <c r="A102" s="145" t="s">
        <v>543</v>
      </c>
    </row>
    <row r="103" spans="1:1" ht="16.5" x14ac:dyDescent="0.45">
      <c r="A103" s="145" t="s">
        <v>544</v>
      </c>
    </row>
    <row r="104" spans="1:1" ht="16.5" x14ac:dyDescent="0.45">
      <c r="A104" s="146" t="s">
        <v>514</v>
      </c>
    </row>
    <row r="105" spans="1:1" ht="15" x14ac:dyDescent="0.4">
      <c r="A105" s="143" t="s">
        <v>515</v>
      </c>
    </row>
    <row r="106" spans="1:1" ht="15" x14ac:dyDescent="0.4">
      <c r="A106" s="144" t="s">
        <v>545</v>
      </c>
    </row>
    <row r="107" spans="1:1" ht="16.5" x14ac:dyDescent="0.45">
      <c r="A107" s="145" t="s">
        <v>546</v>
      </c>
    </row>
    <row r="108" spans="1:1" ht="16.5" x14ac:dyDescent="0.45">
      <c r="A108" s="145" t="s">
        <v>547</v>
      </c>
    </row>
    <row r="109" spans="1:1" ht="16.5" x14ac:dyDescent="0.45">
      <c r="A109" s="142"/>
    </row>
    <row r="110" spans="1:1" ht="15" x14ac:dyDescent="0.4">
      <c r="A110" s="143" t="s">
        <v>539</v>
      </c>
    </row>
    <row r="111" spans="1:1" ht="15" x14ac:dyDescent="0.4">
      <c r="A111" s="144" t="s">
        <v>548</v>
      </c>
    </row>
    <row r="112" spans="1:1" ht="16.5" x14ac:dyDescent="0.45">
      <c r="A112" s="145" t="s">
        <v>549</v>
      </c>
    </row>
    <row r="113" spans="1:1" ht="16.5" x14ac:dyDescent="0.45">
      <c r="A113" s="145" t="s">
        <v>550</v>
      </c>
    </row>
    <row r="114" spans="1:1" ht="16.5" x14ac:dyDescent="0.45">
      <c r="A114" s="142"/>
    </row>
    <row r="115" spans="1:1" ht="15" x14ac:dyDescent="0.4">
      <c r="A115" s="143" t="s">
        <v>521</v>
      </c>
    </row>
    <row r="116" spans="1:1" ht="15" x14ac:dyDescent="0.4">
      <c r="A116" s="144" t="s">
        <v>551</v>
      </c>
    </row>
    <row r="117" spans="1:1" ht="16.5" x14ac:dyDescent="0.45">
      <c r="A117" s="145" t="s">
        <v>552</v>
      </c>
    </row>
    <row r="118" spans="1:1" ht="16.5" x14ac:dyDescent="0.45">
      <c r="A118" s="145" t="s">
        <v>553</v>
      </c>
    </row>
    <row r="119" spans="1:1" ht="16.5" x14ac:dyDescent="0.45">
      <c r="A119" s="146" t="s">
        <v>514</v>
      </c>
    </row>
    <row r="120" spans="1:1" ht="15" x14ac:dyDescent="0.4">
      <c r="A120" s="143" t="s">
        <v>515</v>
      </c>
    </row>
    <row r="121" spans="1:1" ht="15" x14ac:dyDescent="0.4">
      <c r="A121" s="144" t="s">
        <v>554</v>
      </c>
    </row>
    <row r="122" spans="1:1" ht="16.5" x14ac:dyDescent="0.45">
      <c r="A122" s="145" t="s">
        <v>555</v>
      </c>
    </row>
    <row r="123" spans="1:1" ht="16.5" x14ac:dyDescent="0.45">
      <c r="A123" s="145" t="s">
        <v>556</v>
      </c>
    </row>
    <row r="124" spans="1:1" ht="16.5" x14ac:dyDescent="0.45">
      <c r="A124" s="142"/>
    </row>
    <row r="125" spans="1:1" ht="15" x14ac:dyDescent="0.4">
      <c r="A125" s="143" t="s">
        <v>539</v>
      </c>
    </row>
    <row r="126" spans="1:1" ht="15" x14ac:dyDescent="0.4">
      <c r="A126" s="144" t="s">
        <v>557</v>
      </c>
    </row>
    <row r="127" spans="1:1" ht="16.5" x14ac:dyDescent="0.45">
      <c r="A127" s="145" t="s">
        <v>558</v>
      </c>
    </row>
    <row r="128" spans="1:1" ht="16.5" x14ac:dyDescent="0.45">
      <c r="A128" s="145" t="s">
        <v>559</v>
      </c>
    </row>
    <row r="129" spans="1:1" ht="16.5" x14ac:dyDescent="0.45">
      <c r="A129" s="147" t="s">
        <v>525</v>
      </c>
    </row>
    <row r="130" spans="1:1" ht="15" x14ac:dyDescent="0.4">
      <c r="A130" s="143" t="s">
        <v>498</v>
      </c>
    </row>
    <row r="131" spans="1:1" ht="15" x14ac:dyDescent="0.4">
      <c r="A131" s="144" t="s">
        <v>560</v>
      </c>
    </row>
    <row r="132" spans="1:1" ht="16.5" x14ac:dyDescent="0.45">
      <c r="A132" s="145" t="s">
        <v>561</v>
      </c>
    </row>
    <row r="133" spans="1:1" ht="16.5" x14ac:dyDescent="0.45">
      <c r="A133" s="145" t="s">
        <v>556</v>
      </c>
    </row>
    <row r="134" spans="1:1" ht="16.5" x14ac:dyDescent="0.45">
      <c r="A134" s="145" t="s">
        <v>562</v>
      </c>
    </row>
    <row r="135" spans="1:1" ht="16.5" x14ac:dyDescent="0.45">
      <c r="A135" s="145" t="s">
        <v>563</v>
      </c>
    </row>
    <row r="136" spans="1:1" ht="16.5" x14ac:dyDescent="0.45">
      <c r="A136" s="142"/>
    </row>
    <row r="137" spans="1:1" ht="15" x14ac:dyDescent="0.4">
      <c r="A137" s="143" t="s">
        <v>539</v>
      </c>
    </row>
    <row r="138" spans="1:1" ht="15" x14ac:dyDescent="0.4">
      <c r="A138" s="144" t="s">
        <v>564</v>
      </c>
    </row>
    <row r="139" spans="1:1" ht="16.5" x14ac:dyDescent="0.45">
      <c r="A139" s="145" t="s">
        <v>565</v>
      </c>
    </row>
    <row r="140" spans="1:1" ht="16.5" x14ac:dyDescent="0.45">
      <c r="A140" s="145" t="s">
        <v>534</v>
      </c>
    </row>
    <row r="141" spans="1:1" ht="16.5" x14ac:dyDescent="0.45">
      <c r="A141" s="142"/>
    </row>
    <row r="142" spans="1:1" ht="15" x14ac:dyDescent="0.4">
      <c r="A142" s="143" t="s">
        <v>521</v>
      </c>
    </row>
    <row r="143" spans="1:1" ht="15" x14ac:dyDescent="0.4">
      <c r="A143" s="144" t="s">
        <v>566</v>
      </c>
    </row>
    <row r="144" spans="1:1" ht="16.5" x14ac:dyDescent="0.45">
      <c r="A144" s="145" t="s">
        <v>567</v>
      </c>
    </row>
    <row r="145" spans="1:1" ht="16.5" x14ac:dyDescent="0.45">
      <c r="A145" s="145" t="s">
        <v>568</v>
      </c>
    </row>
    <row r="146" spans="1:1" ht="16.5" x14ac:dyDescent="0.45">
      <c r="A146" s="146" t="s">
        <v>514</v>
      </c>
    </row>
    <row r="147" spans="1:1" ht="15" x14ac:dyDescent="0.4">
      <c r="A147" s="143" t="s">
        <v>515</v>
      </c>
    </row>
    <row r="148" spans="1:1" ht="15" x14ac:dyDescent="0.4">
      <c r="A148" s="144" t="s">
        <v>566</v>
      </c>
    </row>
    <row r="149" spans="1:1" ht="16.5" x14ac:dyDescent="0.45">
      <c r="A149" s="145" t="s">
        <v>569</v>
      </c>
    </row>
    <row r="150" spans="1:1" ht="16.5" x14ac:dyDescent="0.45">
      <c r="A150" s="145" t="s">
        <v>570</v>
      </c>
    </row>
    <row r="151" spans="1:1" ht="16.5" x14ac:dyDescent="0.45">
      <c r="A151" s="142"/>
    </row>
    <row r="152" spans="1:1" ht="15" x14ac:dyDescent="0.4">
      <c r="A152" s="143" t="s">
        <v>539</v>
      </c>
    </row>
    <row r="153" spans="1:1" ht="15" x14ac:dyDescent="0.4">
      <c r="A153" s="144" t="s">
        <v>571</v>
      </c>
    </row>
    <row r="154" spans="1:1" ht="16.5" x14ac:dyDescent="0.45">
      <c r="A154" s="145" t="s">
        <v>572</v>
      </c>
    </row>
    <row r="155" spans="1:1" ht="16.5" x14ac:dyDescent="0.45">
      <c r="A155" s="145" t="s">
        <v>573</v>
      </c>
    </row>
    <row r="156" spans="1:1" ht="16.5" x14ac:dyDescent="0.45">
      <c r="A156" s="146" t="s">
        <v>514</v>
      </c>
    </row>
    <row r="157" spans="1:1" ht="15" x14ac:dyDescent="0.4">
      <c r="A157" s="143" t="s">
        <v>515</v>
      </c>
    </row>
    <row r="158" spans="1:1" ht="15" x14ac:dyDescent="0.4">
      <c r="A158" s="144" t="s">
        <v>571</v>
      </c>
    </row>
    <row r="159" spans="1:1" ht="16.5" x14ac:dyDescent="0.45">
      <c r="A159" s="145" t="s">
        <v>574</v>
      </c>
    </row>
    <row r="160" spans="1:1" ht="16.5" x14ac:dyDescent="0.45">
      <c r="A160" s="145" t="s">
        <v>575</v>
      </c>
    </row>
    <row r="161" spans="1:1" ht="16.5" x14ac:dyDescent="0.45">
      <c r="A161" s="147" t="s">
        <v>525</v>
      </c>
    </row>
    <row r="162" spans="1:1" ht="15" x14ac:dyDescent="0.4">
      <c r="A162" s="143" t="s">
        <v>498</v>
      </c>
    </row>
    <row r="163" spans="1:1" ht="15" x14ac:dyDescent="0.4">
      <c r="A163" s="144" t="s">
        <v>576</v>
      </c>
    </row>
    <row r="164" spans="1:1" ht="16.5" x14ac:dyDescent="0.45">
      <c r="A164" s="145" t="s">
        <v>577</v>
      </c>
    </row>
    <row r="165" spans="1:1" ht="16.5" x14ac:dyDescent="0.45">
      <c r="A165" s="145" t="s">
        <v>578</v>
      </c>
    </row>
    <row r="166" spans="1:1" ht="16.5" x14ac:dyDescent="0.45">
      <c r="A166" s="146" t="s">
        <v>514</v>
      </c>
    </row>
    <row r="167" spans="1:1" ht="15" x14ac:dyDescent="0.4">
      <c r="A167" s="143" t="s">
        <v>515</v>
      </c>
    </row>
    <row r="168" spans="1:1" ht="15" x14ac:dyDescent="0.4">
      <c r="A168" s="144" t="s">
        <v>579</v>
      </c>
    </row>
    <row r="169" spans="1:1" ht="16.5" x14ac:dyDescent="0.45">
      <c r="A169" s="145" t="s">
        <v>580</v>
      </c>
    </row>
    <row r="170" spans="1:1" ht="16.5" x14ac:dyDescent="0.45">
      <c r="A170" s="145" t="s">
        <v>581</v>
      </c>
    </row>
    <row r="171" spans="1:1" ht="16.5" x14ac:dyDescent="0.45">
      <c r="A171" s="147" t="s">
        <v>525</v>
      </c>
    </row>
    <row r="172" spans="1:1" ht="15" x14ac:dyDescent="0.4">
      <c r="A172" s="143" t="s">
        <v>498</v>
      </c>
    </row>
    <row r="173" spans="1:1" ht="15" x14ac:dyDescent="0.4">
      <c r="A173" s="144" t="s">
        <v>582</v>
      </c>
    </row>
    <row r="174" spans="1:1" ht="16.5" x14ac:dyDescent="0.45">
      <c r="A174" s="145" t="s">
        <v>583</v>
      </c>
    </row>
    <row r="175" spans="1:1" ht="16.5" x14ac:dyDescent="0.45">
      <c r="A175" s="145" t="s">
        <v>584</v>
      </c>
    </row>
    <row r="176" spans="1:1" ht="16.5" x14ac:dyDescent="0.45">
      <c r="A176" s="142"/>
    </row>
    <row r="177" spans="1:1" ht="15" x14ac:dyDescent="0.4">
      <c r="A177" s="143" t="s">
        <v>521</v>
      </c>
    </row>
    <row r="178" spans="1:1" ht="15" x14ac:dyDescent="0.4">
      <c r="A178" s="144" t="s">
        <v>582</v>
      </c>
    </row>
    <row r="179" spans="1:1" ht="16.5" x14ac:dyDescent="0.45">
      <c r="A179" s="145" t="s">
        <v>585</v>
      </c>
    </row>
    <row r="180" spans="1:1" ht="16.5" x14ac:dyDescent="0.45">
      <c r="A180" s="145" t="s">
        <v>586</v>
      </c>
    </row>
    <row r="181" spans="1:1" ht="16.5" x14ac:dyDescent="0.45">
      <c r="A181" s="145" t="s">
        <v>587</v>
      </c>
    </row>
    <row r="182" spans="1:1" ht="16.5" x14ac:dyDescent="0.45">
      <c r="A182" s="145" t="s">
        <v>588</v>
      </c>
    </row>
    <row r="183" spans="1:1" ht="16.5" x14ac:dyDescent="0.45">
      <c r="A183" s="145" t="s">
        <v>589</v>
      </c>
    </row>
    <row r="184" spans="1:1" ht="16.5" x14ac:dyDescent="0.45">
      <c r="A184" s="145" t="s">
        <v>590</v>
      </c>
    </row>
    <row r="185" spans="1:1" ht="16.5" x14ac:dyDescent="0.45">
      <c r="A185" s="147" t="s">
        <v>525</v>
      </c>
    </row>
    <row r="186" spans="1:1" ht="15" x14ac:dyDescent="0.4">
      <c r="A186" s="143" t="s">
        <v>498</v>
      </c>
    </row>
    <row r="187" spans="1:1" ht="15" x14ac:dyDescent="0.4">
      <c r="A187" s="144" t="s">
        <v>591</v>
      </c>
    </row>
    <row r="188" spans="1:1" ht="16.5" x14ac:dyDescent="0.45">
      <c r="A188" s="145" t="s">
        <v>592</v>
      </c>
    </row>
    <row r="189" spans="1:1" ht="16.5" x14ac:dyDescent="0.45">
      <c r="A189" s="145" t="s">
        <v>593</v>
      </c>
    </row>
    <row r="190" spans="1:1" ht="16.5" x14ac:dyDescent="0.45">
      <c r="A190" s="142"/>
    </row>
    <row r="191" spans="1:1" ht="15" x14ac:dyDescent="0.4">
      <c r="A191" s="143" t="s">
        <v>521</v>
      </c>
    </row>
    <row r="192" spans="1:1" ht="15" x14ac:dyDescent="0.4">
      <c r="A192" s="144" t="s">
        <v>594</v>
      </c>
    </row>
    <row r="193" spans="1:1" ht="16.5" x14ac:dyDescent="0.45">
      <c r="A193" s="145" t="s">
        <v>595</v>
      </c>
    </row>
    <row r="194" spans="1:1" ht="16.5" x14ac:dyDescent="0.45">
      <c r="A194" s="145" t="s">
        <v>596</v>
      </c>
    </row>
    <row r="195" spans="1:1" ht="16.5" x14ac:dyDescent="0.45">
      <c r="A195" s="147" t="s">
        <v>525</v>
      </c>
    </row>
    <row r="196" spans="1:1" ht="15" x14ac:dyDescent="0.4">
      <c r="A196" s="143" t="s">
        <v>498</v>
      </c>
    </row>
    <row r="197" spans="1:1" ht="15" x14ac:dyDescent="0.4">
      <c r="A197" s="144" t="s">
        <v>597</v>
      </c>
    </row>
    <row r="198" spans="1:1" ht="16.5" x14ac:dyDescent="0.45">
      <c r="A198" s="145" t="s">
        <v>598</v>
      </c>
    </row>
    <row r="199" spans="1:1" ht="16.5" x14ac:dyDescent="0.45">
      <c r="A199" s="145" t="s">
        <v>599</v>
      </c>
    </row>
    <row r="200" spans="1:1" ht="16.5" x14ac:dyDescent="0.45">
      <c r="A200" s="142"/>
    </row>
    <row r="201" spans="1:1" ht="15" x14ac:dyDescent="0.4">
      <c r="A201" s="143" t="s">
        <v>521</v>
      </c>
    </row>
    <row r="202" spans="1:1" ht="15" x14ac:dyDescent="0.4">
      <c r="A202" s="144" t="s">
        <v>600</v>
      </c>
    </row>
    <row r="203" spans="1:1" ht="16.5" x14ac:dyDescent="0.45">
      <c r="A203" s="145" t="s">
        <v>601</v>
      </c>
    </row>
    <row r="204" spans="1:1" ht="16.5" x14ac:dyDescent="0.45">
      <c r="A204" s="145" t="s">
        <v>542</v>
      </c>
    </row>
    <row r="205" spans="1:1" ht="16.5" x14ac:dyDescent="0.45">
      <c r="A205" s="146" t="s">
        <v>514</v>
      </c>
    </row>
    <row r="206" spans="1:1" ht="15" x14ac:dyDescent="0.4">
      <c r="A206" s="143" t="s">
        <v>515</v>
      </c>
    </row>
    <row r="207" spans="1:1" ht="15" x14ac:dyDescent="0.4">
      <c r="A207" s="144" t="s">
        <v>602</v>
      </c>
    </row>
    <row r="208" spans="1:1" ht="16.5" x14ac:dyDescent="0.45">
      <c r="A208" s="145" t="s">
        <v>603</v>
      </c>
    </row>
    <row r="209" spans="1:1" ht="16.5" x14ac:dyDescent="0.45">
      <c r="A209" s="145" t="s">
        <v>604</v>
      </c>
    </row>
    <row r="210" spans="1:1" ht="16.5" x14ac:dyDescent="0.45">
      <c r="A210" s="145" t="s">
        <v>605</v>
      </c>
    </row>
    <row r="211" spans="1:1" ht="16.5" x14ac:dyDescent="0.45">
      <c r="A211" s="145" t="s">
        <v>606</v>
      </c>
    </row>
    <row r="212" spans="1:1" ht="16.5" x14ac:dyDescent="0.45">
      <c r="A212" s="142"/>
    </row>
    <row r="213" spans="1:1" ht="15" x14ac:dyDescent="0.4">
      <c r="A213" s="143" t="s">
        <v>521</v>
      </c>
    </row>
    <row r="214" spans="1:1" ht="15" x14ac:dyDescent="0.4">
      <c r="A214" s="144" t="s">
        <v>607</v>
      </c>
    </row>
    <row r="215" spans="1:1" ht="16.5" x14ac:dyDescent="0.45">
      <c r="A215" s="145" t="s">
        <v>608</v>
      </c>
    </row>
    <row r="216" spans="1:1" ht="16.5" x14ac:dyDescent="0.45">
      <c r="A216" s="145" t="s">
        <v>609</v>
      </c>
    </row>
    <row r="217" spans="1:1" ht="16.5" x14ac:dyDescent="0.45">
      <c r="A217" s="147" t="s">
        <v>525</v>
      </c>
    </row>
    <row r="218" spans="1:1" ht="15" x14ac:dyDescent="0.4">
      <c r="A218" s="143" t="s">
        <v>498</v>
      </c>
    </row>
    <row r="219" spans="1:1" ht="15" x14ac:dyDescent="0.4">
      <c r="A219" s="144" t="s">
        <v>607</v>
      </c>
    </row>
    <row r="220" spans="1:1" ht="16.5" x14ac:dyDescent="0.45">
      <c r="A220" s="145" t="s">
        <v>610</v>
      </c>
    </row>
    <row r="221" spans="1:1" ht="16.5" x14ac:dyDescent="0.45">
      <c r="A221" s="145" t="s">
        <v>611</v>
      </c>
    </row>
    <row r="222" spans="1:1" ht="16.5" x14ac:dyDescent="0.45">
      <c r="A222" s="146" t="s">
        <v>612</v>
      </c>
    </row>
    <row r="223" spans="1:1" ht="15" x14ac:dyDescent="0.4">
      <c r="A223" s="143" t="s">
        <v>613</v>
      </c>
    </row>
    <row r="224" spans="1:1" ht="15" x14ac:dyDescent="0.4">
      <c r="A224" s="144" t="s">
        <v>614</v>
      </c>
    </row>
    <row r="225" spans="1:1" ht="16.5" x14ac:dyDescent="0.45">
      <c r="A225" s="145" t="s">
        <v>615</v>
      </c>
    </row>
    <row r="226" spans="1:1" ht="16.5" x14ac:dyDescent="0.45">
      <c r="A226" s="145" t="s">
        <v>616</v>
      </c>
    </row>
    <row r="227" spans="1:1" ht="16.5" x14ac:dyDescent="0.45">
      <c r="A227" s="142"/>
    </row>
    <row r="228" spans="1:1" ht="15" x14ac:dyDescent="0.4">
      <c r="A228" s="143" t="s">
        <v>539</v>
      </c>
    </row>
    <row r="229" spans="1:1" ht="15" x14ac:dyDescent="0.4">
      <c r="A229" s="144" t="s">
        <v>617</v>
      </c>
    </row>
    <row r="230" spans="1:1" ht="16.5" x14ac:dyDescent="0.45">
      <c r="A230" s="145" t="s">
        <v>618</v>
      </c>
    </row>
    <row r="231" spans="1:1" ht="16.5" x14ac:dyDescent="0.45">
      <c r="A231" s="145" t="s">
        <v>534</v>
      </c>
    </row>
    <row r="232" spans="1:1" ht="16.5" x14ac:dyDescent="0.45">
      <c r="A232" s="145" t="s">
        <v>619</v>
      </c>
    </row>
    <row r="233" spans="1:1" ht="16.5" x14ac:dyDescent="0.45">
      <c r="A233" s="145" t="s">
        <v>620</v>
      </c>
    </row>
    <row r="234" spans="1:1" ht="16.5" x14ac:dyDescent="0.45">
      <c r="A234" s="145" t="s">
        <v>621</v>
      </c>
    </row>
    <row r="235" spans="1:1" ht="16.5" x14ac:dyDescent="0.45">
      <c r="A235" s="145" t="s">
        <v>622</v>
      </c>
    </row>
    <row r="236" spans="1:1" ht="16.5" x14ac:dyDescent="0.45">
      <c r="A236" s="145" t="s">
        <v>623</v>
      </c>
    </row>
    <row r="237" spans="1:1" ht="16.5" x14ac:dyDescent="0.45">
      <c r="A237" s="145" t="s">
        <v>624</v>
      </c>
    </row>
    <row r="238" spans="1:1" ht="16.5" x14ac:dyDescent="0.45">
      <c r="A238" s="142"/>
    </row>
    <row r="239" spans="1:1" ht="15" x14ac:dyDescent="0.4">
      <c r="A239" s="143" t="s">
        <v>521</v>
      </c>
    </row>
    <row r="240" spans="1:1" ht="15" x14ac:dyDescent="0.4">
      <c r="A240" s="144" t="s">
        <v>625</v>
      </c>
    </row>
    <row r="241" spans="1:1" ht="16.5" x14ac:dyDescent="0.45">
      <c r="A241" s="145" t="s">
        <v>626</v>
      </c>
    </row>
    <row r="242" spans="1:1" ht="16.5" x14ac:dyDescent="0.45">
      <c r="A242" s="145" t="s">
        <v>627</v>
      </c>
    </row>
    <row r="243" spans="1:1" ht="16.5" x14ac:dyDescent="0.45">
      <c r="A243" s="146" t="s">
        <v>612</v>
      </c>
    </row>
    <row r="244" spans="1:1" ht="15" x14ac:dyDescent="0.4">
      <c r="A244" s="143" t="s">
        <v>613</v>
      </c>
    </row>
    <row r="245" spans="1:1" ht="15" x14ac:dyDescent="0.4">
      <c r="A245" s="144" t="s">
        <v>628</v>
      </c>
    </row>
    <row r="246" spans="1:1" ht="16.5" x14ac:dyDescent="0.45">
      <c r="A246" s="145" t="s">
        <v>629</v>
      </c>
    </row>
    <row r="247" spans="1:1" ht="16.5" x14ac:dyDescent="0.45">
      <c r="A247" s="148" t="s">
        <v>616</v>
      </c>
    </row>
  </sheetData>
  <hyperlinks>
    <hyperlink ref="A1" r:id="rId1" xr:uid="{C1A7F86C-0DC5-4A21-AF67-0566491302C5}"/>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C560E-7953-4811-8919-FA647594882A}">
  <sheetPr>
    <tabColor theme="9" tint="0.79998168889431442"/>
  </sheetPr>
  <dimension ref="A1:M126"/>
  <sheetViews>
    <sheetView tabSelected="1" topLeftCell="A136" workbookViewId="0"/>
  </sheetViews>
  <sheetFormatPr baseColWidth="10" defaultColWidth="8.7265625" defaultRowHeight="14.5" x14ac:dyDescent="0.35"/>
  <cols>
    <col min="1" max="1" width="34" customWidth="1"/>
    <col min="2" max="2" width="16" customWidth="1"/>
    <col min="3" max="3" width="30" customWidth="1"/>
    <col min="4" max="6" width="12" customWidth="1"/>
    <col min="7" max="13" width="14.453125" customWidth="1"/>
  </cols>
  <sheetData>
    <row r="1" spans="1:13" ht="18.5" x14ac:dyDescent="0.45">
      <c r="A1" s="245" t="s">
        <v>1340</v>
      </c>
    </row>
    <row r="2" spans="1:13" x14ac:dyDescent="0.35">
      <c r="A2" s="246" t="s">
        <v>1341</v>
      </c>
    </row>
    <row r="4" spans="1:13" x14ac:dyDescent="0.35">
      <c r="A4" s="240" t="s">
        <v>1342</v>
      </c>
    </row>
    <row r="5" spans="1:13" x14ac:dyDescent="0.35">
      <c r="A5" t="s">
        <v>1343</v>
      </c>
      <c r="B5" s="241">
        <v>160</v>
      </c>
    </row>
    <row r="6" spans="1:13" x14ac:dyDescent="0.35">
      <c r="A6" t="s">
        <v>1344</v>
      </c>
      <c r="B6" s="242">
        <v>88000</v>
      </c>
    </row>
    <row r="7" spans="1:13" x14ac:dyDescent="0.35">
      <c r="A7" t="s">
        <v>1345</v>
      </c>
      <c r="B7" s="241">
        <v>4200</v>
      </c>
    </row>
    <row r="8" spans="1:13" x14ac:dyDescent="0.35">
      <c r="A8" t="s">
        <v>1346</v>
      </c>
      <c r="B8" s="242">
        <v>35</v>
      </c>
    </row>
    <row r="9" spans="1:13" x14ac:dyDescent="0.35">
      <c r="A9" t="s">
        <v>1347</v>
      </c>
      <c r="B9" s="242">
        <v>15</v>
      </c>
    </row>
    <row r="11" spans="1:13" ht="29" x14ac:dyDescent="0.35">
      <c r="A11" s="239" t="s">
        <v>196</v>
      </c>
      <c r="B11" s="239" t="s">
        <v>268</v>
      </c>
      <c r="C11" s="239" t="s">
        <v>136</v>
      </c>
      <c r="D11" s="239" t="s">
        <v>1348</v>
      </c>
      <c r="E11" s="239" t="s">
        <v>741</v>
      </c>
      <c r="F11" s="239" t="s">
        <v>1349</v>
      </c>
      <c r="G11" s="239" t="s">
        <v>1350</v>
      </c>
      <c r="H11" s="239" t="s">
        <v>1351</v>
      </c>
      <c r="I11" s="239" t="s">
        <v>1352</v>
      </c>
      <c r="J11" s="239" t="s">
        <v>1353</v>
      </c>
      <c r="K11" s="239" t="s">
        <v>1354</v>
      </c>
      <c r="L11" s="239" t="s">
        <v>260</v>
      </c>
      <c r="M11" s="239" t="s">
        <v>1355</v>
      </c>
    </row>
    <row r="12" spans="1:13" x14ac:dyDescent="0.35">
      <c r="A12" t="s">
        <v>116</v>
      </c>
      <c r="B12" t="s">
        <v>248</v>
      </c>
      <c r="C12" t="s">
        <v>69</v>
      </c>
      <c r="D12" s="241">
        <f>'Metricas Sura'!B13</f>
        <v>8</v>
      </c>
      <c r="E12" s="241">
        <f>'Metricas Sura'!B2</f>
        <v>668</v>
      </c>
      <c r="F12" s="243">
        <f>E12/D12</f>
        <v>83.5</v>
      </c>
      <c r="G12" s="241">
        <f t="shared" ref="G12:G23" si="0">D12*$B$5</f>
        <v>1280</v>
      </c>
      <c r="H12" s="243">
        <f>'Metricas Sura'!B7</f>
        <v>24.58</v>
      </c>
      <c r="I12" s="244">
        <f>'Metricas Sura'!B9</f>
        <v>0.7</v>
      </c>
      <c r="J12" s="242">
        <f t="shared" ref="J12:J23" si="1">D12*$B$5*$B$6</f>
        <v>112640000</v>
      </c>
      <c r="K12" s="242">
        <f>J12/E12</f>
        <v>168622.75449101796</v>
      </c>
      <c r="L12" s="242">
        <f>K12/$B$7</f>
        <v>40.148274878813801</v>
      </c>
      <c r="M12" s="242">
        <f>L12-$B$8</f>
        <v>5.1482748788138011</v>
      </c>
    </row>
    <row r="13" spans="1:13" x14ac:dyDescent="0.35">
      <c r="A13" t="s">
        <v>1356</v>
      </c>
      <c r="B13" t="s">
        <v>248</v>
      </c>
      <c r="C13" t="s">
        <v>69</v>
      </c>
      <c r="D13" s="241">
        <f>'Metricas Sura'!C13</f>
        <v>2</v>
      </c>
      <c r="E13" s="241">
        <f>'Metricas Sura'!C2</f>
        <v>174</v>
      </c>
      <c r="F13" s="243">
        <f>E13/D13</f>
        <v>87</v>
      </c>
      <c r="G13" s="241">
        <f t="shared" si="0"/>
        <v>320</v>
      </c>
      <c r="H13" s="243">
        <f>'Metricas Sura'!C7</f>
        <v>12.38</v>
      </c>
      <c r="I13" s="244">
        <f>'Metricas Sura'!C9</f>
        <v>0.74</v>
      </c>
      <c r="J13" s="242">
        <f t="shared" si="1"/>
        <v>28160000</v>
      </c>
      <c r="K13" s="242">
        <f>J13/E13</f>
        <v>161839.08045977011</v>
      </c>
      <c r="L13" s="242">
        <f>K13/$B$7</f>
        <v>38.533114395183361</v>
      </c>
      <c r="M13" s="242">
        <f>L13-$B$8</f>
        <v>3.533114395183361</v>
      </c>
    </row>
    <row r="14" spans="1:13" x14ac:dyDescent="0.35">
      <c r="A14" t="s">
        <v>1357</v>
      </c>
      <c r="B14" t="s">
        <v>248</v>
      </c>
      <c r="C14" t="s">
        <v>69</v>
      </c>
      <c r="D14" s="241">
        <f>'Metricas Sura'!D13</f>
        <v>6</v>
      </c>
      <c r="E14" s="241">
        <f>'Metricas Sura'!D2</f>
        <v>512</v>
      </c>
      <c r="F14" s="243">
        <f>E14/D14</f>
        <v>85.333333333333329</v>
      </c>
      <c r="G14" s="241">
        <f t="shared" si="0"/>
        <v>960</v>
      </c>
      <c r="H14" s="243">
        <f>'Metricas Sura'!D7</f>
        <v>2.98</v>
      </c>
      <c r="I14" s="244">
        <f>'Metricas Sura'!D9</f>
        <v>0.98</v>
      </c>
      <c r="J14" s="242">
        <f t="shared" si="1"/>
        <v>84480000</v>
      </c>
      <c r="K14" s="242">
        <f>J14/E14</f>
        <v>165000</v>
      </c>
      <c r="L14" s="242">
        <f>K14/$B$7</f>
        <v>39.285714285714285</v>
      </c>
      <c r="M14" s="242">
        <f>L14-$B$8</f>
        <v>4.2857142857142847</v>
      </c>
    </row>
    <row r="15" spans="1:13" x14ac:dyDescent="0.35">
      <c r="A15" t="s">
        <v>119</v>
      </c>
      <c r="B15" t="s">
        <v>248</v>
      </c>
      <c r="C15" t="s">
        <v>69</v>
      </c>
      <c r="D15" s="241">
        <f>'Metricas Sura'!E13</f>
        <v>1</v>
      </c>
      <c r="E15" s="241">
        <f>'Metricas Sura'!E2</f>
        <v>171</v>
      </c>
      <c r="F15" s="243">
        <f>E15/D15</f>
        <v>171</v>
      </c>
      <c r="G15" s="241">
        <f t="shared" si="0"/>
        <v>160</v>
      </c>
      <c r="H15" s="243">
        <f>'Metricas Sura'!E7</f>
        <v>17.920000000000002</v>
      </c>
      <c r="I15" s="244">
        <f>'Metricas Sura'!E9</f>
        <v>0.72</v>
      </c>
      <c r="J15" s="242">
        <f t="shared" si="1"/>
        <v>14080000</v>
      </c>
      <c r="K15" s="242">
        <f>J15/E15</f>
        <v>82339.181286549705</v>
      </c>
      <c r="L15" s="242">
        <f>K15/$B$7</f>
        <v>19.604566972988025</v>
      </c>
      <c r="M15" s="242">
        <f>L15-$B$8</f>
        <v>-15.395433027011975</v>
      </c>
    </row>
    <row r="16" spans="1:13" x14ac:dyDescent="0.35">
      <c r="A16" t="s">
        <v>1358</v>
      </c>
      <c r="B16" t="s">
        <v>126</v>
      </c>
      <c r="C16" t="s">
        <v>1359</v>
      </c>
      <c r="D16" s="241">
        <v>4</v>
      </c>
      <c r="E16" s="241">
        <v>90</v>
      </c>
      <c r="F16" s="243">
        <f>E16/D16</f>
        <v>22.5</v>
      </c>
      <c r="G16" s="241">
        <f t="shared" si="0"/>
        <v>640</v>
      </c>
      <c r="H16" t="s">
        <v>496</v>
      </c>
      <c r="I16" t="s">
        <v>496</v>
      </c>
      <c r="J16" s="242">
        <f t="shared" si="1"/>
        <v>56320000</v>
      </c>
      <c r="K16" s="242">
        <f>J16/E16</f>
        <v>625777.77777777775</v>
      </c>
      <c r="L16" s="242">
        <f>K16/$B$7</f>
        <v>148.99470899470899</v>
      </c>
      <c r="M16" s="242">
        <f>L16-$B$8</f>
        <v>113.99470899470899</v>
      </c>
    </row>
    <row r="17" spans="1:13" x14ac:dyDescent="0.35">
      <c r="A17" t="s">
        <v>1360</v>
      </c>
      <c r="B17" t="s">
        <v>125</v>
      </c>
      <c r="C17" t="s">
        <v>66</v>
      </c>
      <c r="D17" s="241">
        <v>4</v>
      </c>
      <c r="E17" t="s">
        <v>496</v>
      </c>
      <c r="F17" t="s">
        <v>496</v>
      </c>
      <c r="G17" s="241">
        <f t="shared" si="0"/>
        <v>640</v>
      </c>
      <c r="H17" t="s">
        <v>496</v>
      </c>
      <c r="I17" t="s">
        <v>496</v>
      </c>
      <c r="J17" s="242">
        <f t="shared" si="1"/>
        <v>56320000</v>
      </c>
      <c r="K17" t="s">
        <v>496</v>
      </c>
      <c r="L17" t="s">
        <v>496</v>
      </c>
      <c r="M17" t="s">
        <v>496</v>
      </c>
    </row>
    <row r="18" spans="1:13" x14ac:dyDescent="0.35">
      <c r="A18" t="s">
        <v>1361</v>
      </c>
      <c r="B18" t="s">
        <v>281</v>
      </c>
      <c r="C18" t="s">
        <v>66</v>
      </c>
      <c r="D18" s="241">
        <v>7</v>
      </c>
      <c r="E18" t="s">
        <v>1362</v>
      </c>
      <c r="F18" t="s">
        <v>1363</v>
      </c>
      <c r="G18" s="241">
        <f t="shared" si="0"/>
        <v>1120</v>
      </c>
      <c r="H18" t="s">
        <v>1364</v>
      </c>
      <c r="I18" t="s">
        <v>1365</v>
      </c>
      <c r="J18" s="242">
        <f t="shared" si="1"/>
        <v>98560000</v>
      </c>
      <c r="K18" t="s">
        <v>496</v>
      </c>
      <c r="L18" t="s">
        <v>496</v>
      </c>
      <c r="M18" t="s">
        <v>496</v>
      </c>
    </row>
    <row r="19" spans="1:13" x14ac:dyDescent="0.35">
      <c r="A19" t="s">
        <v>121</v>
      </c>
      <c r="B19" t="s">
        <v>281</v>
      </c>
      <c r="C19" t="s">
        <v>66</v>
      </c>
      <c r="D19" s="241">
        <v>7</v>
      </c>
      <c r="E19" t="s">
        <v>1362</v>
      </c>
      <c r="F19" t="s">
        <v>1363</v>
      </c>
      <c r="G19" s="241">
        <f t="shared" si="0"/>
        <v>1120</v>
      </c>
      <c r="H19" t="s">
        <v>1364</v>
      </c>
      <c r="I19" t="s">
        <v>1365</v>
      </c>
      <c r="J19" s="242">
        <f t="shared" si="1"/>
        <v>98560000</v>
      </c>
      <c r="K19" t="s">
        <v>496</v>
      </c>
      <c r="L19" t="s">
        <v>496</v>
      </c>
      <c r="M19" t="s">
        <v>496</v>
      </c>
    </row>
    <row r="20" spans="1:13" x14ac:dyDescent="0.35">
      <c r="A20" t="s">
        <v>1366</v>
      </c>
      <c r="B20" t="s">
        <v>281</v>
      </c>
      <c r="C20" t="s">
        <v>66</v>
      </c>
      <c r="D20" s="241">
        <v>13</v>
      </c>
      <c r="E20" t="s">
        <v>1362</v>
      </c>
      <c r="F20" t="s">
        <v>1363</v>
      </c>
      <c r="G20" s="241">
        <f t="shared" si="0"/>
        <v>2080</v>
      </c>
      <c r="H20" t="s">
        <v>1364</v>
      </c>
      <c r="I20" t="s">
        <v>1365</v>
      </c>
      <c r="J20" s="242">
        <f t="shared" si="1"/>
        <v>183040000</v>
      </c>
      <c r="K20" t="s">
        <v>496</v>
      </c>
      <c r="L20" t="s">
        <v>496</v>
      </c>
      <c r="M20" t="s">
        <v>496</v>
      </c>
    </row>
    <row r="21" spans="1:13" x14ac:dyDescent="0.35">
      <c r="A21" t="s">
        <v>123</v>
      </c>
      <c r="B21" t="s">
        <v>281</v>
      </c>
      <c r="C21" t="s">
        <v>66</v>
      </c>
      <c r="D21" s="241">
        <v>4</v>
      </c>
      <c r="E21" t="s">
        <v>1362</v>
      </c>
      <c r="F21" t="s">
        <v>1363</v>
      </c>
      <c r="G21" s="241">
        <f t="shared" si="0"/>
        <v>640</v>
      </c>
      <c r="H21" t="s">
        <v>1364</v>
      </c>
      <c r="I21" t="s">
        <v>1365</v>
      </c>
      <c r="J21" s="242">
        <f t="shared" si="1"/>
        <v>56320000</v>
      </c>
      <c r="K21" t="s">
        <v>496</v>
      </c>
      <c r="L21" t="s">
        <v>496</v>
      </c>
      <c r="M21" t="s">
        <v>496</v>
      </c>
    </row>
    <row r="22" spans="1:13" x14ac:dyDescent="0.35">
      <c r="A22" t="s">
        <v>1367</v>
      </c>
      <c r="B22" t="s">
        <v>281</v>
      </c>
      <c r="C22" t="s">
        <v>66</v>
      </c>
      <c r="D22" s="241">
        <v>1</v>
      </c>
      <c r="E22" t="s">
        <v>1362</v>
      </c>
      <c r="F22" t="s">
        <v>1363</v>
      </c>
      <c r="G22" s="241">
        <f t="shared" si="0"/>
        <v>160</v>
      </c>
      <c r="H22" t="s">
        <v>1364</v>
      </c>
      <c r="I22" t="s">
        <v>1365</v>
      </c>
      <c r="J22" s="242">
        <f t="shared" si="1"/>
        <v>14080000</v>
      </c>
      <c r="K22" t="s">
        <v>496</v>
      </c>
      <c r="L22" t="s">
        <v>496</v>
      </c>
      <c r="M22" t="s">
        <v>496</v>
      </c>
    </row>
    <row r="23" spans="1:13" x14ac:dyDescent="0.35">
      <c r="A23" t="s">
        <v>1368</v>
      </c>
      <c r="B23" t="s">
        <v>1369</v>
      </c>
      <c r="C23" t="s">
        <v>66</v>
      </c>
      <c r="D23" s="241">
        <v>12</v>
      </c>
      <c r="E23" t="s">
        <v>496</v>
      </c>
      <c r="F23" t="s">
        <v>496</v>
      </c>
      <c r="G23" s="241">
        <f t="shared" si="0"/>
        <v>1920</v>
      </c>
      <c r="H23" s="243">
        <v>0.55000000000000004</v>
      </c>
      <c r="I23" s="244">
        <v>0.89</v>
      </c>
      <c r="J23" s="242">
        <f t="shared" si="1"/>
        <v>168960000</v>
      </c>
      <c r="K23" t="s">
        <v>496</v>
      </c>
      <c r="L23" t="s">
        <v>496</v>
      </c>
      <c r="M23" t="s">
        <v>496</v>
      </c>
    </row>
    <row r="25" spans="1:13" x14ac:dyDescent="0.35">
      <c r="A25" s="240" t="s">
        <v>1370</v>
      </c>
      <c r="B25" s="240" t="s">
        <v>248</v>
      </c>
      <c r="C25" s="240" t="s">
        <v>69</v>
      </c>
      <c r="D25" s="247">
        <f>SUM(D12:D15)</f>
        <v>17</v>
      </c>
      <c r="E25" s="247">
        <f>SUM(E12:E15)</f>
        <v>1525</v>
      </c>
      <c r="F25" s="249">
        <f>E25/D25</f>
        <v>89.705882352941174</v>
      </c>
      <c r="G25" s="247">
        <f>D25*$B$5</f>
        <v>2720</v>
      </c>
      <c r="H25" s="249">
        <f>AVERAGE(H12:H15)</f>
        <v>14.465</v>
      </c>
      <c r="I25" s="250">
        <f>AVERAGE(I12:I15)</f>
        <v>0.78499999999999992</v>
      </c>
      <c r="J25" s="248">
        <f>D25*$B$5*$B$6</f>
        <v>239360000</v>
      </c>
      <c r="K25" s="248">
        <f>J25/E25</f>
        <v>156957.37704918033</v>
      </c>
      <c r="L25" s="248">
        <f>K25/$B$7</f>
        <v>37.370804059328648</v>
      </c>
      <c r="M25" s="248">
        <f>L25-$B$8</f>
        <v>2.3708040593286483</v>
      </c>
    </row>
    <row r="26" spans="1:13" x14ac:dyDescent="0.35">
      <c r="A26" s="240" t="s">
        <v>1371</v>
      </c>
      <c r="B26" s="240" t="s">
        <v>281</v>
      </c>
      <c r="C26" s="240" t="s">
        <v>66</v>
      </c>
      <c r="D26" s="247">
        <f>SUM(D18:D22)</f>
        <v>32</v>
      </c>
      <c r="E26" t="s">
        <v>1372</v>
      </c>
      <c r="F26" t="s">
        <v>1363</v>
      </c>
      <c r="G26" s="247">
        <f>D26*$B$5</f>
        <v>5120</v>
      </c>
      <c r="H26" t="s">
        <v>1364</v>
      </c>
      <c r="I26" t="s">
        <v>1365</v>
      </c>
      <c r="J26" s="248">
        <f>D26*$B$5*$B$6</f>
        <v>450560000</v>
      </c>
      <c r="K26" t="s">
        <v>496</v>
      </c>
      <c r="L26" t="s">
        <v>496</v>
      </c>
      <c r="M26" t="s">
        <v>496</v>
      </c>
    </row>
    <row r="27" spans="1:13" x14ac:dyDescent="0.35">
      <c r="A27" s="240" t="s">
        <v>1373</v>
      </c>
      <c r="B27" s="240" t="s">
        <v>100</v>
      </c>
      <c r="C27" s="240" t="s">
        <v>100</v>
      </c>
      <c r="D27" s="247">
        <f>SUM(D12:D22)</f>
        <v>57</v>
      </c>
      <c r="E27" t="s">
        <v>100</v>
      </c>
      <c r="F27" t="s">
        <v>100</v>
      </c>
      <c r="G27" s="247">
        <f>D27*$B$5</f>
        <v>9120</v>
      </c>
      <c r="H27" t="s">
        <v>100</v>
      </c>
      <c r="I27" t="s">
        <v>100</v>
      </c>
      <c r="J27" s="248">
        <f>D27*$B$5*$B$6</f>
        <v>802560000</v>
      </c>
      <c r="K27" t="s">
        <v>100</v>
      </c>
      <c r="L27" t="s">
        <v>100</v>
      </c>
      <c r="M27" t="s">
        <v>100</v>
      </c>
    </row>
    <row r="29" spans="1:13" x14ac:dyDescent="0.35">
      <c r="A29" s="246" t="s">
        <v>1374</v>
      </c>
    </row>
    <row r="30" spans="1:13" x14ac:dyDescent="0.35">
      <c r="A30" s="246" t="s">
        <v>1375</v>
      </c>
    </row>
    <row r="33" spans="1:9" x14ac:dyDescent="0.35">
      <c r="A33" s="240" t="s">
        <v>1376</v>
      </c>
      <c r="F33" s="240" t="s">
        <v>1377</v>
      </c>
    </row>
    <row r="34" spans="1:9" x14ac:dyDescent="0.35">
      <c r="A34" t="s">
        <v>116</v>
      </c>
      <c r="B34" s="243">
        <f>H12</f>
        <v>24.58</v>
      </c>
      <c r="C34" s="246" t="s">
        <v>1378</v>
      </c>
      <c r="F34" s="239" t="s">
        <v>196</v>
      </c>
      <c r="G34" s="239" t="s">
        <v>1379</v>
      </c>
      <c r="H34" s="239" t="s">
        <v>1380</v>
      </c>
      <c r="I34" s="239" t="s">
        <v>1381</v>
      </c>
    </row>
    <row r="35" spans="1:9" x14ac:dyDescent="0.35">
      <c r="A35" t="s">
        <v>119</v>
      </c>
      <c r="B35" s="243">
        <f>H15</f>
        <v>17.920000000000002</v>
      </c>
      <c r="C35" s="246" t="s">
        <v>1382</v>
      </c>
      <c r="F35" t="s">
        <v>116</v>
      </c>
      <c r="G35" s="241">
        <f>E12</f>
        <v>668</v>
      </c>
    </row>
    <row r="36" spans="1:9" x14ac:dyDescent="0.35">
      <c r="A36" t="s">
        <v>1356</v>
      </c>
      <c r="B36" s="243">
        <f>H13</f>
        <v>12.38</v>
      </c>
      <c r="C36" s="246" t="s">
        <v>1383</v>
      </c>
      <c r="F36" t="s">
        <v>1356</v>
      </c>
      <c r="G36" s="241">
        <f>E13</f>
        <v>174</v>
      </c>
    </row>
    <row r="37" spans="1:9" x14ac:dyDescent="0.35">
      <c r="A37" t="s">
        <v>1384</v>
      </c>
      <c r="B37" s="243">
        <v>8.85</v>
      </c>
      <c r="C37" s="246" t="s">
        <v>1385</v>
      </c>
      <c r="F37" t="s">
        <v>1357</v>
      </c>
      <c r="G37" s="241">
        <f>E14</f>
        <v>512</v>
      </c>
    </row>
    <row r="38" spans="1:9" x14ac:dyDescent="0.35">
      <c r="A38" t="s">
        <v>1386</v>
      </c>
      <c r="B38" s="243">
        <v>4</v>
      </c>
      <c r="C38" s="246" t="s">
        <v>1387</v>
      </c>
      <c r="F38" t="s">
        <v>119</v>
      </c>
      <c r="G38" s="241">
        <f>E15</f>
        <v>171</v>
      </c>
    </row>
    <row r="39" spans="1:9" x14ac:dyDescent="0.35">
      <c r="A39" t="s">
        <v>1357</v>
      </c>
      <c r="B39" s="243">
        <f>H14</f>
        <v>2.98</v>
      </c>
      <c r="C39" s="246" t="s">
        <v>1388</v>
      </c>
      <c r="F39" t="s">
        <v>1358</v>
      </c>
      <c r="G39" s="241">
        <f>E16</f>
        <v>90</v>
      </c>
    </row>
    <row r="40" spans="1:9" x14ac:dyDescent="0.35">
      <c r="A40" t="s">
        <v>1389</v>
      </c>
      <c r="B40" s="243">
        <v>3</v>
      </c>
      <c r="C40" s="246" t="s">
        <v>1390</v>
      </c>
      <c r="F40" t="s">
        <v>1361</v>
      </c>
      <c r="H40" s="241">
        <v>700</v>
      </c>
      <c r="I40" s="241">
        <v>2300</v>
      </c>
    </row>
    <row r="41" spans="1:9" x14ac:dyDescent="0.35">
      <c r="A41" t="s">
        <v>1391</v>
      </c>
      <c r="B41" s="243">
        <f>H23</f>
        <v>0.55000000000000004</v>
      </c>
      <c r="C41" s="246" t="s">
        <v>1392</v>
      </c>
      <c r="F41" t="s">
        <v>121</v>
      </c>
      <c r="H41" s="241">
        <v>700</v>
      </c>
      <c r="I41" s="241">
        <v>2300</v>
      </c>
    </row>
    <row r="42" spans="1:9" x14ac:dyDescent="0.35">
      <c r="A42" s="246" t="s">
        <v>1393</v>
      </c>
      <c r="F42" t="s">
        <v>1366</v>
      </c>
      <c r="H42" s="241">
        <v>700</v>
      </c>
      <c r="I42" s="241">
        <v>2300</v>
      </c>
    </row>
    <row r="43" spans="1:9" x14ac:dyDescent="0.35">
      <c r="F43" t="s">
        <v>123</v>
      </c>
      <c r="H43" s="241">
        <v>700</v>
      </c>
      <c r="I43" s="241">
        <v>2300</v>
      </c>
    </row>
    <row r="44" spans="1:9" x14ac:dyDescent="0.35">
      <c r="F44" t="s">
        <v>1367</v>
      </c>
      <c r="H44" s="241">
        <v>700</v>
      </c>
      <c r="I44" s="241">
        <v>2300</v>
      </c>
    </row>
    <row r="45" spans="1:9" x14ac:dyDescent="0.35">
      <c r="A45" s="240" t="s">
        <v>1394</v>
      </c>
      <c r="F45" s="246" t="s">
        <v>1395</v>
      </c>
    </row>
    <row r="46" spans="1:9" x14ac:dyDescent="0.35">
      <c r="A46" t="s">
        <v>1358</v>
      </c>
      <c r="B46" s="242">
        <f>L16</f>
        <v>148.99470899470899</v>
      </c>
      <c r="C46" s="246" t="s">
        <v>1396</v>
      </c>
    </row>
    <row r="47" spans="1:9" x14ac:dyDescent="0.35">
      <c r="A47" t="s">
        <v>116</v>
      </c>
      <c r="B47" s="242">
        <f>L12</f>
        <v>40.148274878813801</v>
      </c>
      <c r="C47" s="246" t="s">
        <v>1397</v>
      </c>
    </row>
    <row r="48" spans="1:9" x14ac:dyDescent="0.35">
      <c r="A48" t="s">
        <v>1357</v>
      </c>
      <c r="B48" s="242">
        <f>L14</f>
        <v>39.285714285714285</v>
      </c>
      <c r="C48" s="246" t="s">
        <v>1398</v>
      </c>
    </row>
    <row r="49" spans="1:3" x14ac:dyDescent="0.35">
      <c r="A49" t="s">
        <v>1356</v>
      </c>
      <c r="B49" s="242">
        <f>L13</f>
        <v>38.533114395183361</v>
      </c>
      <c r="C49" s="246" t="s">
        <v>1399</v>
      </c>
    </row>
    <row r="50" spans="1:3" x14ac:dyDescent="0.35">
      <c r="A50" t="s">
        <v>1400</v>
      </c>
      <c r="B50" s="242">
        <f>$B$8</f>
        <v>35</v>
      </c>
      <c r="C50" s="246" t="s">
        <v>1401</v>
      </c>
    </row>
    <row r="51" spans="1:3" x14ac:dyDescent="0.35">
      <c r="A51" t="s">
        <v>119</v>
      </c>
      <c r="B51" s="242">
        <f>L15</f>
        <v>19.604566972988025</v>
      </c>
      <c r="C51" s="246" t="s">
        <v>1402</v>
      </c>
    </row>
    <row r="52" spans="1:3" x14ac:dyDescent="0.35">
      <c r="A52" t="s">
        <v>1403</v>
      </c>
      <c r="B52" s="242">
        <f>$B$9</f>
        <v>15</v>
      </c>
      <c r="C52" s="246" t="s">
        <v>1404</v>
      </c>
    </row>
    <row r="55" spans="1:3" x14ac:dyDescent="0.35">
      <c r="A55" s="240" t="s">
        <v>1405</v>
      </c>
    </row>
    <row r="56" spans="1:3" x14ac:dyDescent="0.35">
      <c r="A56" t="s">
        <v>281</v>
      </c>
      <c r="B56" s="241">
        <f>SUM(D18:D22)</f>
        <v>32</v>
      </c>
      <c r="C56" s="246" t="s">
        <v>1406</v>
      </c>
    </row>
    <row r="57" spans="1:3" x14ac:dyDescent="0.35">
      <c r="A57" t="s">
        <v>248</v>
      </c>
      <c r="B57" s="241">
        <f>SUM(D12:D15)</f>
        <v>17</v>
      </c>
      <c r="C57" s="246" t="s">
        <v>1407</v>
      </c>
    </row>
    <row r="58" spans="1:3" x14ac:dyDescent="0.35">
      <c r="A58" t="s">
        <v>126</v>
      </c>
      <c r="B58" s="241">
        <f>D16</f>
        <v>4</v>
      </c>
      <c r="C58" s="246" t="s">
        <v>1408</v>
      </c>
    </row>
    <row r="59" spans="1:3" x14ac:dyDescent="0.35">
      <c r="A59" t="s">
        <v>125</v>
      </c>
      <c r="B59" s="241">
        <f>D17</f>
        <v>4</v>
      </c>
      <c r="C59" s="246" t="s">
        <v>1409</v>
      </c>
    </row>
    <row r="62" spans="1:3" ht="18.5" x14ac:dyDescent="0.45">
      <c r="A62" s="245" t="s">
        <v>1410</v>
      </c>
    </row>
    <row r="63" spans="1:3" x14ac:dyDescent="0.35">
      <c r="A63" s="246" t="s">
        <v>1411</v>
      </c>
    </row>
    <row r="65" spans="1:6" ht="29" x14ac:dyDescent="0.35">
      <c r="A65" s="239" t="s">
        <v>1412</v>
      </c>
      <c r="B65" s="239" t="s">
        <v>212</v>
      </c>
      <c r="C65" s="239" t="s">
        <v>1413</v>
      </c>
      <c r="D65" s="239" t="s">
        <v>1414</v>
      </c>
      <c r="E65" s="239" t="s">
        <v>1415</v>
      </c>
      <c r="F65" s="239" t="s">
        <v>1416</v>
      </c>
    </row>
    <row r="66" spans="1:6" x14ac:dyDescent="0.35">
      <c r="A66" t="s">
        <v>1417</v>
      </c>
      <c r="B66" t="s">
        <v>1418</v>
      </c>
      <c r="C66" t="str">
        <f t="shared" ref="C66:C80" si="2">A66&amp;" — "&amp;B66</f>
        <v>Gobierno — Sin RACI ni roles definidos</v>
      </c>
      <c r="D66" s="241">
        <v>11</v>
      </c>
      <c r="E66" s="241">
        <v>0</v>
      </c>
      <c r="F66" s="241">
        <f t="shared" ref="F66:F80" si="3">D66+E66</f>
        <v>11</v>
      </c>
    </row>
    <row r="67" spans="1:6" x14ac:dyDescent="0.35">
      <c r="A67" t="s">
        <v>1417</v>
      </c>
      <c r="B67" t="s">
        <v>1419</v>
      </c>
      <c r="C67" t="str">
        <f t="shared" si="2"/>
        <v>Gobierno — Sin gobierno — sin ANS formales</v>
      </c>
      <c r="D67" s="241">
        <v>7</v>
      </c>
      <c r="E67" s="241">
        <v>4</v>
      </c>
      <c r="F67" s="241">
        <f t="shared" si="3"/>
        <v>11</v>
      </c>
    </row>
    <row r="68" spans="1:6" x14ac:dyDescent="0.35">
      <c r="A68" t="s">
        <v>1417</v>
      </c>
      <c r="B68" t="s">
        <v>1420</v>
      </c>
      <c r="C68" t="str">
        <f t="shared" si="2"/>
        <v>Gobierno — Catálogo de servicios desactualizado</v>
      </c>
      <c r="D68" s="241">
        <v>0</v>
      </c>
      <c r="E68" s="241">
        <v>11</v>
      </c>
      <c r="F68" s="241">
        <f t="shared" si="3"/>
        <v>11</v>
      </c>
    </row>
    <row r="69" spans="1:6" x14ac:dyDescent="0.35">
      <c r="A69" t="s">
        <v>1421</v>
      </c>
      <c r="B69" t="s">
        <v>789</v>
      </c>
      <c r="C69" t="str">
        <f t="shared" si="2"/>
        <v>Operación — Postura 100% reactiva</v>
      </c>
      <c r="D69" s="241">
        <v>9</v>
      </c>
      <c r="E69" s="241">
        <v>2</v>
      </c>
      <c r="F69" s="241">
        <f t="shared" si="3"/>
        <v>11</v>
      </c>
    </row>
    <row r="70" spans="1:6" x14ac:dyDescent="0.35">
      <c r="A70" t="s">
        <v>1421</v>
      </c>
      <c r="B70" t="s">
        <v>1422</v>
      </c>
      <c r="C70" t="str">
        <f t="shared" si="2"/>
        <v>Operación — Sin autoservicio — todo por call</v>
      </c>
      <c r="D70" s="241">
        <v>11</v>
      </c>
      <c r="E70" s="241">
        <v>0</v>
      </c>
      <c r="F70" s="241">
        <f t="shared" si="3"/>
        <v>11</v>
      </c>
    </row>
    <row r="71" spans="1:6" x14ac:dyDescent="0.35">
      <c r="A71" t="s">
        <v>1421</v>
      </c>
      <c r="B71" t="s">
        <v>1423</v>
      </c>
      <c r="C71" t="str">
        <f t="shared" si="2"/>
        <v>Operación — Scope creep — alcance no controlado</v>
      </c>
      <c r="D71" s="241">
        <v>4</v>
      </c>
      <c r="E71" s="241">
        <v>7</v>
      </c>
      <c r="F71" s="241">
        <f t="shared" si="3"/>
        <v>11</v>
      </c>
    </row>
    <row r="72" spans="1:6" x14ac:dyDescent="0.35">
      <c r="A72" t="s">
        <v>1421</v>
      </c>
      <c r="B72" t="s">
        <v>1424</v>
      </c>
      <c r="C72" t="str">
        <f t="shared" si="2"/>
        <v>Operación — SLAs incumplidos / penalizaciones</v>
      </c>
      <c r="D72" s="241">
        <v>3</v>
      </c>
      <c r="E72" s="241">
        <v>0</v>
      </c>
      <c r="F72" s="241">
        <f t="shared" si="3"/>
        <v>3</v>
      </c>
    </row>
    <row r="73" spans="1:6" x14ac:dyDescent="0.35">
      <c r="A73" t="s">
        <v>1425</v>
      </c>
      <c r="B73" t="s">
        <v>1426</v>
      </c>
      <c r="C73" t="str">
        <f t="shared" si="2"/>
        <v>Métricas — Sin métricas ni KPIs</v>
      </c>
      <c r="D73" s="241">
        <v>8</v>
      </c>
      <c r="E73" s="241">
        <v>3</v>
      </c>
      <c r="F73" s="241">
        <f t="shared" si="3"/>
        <v>11</v>
      </c>
    </row>
    <row r="74" spans="1:6" x14ac:dyDescent="0.35">
      <c r="A74" t="s">
        <v>1425</v>
      </c>
      <c r="B74" t="s">
        <v>1427</v>
      </c>
      <c r="C74" t="str">
        <f t="shared" si="2"/>
        <v>Métricas — Sin dashboard ejecutivo</v>
      </c>
      <c r="D74" s="241">
        <v>3</v>
      </c>
      <c r="E74" s="241">
        <v>7</v>
      </c>
      <c r="F74" s="241">
        <f t="shared" si="3"/>
        <v>10</v>
      </c>
    </row>
    <row r="75" spans="1:6" x14ac:dyDescent="0.35">
      <c r="A75" t="s">
        <v>1428</v>
      </c>
      <c r="B75" t="s">
        <v>1429</v>
      </c>
      <c r="C75" t="str">
        <f t="shared" si="2"/>
        <v>Talento — Rotación — pérdida de conocimiento</v>
      </c>
      <c r="D75" s="241">
        <v>0</v>
      </c>
      <c r="E75" s="241">
        <v>11</v>
      </c>
      <c r="F75" s="241">
        <f t="shared" si="3"/>
        <v>11</v>
      </c>
    </row>
    <row r="76" spans="1:6" x14ac:dyDescent="0.35">
      <c r="A76" t="s">
        <v>1428</v>
      </c>
      <c r="B76" t="s">
        <v>1430</v>
      </c>
      <c r="C76" t="str">
        <f t="shared" si="2"/>
        <v>Talento — Asignación sin modelo de demanda</v>
      </c>
      <c r="D76" s="241">
        <v>11</v>
      </c>
      <c r="E76" s="241">
        <v>0</v>
      </c>
      <c r="F76" s="241">
        <f t="shared" si="3"/>
        <v>11</v>
      </c>
    </row>
    <row r="77" spans="1:6" x14ac:dyDescent="0.35">
      <c r="A77" t="s">
        <v>1428</v>
      </c>
      <c r="B77" t="s">
        <v>795</v>
      </c>
      <c r="C77" t="str">
        <f t="shared" si="2"/>
        <v>Talento — Penalización de la eficiencia</v>
      </c>
      <c r="D77" s="241">
        <v>2</v>
      </c>
      <c r="E77" s="241">
        <v>8</v>
      </c>
      <c r="F77" s="241">
        <f t="shared" si="3"/>
        <v>10</v>
      </c>
    </row>
    <row r="78" spans="1:6" x14ac:dyDescent="0.35">
      <c r="A78" t="s">
        <v>695</v>
      </c>
      <c r="B78" t="s">
        <v>1431</v>
      </c>
      <c r="C78" t="str">
        <f t="shared" si="2"/>
        <v>Comercial — Brechas vendido vs ejecutado</v>
      </c>
      <c r="D78" s="241">
        <v>11</v>
      </c>
      <c r="E78" s="241">
        <v>0</v>
      </c>
      <c r="F78" s="241">
        <f t="shared" si="3"/>
        <v>11</v>
      </c>
    </row>
    <row r="79" spans="1:6" x14ac:dyDescent="0.35">
      <c r="A79" t="s">
        <v>695</v>
      </c>
      <c r="B79" t="s">
        <v>1432</v>
      </c>
      <c r="C79" t="str">
        <f t="shared" si="2"/>
        <v>Comercial — Sin KEDB — gestión informal</v>
      </c>
      <c r="D79" s="241">
        <v>1</v>
      </c>
      <c r="E79" s="241">
        <v>0</v>
      </c>
      <c r="F79" s="241">
        <f t="shared" si="3"/>
        <v>1</v>
      </c>
    </row>
    <row r="80" spans="1:6" x14ac:dyDescent="0.35">
      <c r="A80" t="s">
        <v>695</v>
      </c>
      <c r="B80" t="s">
        <v>1433</v>
      </c>
      <c r="C80" t="str">
        <f t="shared" si="2"/>
        <v>Comercial — Herramientas fragmentadas</v>
      </c>
      <c r="D80" s="241">
        <v>1</v>
      </c>
      <c r="E80" s="241">
        <v>10</v>
      </c>
      <c r="F80" s="241">
        <f t="shared" si="3"/>
        <v>11</v>
      </c>
    </row>
    <row r="108" spans="1:3" x14ac:dyDescent="0.35">
      <c r="A108" s="240" t="s">
        <v>1434</v>
      </c>
    </row>
    <row r="109" spans="1:3" x14ac:dyDescent="0.35">
      <c r="A109" s="239" t="s">
        <v>1435</v>
      </c>
      <c r="B109" s="239" t="s">
        <v>1436</v>
      </c>
      <c r="C109" s="239" t="s">
        <v>1437</v>
      </c>
    </row>
    <row r="110" spans="1:3" x14ac:dyDescent="0.35">
      <c r="A110" t="s">
        <v>1358</v>
      </c>
      <c r="B110" s="242">
        <f>L16</f>
        <v>148.99470899470899</v>
      </c>
      <c r="C110" s="246" t="s">
        <v>1438</v>
      </c>
    </row>
    <row r="111" spans="1:3" x14ac:dyDescent="0.35">
      <c r="A111" t="s">
        <v>1439</v>
      </c>
      <c r="B111" s="242">
        <f>$B$8</f>
        <v>35</v>
      </c>
      <c r="C111" s="246" t="s">
        <v>1440</v>
      </c>
    </row>
    <row r="112" spans="1:3" x14ac:dyDescent="0.35">
      <c r="A112" t="s">
        <v>1441</v>
      </c>
      <c r="B112" s="242">
        <f>J26/(700*5)/$B$7</f>
        <v>30.650340136054421</v>
      </c>
      <c r="C112" s="246" t="s">
        <v>1442</v>
      </c>
    </row>
    <row r="113" spans="1:3" x14ac:dyDescent="0.35">
      <c r="A113" t="s">
        <v>1443</v>
      </c>
      <c r="B113" s="242">
        <f>J26/(3000*5)/$B$7</f>
        <v>7.1517460317460317</v>
      </c>
      <c r="C113" s="246" t="s">
        <v>1444</v>
      </c>
    </row>
    <row r="114" spans="1:3" x14ac:dyDescent="0.35">
      <c r="A114" t="s">
        <v>1403</v>
      </c>
      <c r="B114" s="242">
        <f>$B$9</f>
        <v>15</v>
      </c>
      <c r="C114" s="246" t="s">
        <v>1404</v>
      </c>
    </row>
    <row r="115" spans="1:3" x14ac:dyDescent="0.35">
      <c r="A115" s="246" t="s">
        <v>1445</v>
      </c>
    </row>
    <row r="118" spans="1:3" x14ac:dyDescent="0.35">
      <c r="A118" s="240" t="s">
        <v>1446</v>
      </c>
    </row>
    <row r="119" spans="1:3" x14ac:dyDescent="0.35">
      <c r="A119" s="239" t="s">
        <v>1447</v>
      </c>
      <c r="B119" s="239" t="s">
        <v>1448</v>
      </c>
      <c r="C119" s="239" t="s">
        <v>1449</v>
      </c>
    </row>
    <row r="120" spans="1:3" x14ac:dyDescent="0.35">
      <c r="A120" s="240" t="s">
        <v>1450</v>
      </c>
      <c r="B120" t="s">
        <v>1451</v>
      </c>
      <c r="C120" s="246" t="s">
        <v>1452</v>
      </c>
    </row>
    <row r="121" spans="1:3" x14ac:dyDescent="0.35">
      <c r="A121" s="240" t="s">
        <v>1453</v>
      </c>
      <c r="B121" t="s">
        <v>1454</v>
      </c>
      <c r="C121" s="246" t="s">
        <v>1455</v>
      </c>
    </row>
    <row r="122" spans="1:3" x14ac:dyDescent="0.35">
      <c r="A122" s="240" t="s">
        <v>1456</v>
      </c>
      <c r="B122" t="s">
        <v>1457</v>
      </c>
      <c r="C122" s="246" t="s">
        <v>1458</v>
      </c>
    </row>
    <row r="123" spans="1:3" x14ac:dyDescent="0.35">
      <c r="A123" s="240" t="s">
        <v>1459</v>
      </c>
      <c r="B123" t="s">
        <v>1460</v>
      </c>
      <c r="C123" s="246" t="s">
        <v>1461</v>
      </c>
    </row>
    <row r="124" spans="1:3" x14ac:dyDescent="0.35">
      <c r="A124" s="240" t="s">
        <v>1462</v>
      </c>
      <c r="B124" t="s">
        <v>1463</v>
      </c>
      <c r="C124" s="246" t="s">
        <v>1464</v>
      </c>
    </row>
    <row r="125" spans="1:3" x14ac:dyDescent="0.35">
      <c r="A125" s="240" t="s">
        <v>1465</v>
      </c>
      <c r="B125" t="s">
        <v>1466</v>
      </c>
      <c r="C125" s="246" t="s">
        <v>1467</v>
      </c>
    </row>
    <row r="126" spans="1:3" x14ac:dyDescent="0.35">
      <c r="A126" s="240" t="s">
        <v>1468</v>
      </c>
      <c r="B126" t="s">
        <v>1469</v>
      </c>
      <c r="C126" s="246" t="s">
        <v>1470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B5F7-671D-4F2C-B52F-F57C0ACAED66}">
  <sheetPr>
    <tabColor rgb="FF002060"/>
  </sheetPr>
  <dimension ref="A1:E16"/>
  <sheetViews>
    <sheetView workbookViewId="0">
      <selection activeCell="C25" sqref="C25"/>
    </sheetView>
  </sheetViews>
  <sheetFormatPr baseColWidth="10" defaultColWidth="8.7265625" defaultRowHeight="14.5" x14ac:dyDescent="0.35"/>
  <cols>
    <col min="1" max="1" width="36.54296875" bestFit="1" customWidth="1"/>
    <col min="2" max="2" width="12.7265625" bestFit="1" customWidth="1"/>
    <col min="3" max="5" width="36.54296875" bestFit="1" customWidth="1"/>
  </cols>
  <sheetData>
    <row r="1" spans="1:5" x14ac:dyDescent="0.35">
      <c r="A1" t="s">
        <v>630</v>
      </c>
      <c r="C1" t="s">
        <v>631</v>
      </c>
    </row>
    <row r="2" spans="1:5" x14ac:dyDescent="0.35">
      <c r="A2" t="s">
        <v>632</v>
      </c>
    </row>
    <row r="3" spans="1:5" x14ac:dyDescent="0.35">
      <c r="A3" t="s">
        <v>633</v>
      </c>
    </row>
    <row r="4" spans="1:5" x14ac:dyDescent="0.35">
      <c r="A4" s="211" t="s">
        <v>268</v>
      </c>
      <c r="B4" s="211" t="s">
        <v>634</v>
      </c>
      <c r="C4" s="211" t="s">
        <v>635</v>
      </c>
      <c r="D4" s="211" t="s">
        <v>636</v>
      </c>
    </row>
    <row r="5" spans="1:5" ht="33" customHeight="1" x14ac:dyDescent="0.35">
      <c r="A5" t="s">
        <v>637</v>
      </c>
      <c r="B5" t="s">
        <v>638</v>
      </c>
      <c r="C5" t="s">
        <v>639</v>
      </c>
      <c r="D5" s="178" t="s">
        <v>640</v>
      </c>
      <c r="E5" t="s">
        <v>641</v>
      </c>
    </row>
    <row r="6" spans="1:5" x14ac:dyDescent="0.35">
      <c r="A6" t="s">
        <v>642</v>
      </c>
      <c r="C6" t="s">
        <v>643</v>
      </c>
      <c r="E6" t="s">
        <v>644</v>
      </c>
    </row>
    <row r="7" spans="1:5" x14ac:dyDescent="0.35">
      <c r="C7" s="178" t="s">
        <v>645</v>
      </c>
    </row>
    <row r="8" spans="1:5" ht="43.5" x14ac:dyDescent="0.35">
      <c r="A8" t="s">
        <v>1471</v>
      </c>
      <c r="C8" s="178" t="s">
        <v>1472</v>
      </c>
    </row>
    <row r="9" spans="1:5" ht="29" x14ac:dyDescent="0.35">
      <c r="A9" t="s">
        <v>1473</v>
      </c>
      <c r="C9" s="178" t="s">
        <v>1474</v>
      </c>
    </row>
    <row r="10" spans="1:5" ht="43.5" x14ac:dyDescent="0.35">
      <c r="A10" t="s">
        <v>1475</v>
      </c>
      <c r="C10" s="178" t="s">
        <v>1476</v>
      </c>
    </row>
    <row r="11" spans="1:5" ht="58" x14ac:dyDescent="0.35">
      <c r="A11" t="s">
        <v>1477</v>
      </c>
      <c r="C11" s="178" t="s">
        <v>1478</v>
      </c>
    </row>
    <row r="12" spans="1:5" ht="58" x14ac:dyDescent="0.35">
      <c r="A12" t="s">
        <v>126</v>
      </c>
      <c r="C12" s="178" t="s">
        <v>1479</v>
      </c>
    </row>
    <row r="13" spans="1:5" ht="43.5" x14ac:dyDescent="0.35">
      <c r="A13" t="s">
        <v>125</v>
      </c>
      <c r="C13" s="178" t="s">
        <v>1480</v>
      </c>
    </row>
    <row r="14" spans="1:5" ht="43.5" x14ac:dyDescent="0.35">
      <c r="A14" t="s">
        <v>1481</v>
      </c>
      <c r="C14" s="178" t="s">
        <v>1482</v>
      </c>
    </row>
    <row r="15" spans="1:5" ht="43.5" x14ac:dyDescent="0.35">
      <c r="A15" t="s">
        <v>281</v>
      </c>
      <c r="C15" s="178" t="s">
        <v>1483</v>
      </c>
    </row>
    <row r="16" spans="1:5" ht="43.5" x14ac:dyDescent="0.35">
      <c r="A16" t="s">
        <v>1484</v>
      </c>
      <c r="C16" s="178" t="s">
        <v>1485</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F5F21-2906-4B85-8C42-CA0AC0E626F6}">
  <sheetPr>
    <tabColor rgb="FF7030A0"/>
  </sheetPr>
  <dimension ref="B2:K180"/>
  <sheetViews>
    <sheetView showGridLines="0" zoomScaleNormal="100" workbookViewId="0">
      <pane xSplit="2" ySplit="2" topLeftCell="C3" activePane="bottomRight" state="frozen"/>
      <selection pane="topRight" activeCell="C1" sqref="C1"/>
      <selection pane="bottomLeft" activeCell="A3" sqref="A3"/>
      <selection pane="bottomRight" activeCell="C16" sqref="C16"/>
    </sheetView>
  </sheetViews>
  <sheetFormatPr baseColWidth="10" defaultColWidth="8.54296875" defaultRowHeight="14.5" x14ac:dyDescent="0.35"/>
  <cols>
    <col min="1" max="1" width="3" style="1" customWidth="1"/>
    <col min="2" max="2" width="40.26953125" style="70" customWidth="1"/>
    <col min="3" max="3" width="44.7265625" style="1" customWidth="1"/>
    <col min="4" max="4" width="31.453125" style="1" customWidth="1"/>
    <col min="5" max="5" width="39.7265625" style="1" customWidth="1"/>
    <col min="6" max="6" width="27.453125" style="1" customWidth="1"/>
    <col min="7" max="7" width="25" style="1" customWidth="1"/>
    <col min="8" max="8" width="9.81640625" style="1" customWidth="1"/>
    <col min="9" max="9" width="13.26953125" style="1" customWidth="1"/>
    <col min="10" max="10" width="34.26953125" style="1" customWidth="1"/>
    <col min="11" max="11" width="57.1796875" style="1" customWidth="1"/>
    <col min="12" max="16384" width="8.54296875" style="1"/>
  </cols>
  <sheetData>
    <row r="2" spans="2:11" ht="18.5" x14ac:dyDescent="0.35">
      <c r="B2" s="259" t="s">
        <v>646</v>
      </c>
      <c r="C2" s="259"/>
      <c r="D2" s="259"/>
      <c r="E2" s="259"/>
      <c r="F2" s="259"/>
      <c r="G2" s="259"/>
    </row>
    <row r="3" spans="2:11" ht="21" customHeight="1" x14ac:dyDescent="0.35">
      <c r="I3" s="62" t="s">
        <v>60</v>
      </c>
      <c r="J3" s="62"/>
      <c r="K3" s="62"/>
    </row>
    <row r="4" spans="2:11" ht="15.5" x14ac:dyDescent="0.35">
      <c r="B4" s="258" t="s">
        <v>647</v>
      </c>
      <c r="C4" s="258"/>
      <c r="D4" s="258"/>
      <c r="E4" s="258"/>
      <c r="F4" s="258"/>
      <c r="G4" s="258"/>
      <c r="I4" s="33" t="s">
        <v>61</v>
      </c>
      <c r="J4" s="33" t="s">
        <v>62</v>
      </c>
      <c r="K4" s="33" t="s">
        <v>22</v>
      </c>
    </row>
    <row r="5" spans="2:11" ht="18.75" customHeight="1" x14ac:dyDescent="0.35">
      <c r="B5" s="133" t="s">
        <v>648</v>
      </c>
      <c r="C5" s="346" t="s">
        <v>125</v>
      </c>
      <c r="D5" s="346"/>
      <c r="E5" s="346"/>
      <c r="I5" s="17" t="s">
        <v>63</v>
      </c>
      <c r="J5" s="18" t="s">
        <v>64</v>
      </c>
      <c r="K5" s="63" t="s">
        <v>65</v>
      </c>
    </row>
    <row r="6" spans="2:11" ht="18.75" customHeight="1" x14ac:dyDescent="0.35">
      <c r="B6" s="133" t="s">
        <v>649</v>
      </c>
      <c r="C6" s="265" t="s">
        <v>650</v>
      </c>
      <c r="D6" s="265"/>
      <c r="E6" s="265"/>
      <c r="I6" s="19" t="s">
        <v>66</v>
      </c>
      <c r="J6" s="18" t="s">
        <v>67</v>
      </c>
      <c r="K6" s="63" t="s">
        <v>68</v>
      </c>
    </row>
    <row r="7" spans="2:11" ht="18.75" customHeight="1" x14ac:dyDescent="0.35">
      <c r="B7" s="133" t="s">
        <v>651</v>
      </c>
      <c r="C7" s="265" t="s">
        <v>652</v>
      </c>
      <c r="D7" s="265"/>
      <c r="E7" s="265"/>
      <c r="I7" s="20" t="s">
        <v>69</v>
      </c>
      <c r="J7" s="18" t="s">
        <v>70</v>
      </c>
      <c r="K7" s="63" t="s">
        <v>71</v>
      </c>
    </row>
    <row r="8" spans="2:11" ht="18.75" customHeight="1" x14ac:dyDescent="0.35">
      <c r="B8" s="133" t="s">
        <v>653</v>
      </c>
      <c r="C8" s="265" t="s">
        <v>654</v>
      </c>
      <c r="D8" s="265"/>
      <c r="E8" s="265"/>
      <c r="I8" s="21" t="s">
        <v>72</v>
      </c>
      <c r="J8" s="18" t="s">
        <v>73</v>
      </c>
      <c r="K8" s="63" t="s">
        <v>74</v>
      </c>
    </row>
    <row r="9" spans="2:11" ht="18.75" customHeight="1" x14ac:dyDescent="0.35">
      <c r="B9" s="133" t="s">
        <v>655</v>
      </c>
      <c r="C9" s="263">
        <v>46210</v>
      </c>
      <c r="D9" s="264"/>
      <c r="E9" s="264"/>
      <c r="I9" s="22" t="s">
        <v>75</v>
      </c>
      <c r="J9" s="18" t="s">
        <v>76</v>
      </c>
      <c r="K9" s="63" t="s">
        <v>77</v>
      </c>
    </row>
    <row r="10" spans="2:11" ht="18.75" customHeight="1" x14ac:dyDescent="0.35">
      <c r="B10" s="133" t="s">
        <v>656</v>
      </c>
      <c r="C10" s="265" t="s">
        <v>657</v>
      </c>
      <c r="D10" s="265"/>
      <c r="E10" s="265"/>
    </row>
    <row r="11" spans="2:11" ht="18.75" customHeight="1" x14ac:dyDescent="0.35">
      <c r="B11" s="133" t="s">
        <v>658</v>
      </c>
      <c r="C11" s="265">
        <v>4</v>
      </c>
      <c r="D11" s="265"/>
      <c r="E11" s="265"/>
      <c r="I11" s="33" t="s">
        <v>659</v>
      </c>
      <c r="J11" s="33" t="s">
        <v>292</v>
      </c>
      <c r="K11" s="33" t="s">
        <v>660</v>
      </c>
    </row>
    <row r="12" spans="2:11" x14ac:dyDescent="0.35">
      <c r="B12" s="133" t="s">
        <v>661</v>
      </c>
      <c r="C12" s="126" t="s">
        <v>276</v>
      </c>
      <c r="D12" s="127"/>
      <c r="E12" s="127"/>
      <c r="I12" s="18" t="s">
        <v>662</v>
      </c>
      <c r="J12" s="63" t="s">
        <v>663</v>
      </c>
      <c r="K12" s="63" t="s">
        <v>664</v>
      </c>
    </row>
    <row r="13" spans="2:11" ht="18.75" customHeight="1" x14ac:dyDescent="0.35">
      <c r="B13" s="133" t="s">
        <v>665</v>
      </c>
      <c r="C13" s="38" t="s">
        <v>66</v>
      </c>
      <c r="D13" s="39" t="s">
        <v>666</v>
      </c>
      <c r="I13" s="18" t="s">
        <v>667</v>
      </c>
      <c r="J13" s="63" t="s">
        <v>668</v>
      </c>
      <c r="K13" s="63" t="s">
        <v>669</v>
      </c>
    </row>
    <row r="14" spans="2:11" ht="18.75" customHeight="1" x14ac:dyDescent="0.35">
      <c r="B14" s="133" t="s">
        <v>670</v>
      </c>
      <c r="C14" s="139" t="s">
        <v>671</v>
      </c>
      <c r="D14" s="39"/>
      <c r="I14" s="18" t="s">
        <v>672</v>
      </c>
      <c r="J14" s="63" t="s">
        <v>673</v>
      </c>
      <c r="K14" s="63" t="s">
        <v>674</v>
      </c>
    </row>
    <row r="15" spans="2:11" ht="18.75" customHeight="1" x14ac:dyDescent="0.35">
      <c r="B15" s="133" t="s">
        <v>675</v>
      </c>
      <c r="C15" s="126" t="s">
        <v>676</v>
      </c>
      <c r="D15" s="127"/>
      <c r="E15" s="127"/>
    </row>
    <row r="16" spans="2:11" ht="18.75" customHeight="1" x14ac:dyDescent="0.35">
      <c r="B16" s="133" t="s">
        <v>677</v>
      </c>
      <c r="C16" s="38" t="s">
        <v>432</v>
      </c>
      <c r="D16" s="134"/>
    </row>
    <row r="17" spans="2:6" ht="18.75" customHeight="1" x14ac:dyDescent="0.35">
      <c r="B17" s="133" t="s">
        <v>678</v>
      </c>
      <c r="C17" s="126" t="s">
        <v>679</v>
      </c>
      <c r="D17" s="127"/>
      <c r="E17" s="127"/>
    </row>
    <row r="18" spans="2:6" ht="62.25" customHeight="1" x14ac:dyDescent="0.35">
      <c r="B18" s="133" t="s">
        <v>680</v>
      </c>
      <c r="C18" s="251" t="s">
        <v>681</v>
      </c>
      <c r="D18" s="262"/>
      <c r="E18" s="262"/>
    </row>
    <row r="19" spans="2:6" ht="17.25" customHeight="1" x14ac:dyDescent="0.35">
      <c r="B19" s="133" t="s">
        <v>682</v>
      </c>
      <c r="C19" s="126" t="s">
        <v>683</v>
      </c>
      <c r="D19" s="127"/>
      <c r="E19" s="127"/>
    </row>
    <row r="20" spans="2:6" x14ac:dyDescent="0.35">
      <c r="B20" s="133" t="s">
        <v>684</v>
      </c>
      <c r="C20" s="126" t="s">
        <v>685</v>
      </c>
      <c r="D20" s="136"/>
      <c r="E20" s="136"/>
    </row>
    <row r="21" spans="2:6" x14ac:dyDescent="0.35">
      <c r="B21" s="133" t="s">
        <v>686</v>
      </c>
      <c r="C21" s="126" t="s">
        <v>687</v>
      </c>
      <c r="D21" s="136"/>
      <c r="E21" s="136"/>
    </row>
    <row r="22" spans="2:6" x14ac:dyDescent="0.35">
      <c r="B22" s="133" t="s">
        <v>688</v>
      </c>
      <c r="C22" s="126" t="s">
        <v>689</v>
      </c>
      <c r="D22" s="136"/>
      <c r="E22" s="136"/>
    </row>
    <row r="23" spans="2:6" x14ac:dyDescent="0.35">
      <c r="B23" s="133" t="s">
        <v>690</v>
      </c>
      <c r="C23" s="137" t="s">
        <v>691</v>
      </c>
      <c r="D23" s="136"/>
      <c r="E23" s="136"/>
    </row>
    <row r="24" spans="2:6" x14ac:dyDescent="0.35">
      <c r="B24" s="133" t="s">
        <v>692</v>
      </c>
      <c r="C24" s="126" t="s">
        <v>693</v>
      </c>
      <c r="D24" s="126"/>
      <c r="E24" s="126"/>
    </row>
    <row r="25" spans="2:6" x14ac:dyDescent="0.35">
      <c r="B25" s="133" t="s">
        <v>694</v>
      </c>
      <c r="C25" s="349"/>
      <c r="D25" s="350"/>
      <c r="E25" s="350"/>
    </row>
    <row r="26" spans="2:6" x14ac:dyDescent="0.35">
      <c r="B26" s="133" t="s">
        <v>695</v>
      </c>
      <c r="C26" s="265" t="s">
        <v>696</v>
      </c>
      <c r="D26" s="264"/>
      <c r="E26" s="264"/>
    </row>
    <row r="27" spans="2:6" x14ac:dyDescent="0.35">
      <c r="B27" s="133" t="s">
        <v>697</v>
      </c>
      <c r="C27" s="252"/>
      <c r="D27" s="252"/>
      <c r="E27" s="253"/>
    </row>
    <row r="28" spans="2:6" x14ac:dyDescent="0.35">
      <c r="B28" s="213" t="s">
        <v>698</v>
      </c>
      <c r="C28" s="252"/>
      <c r="D28" s="252"/>
      <c r="E28" s="253"/>
    </row>
    <row r="29" spans="2:6" x14ac:dyDescent="0.35">
      <c r="B29" s="1"/>
    </row>
    <row r="30" spans="2:6" ht="15.75" customHeight="1" x14ac:dyDescent="0.35">
      <c r="B30" s="347" t="s">
        <v>699</v>
      </c>
      <c r="C30" s="348"/>
      <c r="D30" s="169"/>
      <c r="E30" s="169"/>
      <c r="F30" s="169"/>
    </row>
    <row r="31" spans="2:6" x14ac:dyDescent="0.35">
      <c r="B31" s="158" t="s">
        <v>19</v>
      </c>
      <c r="C31" s="158" t="s">
        <v>700</v>
      </c>
      <c r="D31" s="158" t="s">
        <v>701</v>
      </c>
      <c r="E31" s="158" t="s">
        <v>702</v>
      </c>
      <c r="F31" s="158" t="s">
        <v>703</v>
      </c>
    </row>
    <row r="32" spans="2:6" ht="15.75" customHeight="1" x14ac:dyDescent="0.35">
      <c r="B32" s="167" t="s">
        <v>704</v>
      </c>
      <c r="C32" s="167"/>
      <c r="D32" s="167"/>
      <c r="E32" s="167"/>
      <c r="F32" s="167"/>
    </row>
    <row r="33" spans="2:6" ht="37.5" customHeight="1" x14ac:dyDescent="0.35">
      <c r="B33" s="159">
        <v>1.1000000000000001</v>
      </c>
      <c r="C33" s="65" t="s">
        <v>705</v>
      </c>
      <c r="D33" s="160" t="s">
        <v>89</v>
      </c>
      <c r="E33" s="161"/>
      <c r="F33" s="160" t="s">
        <v>277</v>
      </c>
    </row>
    <row r="34" spans="2:6" ht="37.5" customHeight="1" x14ac:dyDescent="0.35">
      <c r="B34" s="162">
        <v>1.2</v>
      </c>
      <c r="C34" s="66" t="s">
        <v>706</v>
      </c>
      <c r="D34" s="160" t="s">
        <v>89</v>
      </c>
      <c r="E34" s="161"/>
      <c r="F34" s="160" t="s">
        <v>271</v>
      </c>
    </row>
    <row r="35" spans="2:6" ht="37.5" customHeight="1" x14ac:dyDescent="0.35">
      <c r="B35" s="159">
        <v>1.3</v>
      </c>
      <c r="C35" s="65" t="s">
        <v>707</v>
      </c>
      <c r="D35" s="160" t="s">
        <v>93</v>
      </c>
      <c r="E35" s="161"/>
      <c r="F35" s="160" t="s">
        <v>277</v>
      </c>
    </row>
    <row r="36" spans="2:6" ht="37.5" customHeight="1" x14ac:dyDescent="0.35">
      <c r="B36" s="162">
        <v>1.4</v>
      </c>
      <c r="C36" s="66" t="s">
        <v>708</v>
      </c>
      <c r="D36" s="160" t="s">
        <v>93</v>
      </c>
      <c r="E36" s="161"/>
      <c r="F36" s="160" t="s">
        <v>277</v>
      </c>
    </row>
    <row r="37" spans="2:6" ht="37.5" customHeight="1" x14ac:dyDescent="0.35">
      <c r="B37" s="159">
        <v>1.5</v>
      </c>
      <c r="C37" s="65" t="s">
        <v>709</v>
      </c>
      <c r="D37" s="160" t="s">
        <v>86</v>
      </c>
      <c r="E37" s="161" t="s">
        <v>710</v>
      </c>
      <c r="F37" s="160" t="s">
        <v>282</v>
      </c>
    </row>
    <row r="38" spans="2:6" x14ac:dyDescent="0.35">
      <c r="B38" s="163"/>
      <c r="C38" s="163"/>
      <c r="D38" s="163"/>
      <c r="E38" s="163"/>
      <c r="F38" s="163"/>
    </row>
    <row r="39" spans="2:6" ht="15.75" customHeight="1" x14ac:dyDescent="0.35">
      <c r="B39" s="167" t="s">
        <v>711</v>
      </c>
      <c r="C39" s="167"/>
      <c r="D39" s="168"/>
      <c r="E39" s="168"/>
      <c r="F39" s="168"/>
    </row>
    <row r="40" spans="2:6" ht="39.75" customHeight="1" x14ac:dyDescent="0.35">
      <c r="B40" s="162">
        <v>2.1</v>
      </c>
      <c r="C40" s="66" t="s">
        <v>712</v>
      </c>
      <c r="D40" s="160" t="s">
        <v>86</v>
      </c>
      <c r="E40" s="161" t="s">
        <v>713</v>
      </c>
      <c r="F40" s="160" t="s">
        <v>277</v>
      </c>
    </row>
    <row r="41" spans="2:6" ht="39.75" customHeight="1" x14ac:dyDescent="0.35">
      <c r="B41" s="159">
        <v>2.2000000000000002</v>
      </c>
      <c r="C41" s="65" t="s">
        <v>714</v>
      </c>
      <c r="D41" s="160" t="s">
        <v>86</v>
      </c>
      <c r="E41" s="161" t="s">
        <v>715</v>
      </c>
      <c r="F41" s="160" t="s">
        <v>277</v>
      </c>
    </row>
    <row r="42" spans="2:6" ht="39.75" customHeight="1" x14ac:dyDescent="0.35">
      <c r="B42" s="162">
        <v>2.2999999999999998</v>
      </c>
      <c r="C42" s="66" t="s">
        <v>716</v>
      </c>
      <c r="D42" s="160" t="s">
        <v>89</v>
      </c>
      <c r="E42" s="161" t="s">
        <v>717</v>
      </c>
      <c r="F42" s="160" t="s">
        <v>271</v>
      </c>
    </row>
    <row r="43" spans="2:6" ht="39.75" customHeight="1" x14ac:dyDescent="0.35">
      <c r="B43" s="159">
        <v>2.4</v>
      </c>
      <c r="C43" s="65" t="s">
        <v>718</v>
      </c>
      <c r="D43" s="160" t="s">
        <v>93</v>
      </c>
      <c r="E43" s="161"/>
      <c r="F43" s="160" t="s">
        <v>277</v>
      </c>
    </row>
    <row r="44" spans="2:6" ht="47.25" customHeight="1" x14ac:dyDescent="0.35">
      <c r="B44" s="162">
        <v>2.5</v>
      </c>
      <c r="C44" s="66" t="s">
        <v>719</v>
      </c>
      <c r="D44" s="160" t="s">
        <v>89</v>
      </c>
      <c r="E44" s="161" t="s">
        <v>720</v>
      </c>
      <c r="F44" s="160" t="s">
        <v>271</v>
      </c>
    </row>
    <row r="45" spans="2:6" ht="39.75" customHeight="1" x14ac:dyDescent="0.35">
      <c r="B45" s="159">
        <v>2.6</v>
      </c>
      <c r="C45" s="65" t="s">
        <v>721</v>
      </c>
      <c r="D45" s="160" t="s">
        <v>93</v>
      </c>
      <c r="E45" s="161"/>
      <c r="F45" s="160" t="s">
        <v>271</v>
      </c>
    </row>
    <row r="46" spans="2:6" ht="29" x14ac:dyDescent="0.35">
      <c r="B46" s="162">
        <v>2.7</v>
      </c>
      <c r="C46" s="66" t="s">
        <v>722</v>
      </c>
      <c r="D46" s="160" t="s">
        <v>93</v>
      </c>
      <c r="E46" s="161"/>
      <c r="F46" s="160" t="s">
        <v>271</v>
      </c>
    </row>
    <row r="47" spans="2:6" x14ac:dyDescent="0.35">
      <c r="B47" s="163"/>
      <c r="C47" s="163"/>
      <c r="D47" s="163"/>
      <c r="E47" s="163"/>
      <c r="F47" s="163"/>
    </row>
    <row r="48" spans="2:6" ht="15.75" customHeight="1" x14ac:dyDescent="0.35">
      <c r="B48" s="167" t="s">
        <v>723</v>
      </c>
      <c r="C48" s="167"/>
      <c r="D48" s="168"/>
      <c r="E48" s="168"/>
      <c r="F48" s="168"/>
    </row>
    <row r="49" spans="2:6" ht="51.75" customHeight="1" x14ac:dyDescent="0.35">
      <c r="B49" s="159">
        <v>3.1</v>
      </c>
      <c r="C49" s="65" t="s">
        <v>724</v>
      </c>
      <c r="D49" s="160" t="s">
        <v>89</v>
      </c>
      <c r="E49" s="161" t="s">
        <v>725</v>
      </c>
      <c r="F49" s="160" t="s">
        <v>271</v>
      </c>
    </row>
    <row r="50" spans="2:6" ht="54.75" customHeight="1" x14ac:dyDescent="0.35">
      <c r="B50" s="162">
        <v>3.2</v>
      </c>
      <c r="C50" s="66" t="s">
        <v>726</v>
      </c>
      <c r="D50" s="160" t="s">
        <v>93</v>
      </c>
      <c r="E50" s="161"/>
      <c r="F50" s="160" t="s">
        <v>271</v>
      </c>
    </row>
    <row r="51" spans="2:6" ht="29" x14ac:dyDescent="0.35">
      <c r="B51" s="159">
        <v>3.3</v>
      </c>
      <c r="C51" s="65" t="s">
        <v>727</v>
      </c>
      <c r="D51" s="160" t="s">
        <v>93</v>
      </c>
      <c r="E51" s="161"/>
      <c r="F51" s="160" t="s">
        <v>277</v>
      </c>
    </row>
    <row r="52" spans="2:6" x14ac:dyDescent="0.35">
      <c r="B52" s="163"/>
      <c r="C52" s="163"/>
      <c r="D52" s="163"/>
      <c r="E52" s="163"/>
      <c r="F52" s="163"/>
    </row>
    <row r="53" spans="2:6" ht="15.75" customHeight="1" x14ac:dyDescent="0.35">
      <c r="B53" s="167" t="s">
        <v>728</v>
      </c>
      <c r="C53" s="167"/>
      <c r="D53" s="168"/>
      <c r="E53" s="168"/>
      <c r="F53" s="168"/>
    </row>
    <row r="54" spans="2:6" ht="43.5" x14ac:dyDescent="0.35">
      <c r="B54" s="162">
        <v>4.0999999999999996</v>
      </c>
      <c r="C54" s="66" t="s">
        <v>729</v>
      </c>
      <c r="D54" s="160" t="s">
        <v>89</v>
      </c>
      <c r="E54" s="161" t="s">
        <v>730</v>
      </c>
      <c r="F54" s="160" t="s">
        <v>271</v>
      </c>
    </row>
    <row r="55" spans="2:6" ht="29" x14ac:dyDescent="0.35">
      <c r="B55" s="159">
        <v>4.2</v>
      </c>
      <c r="C55" s="65" t="s">
        <v>731</v>
      </c>
      <c r="D55" s="160" t="s">
        <v>93</v>
      </c>
      <c r="E55" s="161"/>
      <c r="F55" s="160" t="s">
        <v>271</v>
      </c>
    </row>
    <row r="56" spans="2:6" x14ac:dyDescent="0.35">
      <c r="B56" s="163"/>
      <c r="C56" s="163"/>
      <c r="D56" s="163"/>
      <c r="E56" s="163"/>
      <c r="F56" s="163"/>
    </row>
    <row r="57" spans="2:6" ht="18.5" x14ac:dyDescent="0.35">
      <c r="B57" s="345" t="s">
        <v>732</v>
      </c>
      <c r="C57" s="345"/>
      <c r="D57" s="164">
        <v>5</v>
      </c>
      <c r="E57" s="165">
        <v>0.29411764705882398</v>
      </c>
      <c r="F57" s="163"/>
    </row>
    <row r="59" spans="2:6" ht="15.5" x14ac:dyDescent="0.35">
      <c r="B59" s="100" t="s">
        <v>733</v>
      </c>
      <c r="C59" s="100"/>
      <c r="D59" s="100"/>
      <c r="E59" s="100"/>
      <c r="F59" s="100"/>
    </row>
    <row r="60" spans="2:6" x14ac:dyDescent="0.35">
      <c r="B60" s="6" t="s">
        <v>464</v>
      </c>
      <c r="C60" s="33" t="s">
        <v>466</v>
      </c>
      <c r="D60" s="33" t="s">
        <v>734</v>
      </c>
      <c r="E60" s="33" t="s">
        <v>735</v>
      </c>
      <c r="F60" s="33" t="s">
        <v>736</v>
      </c>
    </row>
    <row r="61" spans="2:6" x14ac:dyDescent="0.35">
      <c r="B61" s="14" t="s">
        <v>467</v>
      </c>
      <c r="C61" s="71"/>
      <c r="D61" s="45" t="s">
        <v>97</v>
      </c>
      <c r="E61" s="45" t="s">
        <v>496</v>
      </c>
      <c r="F61" s="121"/>
    </row>
    <row r="62" spans="2:6" x14ac:dyDescent="0.35">
      <c r="B62" s="16" t="s">
        <v>470</v>
      </c>
      <c r="C62" s="72"/>
      <c r="D62" s="47" t="s">
        <v>97</v>
      </c>
      <c r="E62" s="47" t="s">
        <v>496</v>
      </c>
      <c r="F62" s="121"/>
    </row>
    <row r="63" spans="2:6" x14ac:dyDescent="0.35">
      <c r="B63" s="14" t="s">
        <v>472</v>
      </c>
      <c r="C63" s="71"/>
      <c r="D63" s="45" t="s">
        <v>97</v>
      </c>
      <c r="E63" s="45" t="s">
        <v>496</v>
      </c>
      <c r="F63" s="121"/>
    </row>
    <row r="64" spans="2:6" x14ac:dyDescent="0.35">
      <c r="B64" s="16" t="s">
        <v>737</v>
      </c>
      <c r="C64" s="72"/>
      <c r="D64" s="47" t="s">
        <v>97</v>
      </c>
      <c r="E64" s="47" t="s">
        <v>496</v>
      </c>
      <c r="F64" s="121"/>
    </row>
    <row r="65" spans="2:6" x14ac:dyDescent="0.35">
      <c r="B65" s="14" t="s">
        <v>475</v>
      </c>
      <c r="C65" s="73"/>
      <c r="D65" s="45" t="s">
        <v>97</v>
      </c>
      <c r="E65" s="45" t="s">
        <v>496</v>
      </c>
      <c r="F65" s="121"/>
    </row>
    <row r="66" spans="2:6" x14ac:dyDescent="0.35">
      <c r="B66" s="16" t="s">
        <v>477</v>
      </c>
      <c r="C66" s="72"/>
      <c r="D66" s="47" t="s">
        <v>97</v>
      </c>
      <c r="E66" s="47" t="s">
        <v>496</v>
      </c>
      <c r="F66" s="121"/>
    </row>
    <row r="67" spans="2:6" x14ac:dyDescent="0.35">
      <c r="B67" s="14" t="s">
        <v>257</v>
      </c>
      <c r="C67" s="73"/>
      <c r="D67" s="45" t="s">
        <v>97</v>
      </c>
      <c r="E67" s="45" t="s">
        <v>496</v>
      </c>
      <c r="F67" s="121"/>
    </row>
    <row r="68" spans="2:6" x14ac:dyDescent="0.35">
      <c r="B68" s="16" t="s">
        <v>480</v>
      </c>
      <c r="C68" s="72"/>
      <c r="D68" s="47" t="s">
        <v>97</v>
      </c>
      <c r="E68" s="47" t="s">
        <v>496</v>
      </c>
      <c r="F68" s="121"/>
    </row>
    <row r="69" spans="2:6" x14ac:dyDescent="0.35">
      <c r="B69" s="14" t="s">
        <v>482</v>
      </c>
      <c r="C69" s="71"/>
      <c r="D69" s="45" t="s">
        <v>97</v>
      </c>
      <c r="E69" s="45" t="s">
        <v>496</v>
      </c>
      <c r="F69" s="121"/>
    </row>
    <row r="70" spans="2:6" x14ac:dyDescent="0.35">
      <c r="B70" s="16" t="s">
        <v>484</v>
      </c>
      <c r="C70" s="72"/>
      <c r="D70" s="47" t="s">
        <v>97</v>
      </c>
      <c r="E70" s="47" t="s">
        <v>496</v>
      </c>
      <c r="F70" s="121"/>
    </row>
    <row r="71" spans="2:6" ht="57.75" customHeight="1" x14ac:dyDescent="0.35">
      <c r="B71" s="14" t="s">
        <v>486</v>
      </c>
      <c r="C71" s="166">
        <v>4</v>
      </c>
      <c r="D71" s="45">
        <v>8</v>
      </c>
      <c r="E71" s="45">
        <v>8</v>
      </c>
      <c r="F71" s="149" t="s">
        <v>738</v>
      </c>
    </row>
    <row r="72" spans="2:6" x14ac:dyDescent="0.35">
      <c r="B72" s="16" t="s">
        <v>488</v>
      </c>
      <c r="C72" s="72"/>
      <c r="D72" s="47" t="s">
        <v>97</v>
      </c>
      <c r="E72" s="47" t="s">
        <v>496</v>
      </c>
      <c r="F72" s="121"/>
    </row>
    <row r="74" spans="2:6" ht="15.5" x14ac:dyDescent="0.35">
      <c r="B74" s="343" t="s">
        <v>37</v>
      </c>
      <c r="C74" s="344"/>
      <c r="D74" s="100"/>
      <c r="E74" s="100"/>
      <c r="F74" s="100"/>
    </row>
    <row r="75" spans="2:6" x14ac:dyDescent="0.35">
      <c r="B75" s="342" t="s">
        <v>739</v>
      </c>
      <c r="C75" s="342"/>
      <c r="D75" s="342"/>
      <c r="E75" s="342"/>
      <c r="F75" s="342"/>
    </row>
    <row r="76" spans="2:6" x14ac:dyDescent="0.35">
      <c r="B76" s="6" t="s">
        <v>740</v>
      </c>
      <c r="C76" s="33" t="s">
        <v>741</v>
      </c>
      <c r="D76" s="33" t="s">
        <v>742</v>
      </c>
      <c r="E76" s="33" t="s">
        <v>743</v>
      </c>
      <c r="F76" s="33" t="s">
        <v>744</v>
      </c>
    </row>
    <row r="77" spans="2:6" x14ac:dyDescent="0.35">
      <c r="B77" s="14" t="s">
        <v>745</v>
      </c>
      <c r="C77" s="45"/>
      <c r="D77" s="45"/>
      <c r="E77" s="45"/>
      <c r="F77" s="149"/>
    </row>
    <row r="78" spans="2:6" ht="43.5" x14ac:dyDescent="0.35">
      <c r="B78" s="16" t="s">
        <v>746</v>
      </c>
      <c r="C78" s="47"/>
      <c r="D78" s="47"/>
      <c r="E78" s="47"/>
      <c r="F78" s="16" t="s">
        <v>747</v>
      </c>
    </row>
    <row r="79" spans="2:6" x14ac:dyDescent="0.35">
      <c r="B79" s="14" t="s">
        <v>748</v>
      </c>
      <c r="C79" s="45"/>
      <c r="D79" s="45"/>
      <c r="E79" s="45"/>
      <c r="F79" s="14"/>
    </row>
    <row r="80" spans="2:6" ht="29" x14ac:dyDescent="0.35">
      <c r="B80" s="16" t="s">
        <v>749</v>
      </c>
      <c r="C80" s="47"/>
      <c r="D80" s="47"/>
      <c r="E80" s="47"/>
      <c r="F80" s="16" t="s">
        <v>750</v>
      </c>
    </row>
    <row r="81" spans="2:7" x14ac:dyDescent="0.35">
      <c r="B81" s="14" t="s">
        <v>751</v>
      </c>
      <c r="C81" s="45"/>
      <c r="D81" s="45"/>
      <c r="E81" s="45"/>
      <c r="F81" s="14"/>
    </row>
    <row r="82" spans="2:7" x14ac:dyDescent="0.35">
      <c r="B82" s="16" t="s">
        <v>752</v>
      </c>
      <c r="C82" s="47"/>
      <c r="D82" s="47"/>
      <c r="E82" s="47"/>
      <c r="F82" s="16"/>
    </row>
    <row r="83" spans="2:7" ht="43.5" x14ac:dyDescent="0.35">
      <c r="B83" s="14" t="s">
        <v>753</v>
      </c>
      <c r="C83" s="45"/>
      <c r="D83" s="45"/>
      <c r="E83" s="45"/>
      <c r="F83" s="14" t="s">
        <v>754</v>
      </c>
    </row>
    <row r="84" spans="2:7" ht="29" x14ac:dyDescent="0.35">
      <c r="B84" s="16" t="s">
        <v>755</v>
      </c>
      <c r="C84" s="47"/>
      <c r="D84" s="47"/>
      <c r="E84" s="47"/>
      <c r="F84" s="16" t="s">
        <v>756</v>
      </c>
    </row>
    <row r="86" spans="2:7" ht="31" x14ac:dyDescent="0.35">
      <c r="B86" s="101" t="s">
        <v>757</v>
      </c>
      <c r="C86" s="100"/>
      <c r="D86" s="100"/>
      <c r="E86" s="100"/>
      <c r="F86" s="100"/>
    </row>
    <row r="87" spans="2:7" x14ac:dyDescent="0.35">
      <c r="B87" s="6" t="s">
        <v>758</v>
      </c>
      <c r="C87" s="33" t="s">
        <v>466</v>
      </c>
      <c r="D87" s="33" t="s">
        <v>201</v>
      </c>
      <c r="E87" s="33" t="s">
        <v>759</v>
      </c>
      <c r="F87" s="33" t="s">
        <v>744</v>
      </c>
    </row>
    <row r="88" spans="2:7" x14ac:dyDescent="0.35">
      <c r="B88" s="14" t="s">
        <v>760</v>
      </c>
      <c r="C88" s="45"/>
      <c r="D88" s="45" t="s">
        <v>97</v>
      </c>
      <c r="E88" s="45" t="s">
        <v>496</v>
      </c>
      <c r="F88" s="45"/>
    </row>
    <row r="89" spans="2:7" x14ac:dyDescent="0.35">
      <c r="B89" s="16" t="s">
        <v>428</v>
      </c>
      <c r="C89" s="36"/>
      <c r="D89" s="36" t="s">
        <v>97</v>
      </c>
      <c r="E89" s="47" t="s">
        <v>496</v>
      </c>
      <c r="F89" s="47"/>
    </row>
    <row r="90" spans="2:7" x14ac:dyDescent="0.35">
      <c r="B90" s="14" t="s">
        <v>429</v>
      </c>
      <c r="C90" s="45"/>
      <c r="D90" s="45" t="s">
        <v>97</v>
      </c>
      <c r="E90" s="45" t="s">
        <v>496</v>
      </c>
      <c r="F90" s="45"/>
    </row>
    <row r="91" spans="2:7" x14ac:dyDescent="0.35">
      <c r="B91" s="16" t="s">
        <v>761</v>
      </c>
      <c r="C91" s="47"/>
      <c r="D91" s="47" t="s">
        <v>97</v>
      </c>
      <c r="E91" s="47" t="s">
        <v>496</v>
      </c>
      <c r="F91" s="47"/>
    </row>
    <row r="92" spans="2:7" ht="29" x14ac:dyDescent="0.35">
      <c r="B92" s="14" t="s">
        <v>762</v>
      </c>
      <c r="C92" s="45"/>
      <c r="D92" s="45" t="s">
        <v>97</v>
      </c>
      <c r="E92" s="45" t="s">
        <v>496</v>
      </c>
      <c r="F92" s="45"/>
    </row>
    <row r="93" spans="2:7" x14ac:dyDescent="0.35">
      <c r="B93" s="16" t="s">
        <v>430</v>
      </c>
      <c r="C93" s="47"/>
      <c r="D93" s="47" t="s">
        <v>97</v>
      </c>
      <c r="E93" s="47" t="s">
        <v>496</v>
      </c>
      <c r="F93" s="47"/>
    </row>
    <row r="94" spans="2:7" x14ac:dyDescent="0.35">
      <c r="B94" s="14" t="s">
        <v>431</v>
      </c>
      <c r="C94" s="45"/>
      <c r="D94" s="45" t="s">
        <v>97</v>
      </c>
      <c r="E94" s="45" t="s">
        <v>496</v>
      </c>
      <c r="F94" s="45"/>
    </row>
    <row r="96" spans="2:7" ht="15.5" x14ac:dyDescent="0.35">
      <c r="B96" s="258" t="s">
        <v>763</v>
      </c>
      <c r="C96" s="258"/>
      <c r="D96" s="258"/>
      <c r="E96" s="258"/>
      <c r="F96" s="258"/>
      <c r="G96" s="258"/>
    </row>
    <row r="97" spans="2:7" x14ac:dyDescent="0.35">
      <c r="B97" s="6" t="s">
        <v>142</v>
      </c>
      <c r="C97" s="33" t="s">
        <v>764</v>
      </c>
      <c r="D97" s="33" t="s">
        <v>765</v>
      </c>
      <c r="E97" s="33" t="s">
        <v>766</v>
      </c>
      <c r="F97" s="33" t="s">
        <v>767</v>
      </c>
      <c r="G97" s="33" t="s">
        <v>768</v>
      </c>
    </row>
    <row r="98" spans="2:7" ht="38.25" customHeight="1" x14ac:dyDescent="0.35">
      <c r="B98" s="150" t="s">
        <v>153</v>
      </c>
      <c r="C98" s="26" t="s">
        <v>93</v>
      </c>
      <c r="D98" s="69" t="s">
        <v>769</v>
      </c>
      <c r="E98" s="152">
        <v>2</v>
      </c>
      <c r="F98" s="36" t="s">
        <v>282</v>
      </c>
      <c r="G98" s="5" t="s">
        <v>770</v>
      </c>
    </row>
    <row r="99" spans="2:7" ht="38.25" customHeight="1" x14ac:dyDescent="0.35">
      <c r="B99" s="151" t="s">
        <v>154</v>
      </c>
      <c r="C99" s="26" t="s">
        <v>93</v>
      </c>
      <c r="D99" s="68" t="s">
        <v>771</v>
      </c>
      <c r="E99" s="152">
        <v>2</v>
      </c>
      <c r="F99" s="36" t="s">
        <v>282</v>
      </c>
      <c r="G99" s="5" t="s">
        <v>772</v>
      </c>
    </row>
    <row r="100" spans="2:7" ht="38.25" customHeight="1" x14ac:dyDescent="0.35">
      <c r="B100" s="150" t="s">
        <v>155</v>
      </c>
      <c r="C100" s="26" t="s">
        <v>93</v>
      </c>
      <c r="D100" s="69" t="s">
        <v>773</v>
      </c>
      <c r="E100" s="152">
        <v>3</v>
      </c>
      <c r="F100" s="36" t="s">
        <v>277</v>
      </c>
      <c r="G100" s="5" t="s">
        <v>774</v>
      </c>
    </row>
    <row r="101" spans="2:7" ht="38.25" customHeight="1" x14ac:dyDescent="0.35">
      <c r="B101" s="151" t="s">
        <v>156</v>
      </c>
      <c r="C101" s="26" t="s">
        <v>89</v>
      </c>
      <c r="D101" s="68" t="s">
        <v>775</v>
      </c>
      <c r="E101" s="152">
        <v>3</v>
      </c>
      <c r="F101" s="36" t="s">
        <v>277</v>
      </c>
      <c r="G101" s="5" t="s">
        <v>776</v>
      </c>
    </row>
    <row r="102" spans="2:7" ht="38.25" customHeight="1" x14ac:dyDescent="0.35">
      <c r="B102" s="150" t="s">
        <v>157</v>
      </c>
      <c r="C102" s="26" t="s">
        <v>93</v>
      </c>
      <c r="D102" s="67" t="s">
        <v>777</v>
      </c>
      <c r="E102" s="152">
        <v>2</v>
      </c>
      <c r="F102" s="36" t="s">
        <v>282</v>
      </c>
      <c r="G102" s="5" t="s">
        <v>778</v>
      </c>
    </row>
    <row r="103" spans="2:7" ht="38.25" customHeight="1" x14ac:dyDescent="0.35">
      <c r="B103" s="151" t="s">
        <v>158</v>
      </c>
      <c r="C103" s="26" t="s">
        <v>89</v>
      </c>
      <c r="D103" s="68" t="s">
        <v>779</v>
      </c>
      <c r="E103" s="152">
        <v>3</v>
      </c>
      <c r="F103" s="36" t="s">
        <v>277</v>
      </c>
      <c r="G103" s="5" t="s">
        <v>780</v>
      </c>
    </row>
    <row r="104" spans="2:7" ht="38.25" customHeight="1" x14ac:dyDescent="0.35">
      <c r="B104" s="150" t="s">
        <v>159</v>
      </c>
      <c r="C104" s="26" t="s">
        <v>93</v>
      </c>
      <c r="D104" s="67" t="s">
        <v>781</v>
      </c>
      <c r="E104" s="152">
        <v>3</v>
      </c>
      <c r="F104" s="36" t="s">
        <v>277</v>
      </c>
      <c r="G104" s="5" t="s">
        <v>782</v>
      </c>
    </row>
    <row r="105" spans="2:7" ht="38.25" customHeight="1" x14ac:dyDescent="0.35">
      <c r="B105" s="151" t="s">
        <v>160</v>
      </c>
      <c r="C105" s="26" t="s">
        <v>93</v>
      </c>
      <c r="D105" s="74" t="s">
        <v>783</v>
      </c>
      <c r="E105" s="152">
        <v>3</v>
      </c>
      <c r="F105" s="36" t="s">
        <v>277</v>
      </c>
      <c r="G105" s="5" t="s">
        <v>784</v>
      </c>
    </row>
    <row r="106" spans="2:7" ht="38.25" customHeight="1" x14ac:dyDescent="0.35">
      <c r="B106" s="150" t="s">
        <v>161</v>
      </c>
      <c r="C106" s="26" t="s">
        <v>89</v>
      </c>
      <c r="D106" s="69" t="s">
        <v>785</v>
      </c>
      <c r="E106" s="152">
        <v>4</v>
      </c>
      <c r="F106" s="36" t="s">
        <v>271</v>
      </c>
      <c r="G106" s="5" t="s">
        <v>786</v>
      </c>
    </row>
    <row r="107" spans="2:7" ht="38.25" customHeight="1" x14ac:dyDescent="0.35">
      <c r="B107" s="151" t="s">
        <v>162</v>
      </c>
      <c r="C107" s="26" t="s">
        <v>89</v>
      </c>
      <c r="D107" s="74" t="s">
        <v>787</v>
      </c>
      <c r="E107" s="152">
        <v>3</v>
      </c>
      <c r="F107" s="36" t="s">
        <v>277</v>
      </c>
      <c r="G107" s="5" t="s">
        <v>788</v>
      </c>
    </row>
    <row r="108" spans="2:7" ht="38.25" customHeight="1" x14ac:dyDescent="0.35">
      <c r="B108" s="150" t="s">
        <v>163</v>
      </c>
      <c r="C108" s="26" t="s">
        <v>86</v>
      </c>
      <c r="D108" s="67" t="s">
        <v>789</v>
      </c>
      <c r="E108" s="152">
        <v>4</v>
      </c>
      <c r="F108" s="36" t="s">
        <v>271</v>
      </c>
      <c r="G108" s="5" t="s">
        <v>790</v>
      </c>
    </row>
    <row r="109" spans="2:7" ht="38.25" customHeight="1" x14ac:dyDescent="0.35">
      <c r="B109" s="151" t="s">
        <v>164</v>
      </c>
      <c r="C109" s="26" t="s">
        <v>89</v>
      </c>
      <c r="D109" s="74" t="s">
        <v>791</v>
      </c>
      <c r="E109" s="152">
        <v>4</v>
      </c>
      <c r="F109" s="36" t="s">
        <v>271</v>
      </c>
      <c r="G109" s="5" t="s">
        <v>792</v>
      </c>
    </row>
    <row r="110" spans="2:7" ht="38.25" customHeight="1" x14ac:dyDescent="0.35">
      <c r="B110" s="150" t="s">
        <v>165</v>
      </c>
      <c r="C110" s="26" t="s">
        <v>89</v>
      </c>
      <c r="D110" s="69" t="s">
        <v>793</v>
      </c>
      <c r="E110" s="152">
        <v>3</v>
      </c>
      <c r="F110" s="36" t="s">
        <v>277</v>
      </c>
      <c r="G110" s="5" t="s">
        <v>794</v>
      </c>
    </row>
    <row r="111" spans="2:7" ht="38.25" customHeight="1" x14ac:dyDescent="0.35">
      <c r="B111" s="151" t="s">
        <v>166</v>
      </c>
      <c r="C111" s="26" t="s">
        <v>93</v>
      </c>
      <c r="D111" s="74" t="s">
        <v>795</v>
      </c>
      <c r="E111" s="152">
        <v>2</v>
      </c>
      <c r="F111" s="36" t="s">
        <v>282</v>
      </c>
      <c r="G111" s="5" t="s">
        <v>796</v>
      </c>
    </row>
    <row r="112" spans="2:7" ht="38.25" customHeight="1" x14ac:dyDescent="0.35">
      <c r="B112" s="150" t="s">
        <v>167</v>
      </c>
      <c r="C112" s="26" t="s">
        <v>93</v>
      </c>
      <c r="D112" s="69" t="s">
        <v>797</v>
      </c>
      <c r="E112" s="152">
        <v>3</v>
      </c>
      <c r="F112" s="36" t="s">
        <v>277</v>
      </c>
      <c r="G112" s="5" t="s">
        <v>798</v>
      </c>
    </row>
    <row r="113" spans="2:7" ht="38.25" customHeight="1" x14ac:dyDescent="0.35">
      <c r="B113" s="151" t="s">
        <v>168</v>
      </c>
      <c r="C113" s="26" t="s">
        <v>86</v>
      </c>
      <c r="D113" s="74" t="s">
        <v>799</v>
      </c>
      <c r="E113" s="152">
        <v>4</v>
      </c>
      <c r="F113" s="36" t="s">
        <v>271</v>
      </c>
      <c r="G113" s="5" t="s">
        <v>800</v>
      </c>
    </row>
    <row r="114" spans="2:7" ht="38.25" customHeight="1" x14ac:dyDescent="0.35">
      <c r="B114" s="150" t="s">
        <v>169</v>
      </c>
      <c r="C114" s="26" t="s">
        <v>86</v>
      </c>
      <c r="D114" s="69" t="s">
        <v>801</v>
      </c>
      <c r="E114" s="152">
        <v>4</v>
      </c>
      <c r="F114" s="36" t="s">
        <v>271</v>
      </c>
      <c r="G114" s="5" t="s">
        <v>802</v>
      </c>
    </row>
    <row r="115" spans="2:7" ht="38.25" customHeight="1" x14ac:dyDescent="0.35">
      <c r="B115" s="151" t="s">
        <v>170</v>
      </c>
      <c r="C115" s="26" t="s">
        <v>93</v>
      </c>
      <c r="D115" s="74" t="s">
        <v>803</v>
      </c>
      <c r="E115" s="152">
        <v>2</v>
      </c>
      <c r="F115" s="36" t="s">
        <v>282</v>
      </c>
      <c r="G115" s="5" t="s">
        <v>804</v>
      </c>
    </row>
    <row r="116" spans="2:7" ht="30.75" customHeight="1" x14ac:dyDescent="0.35">
      <c r="B116" s="50" t="s">
        <v>172</v>
      </c>
      <c r="C116" s="26" t="s">
        <v>86</v>
      </c>
      <c r="D116" s="74" t="s">
        <v>805</v>
      </c>
      <c r="E116" s="49"/>
      <c r="F116" s="36"/>
      <c r="G116" s="5" t="s">
        <v>806</v>
      </c>
    </row>
    <row r="117" spans="2:7" ht="38.25" customHeight="1" x14ac:dyDescent="0.35">
      <c r="B117" s="50" t="s">
        <v>173</v>
      </c>
      <c r="C117" s="26"/>
      <c r="D117" s="74" t="s">
        <v>807</v>
      </c>
      <c r="E117" s="49"/>
      <c r="F117" s="36"/>
      <c r="G117" s="5"/>
    </row>
    <row r="118" spans="2:7" ht="38.25" customHeight="1" x14ac:dyDescent="0.35">
      <c r="B118" s="50" t="s">
        <v>174</v>
      </c>
      <c r="C118" s="26"/>
      <c r="D118" s="74" t="s">
        <v>808</v>
      </c>
      <c r="E118" s="49"/>
      <c r="F118" s="36"/>
      <c r="G118" s="5"/>
    </row>
    <row r="119" spans="2:7" ht="38.25" customHeight="1" x14ac:dyDescent="0.35">
      <c r="B119" s="216" t="s">
        <v>175</v>
      </c>
      <c r="C119" s="26"/>
      <c r="D119" s="218" t="s">
        <v>809</v>
      </c>
      <c r="E119" s="49"/>
      <c r="F119" s="36"/>
      <c r="G119" s="5"/>
    </row>
    <row r="121" spans="2:7" ht="15.5" x14ac:dyDescent="0.35">
      <c r="B121" s="101" t="s">
        <v>810</v>
      </c>
      <c r="C121" s="100"/>
      <c r="D121" s="100"/>
    </row>
    <row r="122" spans="2:7" x14ac:dyDescent="0.35">
      <c r="B122" s="6" t="s">
        <v>811</v>
      </c>
      <c r="C122" s="33" t="s">
        <v>812</v>
      </c>
      <c r="D122" s="33" t="s">
        <v>736</v>
      </c>
    </row>
    <row r="123" spans="2:7" x14ac:dyDescent="0.35">
      <c r="B123" s="51" t="s">
        <v>813</v>
      </c>
      <c r="C123" s="126"/>
      <c r="D123" s="126"/>
    </row>
    <row r="124" spans="2:7" ht="29" x14ac:dyDescent="0.35">
      <c r="B124" s="52" t="s">
        <v>814</v>
      </c>
      <c r="C124" s="64" t="s">
        <v>815</v>
      </c>
      <c r="D124" s="64" t="s">
        <v>816</v>
      </c>
    </row>
    <row r="125" spans="2:7" x14ac:dyDescent="0.35">
      <c r="B125" s="51" t="s">
        <v>817</v>
      </c>
      <c r="C125" s="126"/>
      <c r="D125" s="126"/>
    </row>
    <row r="126" spans="2:7" x14ac:dyDescent="0.35">
      <c r="B126" s="52" t="s">
        <v>818</v>
      </c>
      <c r="C126" s="126"/>
      <c r="D126" s="126"/>
    </row>
    <row r="127" spans="2:7" x14ac:dyDescent="0.35">
      <c r="B127" s="51" t="s">
        <v>819</v>
      </c>
      <c r="C127" s="126"/>
      <c r="D127" s="126"/>
    </row>
    <row r="128" spans="2:7" ht="29" x14ac:dyDescent="0.35">
      <c r="B128" s="52" t="s">
        <v>820</v>
      </c>
      <c r="C128" s="126"/>
      <c r="D128" s="126"/>
    </row>
    <row r="129" spans="2:6" ht="29" x14ac:dyDescent="0.35">
      <c r="B129" s="122" t="s">
        <v>821</v>
      </c>
      <c r="C129" s="126"/>
      <c r="D129" s="126"/>
    </row>
    <row r="130" spans="2:6" x14ac:dyDescent="0.35">
      <c r="B130" s="123" t="s">
        <v>822</v>
      </c>
      <c r="C130" s="136"/>
      <c r="D130" s="126"/>
    </row>
    <row r="132" spans="2:6" ht="15.5" x14ac:dyDescent="0.35">
      <c r="B132" s="101" t="s">
        <v>823</v>
      </c>
      <c r="C132" s="100"/>
      <c r="D132" s="100"/>
      <c r="E132" s="100"/>
      <c r="F132" s="100"/>
    </row>
    <row r="133" spans="2:6" x14ac:dyDescent="0.35">
      <c r="B133" s="6" t="s">
        <v>824</v>
      </c>
      <c r="C133" s="33" t="s">
        <v>825</v>
      </c>
      <c r="D133" s="33" t="s">
        <v>826</v>
      </c>
      <c r="E133" s="33" t="s">
        <v>827</v>
      </c>
      <c r="F133" s="33" t="s">
        <v>269</v>
      </c>
    </row>
    <row r="134" spans="2:6" ht="45.75" customHeight="1" x14ac:dyDescent="0.35">
      <c r="B134" s="14" t="s">
        <v>828</v>
      </c>
      <c r="C134" s="99" t="s">
        <v>307</v>
      </c>
      <c r="D134" s="45" t="s">
        <v>286</v>
      </c>
      <c r="E134" s="14" t="s">
        <v>829</v>
      </c>
      <c r="F134" s="45" t="s">
        <v>271</v>
      </c>
    </row>
    <row r="135" spans="2:6" x14ac:dyDescent="0.35">
      <c r="B135" s="16" t="s">
        <v>830</v>
      </c>
      <c r="C135" s="135"/>
      <c r="D135" s="45" t="s">
        <v>93</v>
      </c>
      <c r="E135" s="16"/>
      <c r="F135" s="45" t="s">
        <v>277</v>
      </c>
    </row>
    <row r="136" spans="2:6" x14ac:dyDescent="0.35">
      <c r="B136" s="14" t="s">
        <v>831</v>
      </c>
      <c r="C136" s="135"/>
      <c r="D136" s="45" t="s">
        <v>93</v>
      </c>
      <c r="E136" s="14"/>
      <c r="F136" s="45" t="s">
        <v>277</v>
      </c>
    </row>
    <row r="137" spans="2:6" x14ac:dyDescent="0.35">
      <c r="B137" s="16" t="s">
        <v>832</v>
      </c>
      <c r="C137" s="135"/>
      <c r="D137" s="45" t="s">
        <v>93</v>
      </c>
      <c r="E137" s="16"/>
      <c r="F137" s="45" t="s">
        <v>277</v>
      </c>
    </row>
    <row r="138" spans="2:6" ht="29" x14ac:dyDescent="0.35">
      <c r="B138" s="14" t="s">
        <v>833</v>
      </c>
      <c r="C138" s="135"/>
      <c r="D138" s="45" t="s">
        <v>93</v>
      </c>
      <c r="E138" s="14"/>
      <c r="F138" s="45" t="s">
        <v>277</v>
      </c>
    </row>
    <row r="139" spans="2:6" ht="29" x14ac:dyDescent="0.35">
      <c r="B139" s="16" t="s">
        <v>834</v>
      </c>
      <c r="C139" s="135"/>
      <c r="D139" s="45" t="s">
        <v>93</v>
      </c>
      <c r="E139" s="16"/>
      <c r="F139" s="45" t="s">
        <v>277</v>
      </c>
    </row>
    <row r="140" spans="2:6" x14ac:dyDescent="0.35">
      <c r="B140" s="14" t="s">
        <v>835</v>
      </c>
      <c r="C140" s="135"/>
      <c r="D140" s="45" t="s">
        <v>93</v>
      </c>
      <c r="E140" s="14"/>
      <c r="F140" s="45" t="s">
        <v>277</v>
      </c>
    </row>
    <row r="141" spans="2:6" x14ac:dyDescent="0.35">
      <c r="B141" s="16" t="s">
        <v>836</v>
      </c>
      <c r="C141" s="135"/>
      <c r="D141" s="45" t="s">
        <v>93</v>
      </c>
      <c r="E141" s="16"/>
      <c r="F141" s="45" t="s">
        <v>277</v>
      </c>
    </row>
    <row r="142" spans="2:6" x14ac:dyDescent="0.35">
      <c r="B142" s="14" t="s">
        <v>837</v>
      </c>
      <c r="C142" s="135"/>
      <c r="D142" s="45" t="s">
        <v>93</v>
      </c>
      <c r="E142" s="14"/>
      <c r="F142" s="45" t="s">
        <v>277</v>
      </c>
    </row>
    <row r="143" spans="2:6" ht="29" x14ac:dyDescent="0.35">
      <c r="B143" s="16" t="s">
        <v>838</v>
      </c>
      <c r="C143" s="135" t="s">
        <v>839</v>
      </c>
      <c r="D143" s="45" t="s">
        <v>89</v>
      </c>
      <c r="E143" s="16" t="s">
        <v>840</v>
      </c>
      <c r="F143" s="45" t="s">
        <v>271</v>
      </c>
    </row>
    <row r="145" spans="2:7" ht="15.5" x14ac:dyDescent="0.35">
      <c r="B145" s="258" t="s">
        <v>841</v>
      </c>
      <c r="C145" s="258"/>
      <c r="D145" s="258"/>
      <c r="E145" s="258"/>
      <c r="F145" s="258"/>
      <c r="G145" s="258"/>
    </row>
    <row r="146" spans="2:7" x14ac:dyDescent="0.35">
      <c r="B146" s="6" t="s">
        <v>842</v>
      </c>
      <c r="C146" s="33" t="s">
        <v>843</v>
      </c>
    </row>
    <row r="147" spans="2:7" x14ac:dyDescent="0.35">
      <c r="B147" s="51" t="s">
        <v>844</v>
      </c>
      <c r="C147" s="265" t="s">
        <v>845</v>
      </c>
      <c r="D147" s="265"/>
      <c r="E147" s="265"/>
      <c r="F147" s="265"/>
      <c r="G147" s="265"/>
    </row>
    <row r="148" spans="2:7" ht="14.25" customHeight="1" x14ac:dyDescent="0.35">
      <c r="B148" s="52" t="s">
        <v>846</v>
      </c>
      <c r="C148" s="265"/>
      <c r="D148" s="265"/>
      <c r="E148" s="265"/>
      <c r="F148" s="265"/>
      <c r="G148" s="265"/>
    </row>
    <row r="149" spans="2:7" x14ac:dyDescent="0.35">
      <c r="B149" s="51" t="s">
        <v>847</v>
      </c>
      <c r="C149" s="265"/>
      <c r="D149" s="265"/>
      <c r="E149" s="265"/>
      <c r="F149" s="265"/>
      <c r="G149" s="265"/>
    </row>
    <row r="150" spans="2:7" x14ac:dyDescent="0.35">
      <c r="B150" s="52" t="s">
        <v>848</v>
      </c>
      <c r="C150" s="265"/>
      <c r="D150" s="265"/>
      <c r="E150" s="265"/>
      <c r="F150" s="265"/>
      <c r="G150" s="265"/>
    </row>
    <row r="151" spans="2:7" ht="14.25" customHeight="1" x14ac:dyDescent="0.35">
      <c r="B151" s="51" t="s">
        <v>849</v>
      </c>
      <c r="C151" s="265"/>
      <c r="D151" s="265"/>
      <c r="E151" s="265"/>
      <c r="F151" s="265"/>
      <c r="G151" s="265"/>
    </row>
    <row r="152" spans="2:7" ht="14.25" customHeight="1" x14ac:dyDescent="0.35">
      <c r="B152" s="52" t="s">
        <v>850</v>
      </c>
      <c r="C152" s="265" t="s">
        <v>851</v>
      </c>
      <c r="D152" s="265"/>
      <c r="E152" s="265"/>
      <c r="F152" s="265"/>
      <c r="G152" s="265"/>
    </row>
    <row r="153" spans="2:7" ht="14.25" customHeight="1" x14ac:dyDescent="0.35">
      <c r="B153" s="51" t="s">
        <v>852</v>
      </c>
      <c r="C153" s="265" t="s">
        <v>853</v>
      </c>
      <c r="D153" s="265"/>
      <c r="E153" s="265"/>
      <c r="F153" s="265"/>
      <c r="G153" s="265"/>
    </row>
    <row r="155" spans="2:7" ht="15.5" x14ac:dyDescent="0.35">
      <c r="B155" s="258" t="s">
        <v>854</v>
      </c>
      <c r="C155" s="258"/>
      <c r="D155" s="258"/>
      <c r="E155" s="258"/>
      <c r="F155" s="258"/>
      <c r="G155" s="258"/>
    </row>
    <row r="156" spans="2:7" x14ac:dyDescent="0.35">
      <c r="B156" s="6" t="s">
        <v>855</v>
      </c>
      <c r="C156" s="33" t="s">
        <v>856</v>
      </c>
    </row>
    <row r="157" spans="2:7" ht="17.25" customHeight="1" x14ac:dyDescent="0.35">
      <c r="B157" s="51" t="s">
        <v>857</v>
      </c>
      <c r="C157" s="265" t="s">
        <v>858</v>
      </c>
      <c r="D157" s="265"/>
      <c r="E157" s="265"/>
      <c r="F157" s="265"/>
      <c r="G157" s="265"/>
    </row>
    <row r="158" spans="2:7" ht="17.25" customHeight="1" x14ac:dyDescent="0.35">
      <c r="B158" s="52" t="s">
        <v>859</v>
      </c>
      <c r="C158" s="265" t="s">
        <v>860</v>
      </c>
      <c r="D158" s="265"/>
      <c r="E158" s="265"/>
      <c r="F158" s="265"/>
      <c r="G158" s="265"/>
    </row>
    <row r="159" spans="2:7" ht="17.25" customHeight="1" x14ac:dyDescent="0.35">
      <c r="B159" s="51" t="s">
        <v>861</v>
      </c>
      <c r="C159" s="265" t="s">
        <v>862</v>
      </c>
      <c r="D159" s="265"/>
      <c r="E159" s="265"/>
      <c r="F159" s="265"/>
      <c r="G159" s="265"/>
    </row>
    <row r="160" spans="2:7" ht="17.25" customHeight="1" x14ac:dyDescent="0.35">
      <c r="B160" s="52" t="s">
        <v>863</v>
      </c>
      <c r="C160" s="251" t="s">
        <v>864</v>
      </c>
      <c r="D160" s="251"/>
      <c r="E160" s="251"/>
      <c r="F160" s="251"/>
      <c r="G160" s="251"/>
    </row>
    <row r="161" spans="2:11" ht="17.25" customHeight="1" x14ac:dyDescent="0.35">
      <c r="B161" s="51" t="s">
        <v>865</v>
      </c>
      <c r="C161" s="265" t="s">
        <v>866</v>
      </c>
      <c r="D161" s="265"/>
      <c r="E161" s="265"/>
      <c r="F161" s="265"/>
      <c r="G161" s="265"/>
    </row>
    <row r="162" spans="2:11" ht="17.25" customHeight="1" x14ac:dyDescent="0.35">
      <c r="B162" s="52" t="s">
        <v>867</v>
      </c>
      <c r="C162" s="265"/>
      <c r="D162" s="265"/>
      <c r="E162" s="265"/>
      <c r="F162" s="265"/>
      <c r="G162" s="265"/>
    </row>
    <row r="163" spans="2:11" ht="31.5" customHeight="1" x14ac:dyDescent="0.35">
      <c r="B163" s="51" t="s">
        <v>868</v>
      </c>
      <c r="C163" s="265" t="s">
        <v>869</v>
      </c>
      <c r="D163" s="264"/>
      <c r="E163" s="264"/>
      <c r="F163" s="264"/>
      <c r="G163" s="264"/>
    </row>
    <row r="164" spans="2:11" ht="27" customHeight="1" x14ac:dyDescent="0.35">
      <c r="B164" s="52" t="s">
        <v>870</v>
      </c>
      <c r="C164" s="340" t="s">
        <v>871</v>
      </c>
      <c r="D164" s="341"/>
      <c r="E164" s="341"/>
      <c r="F164" s="341"/>
      <c r="G164" s="341"/>
    </row>
    <row r="165" spans="2:11" ht="33" customHeight="1" x14ac:dyDescent="0.35">
      <c r="B165" s="51" t="s">
        <v>872</v>
      </c>
      <c r="C165" s="265" t="s">
        <v>873</v>
      </c>
      <c r="D165" s="265"/>
      <c r="E165" s="265"/>
      <c r="F165" s="265"/>
      <c r="G165" s="265"/>
    </row>
    <row r="167" spans="2:11" ht="15.5" x14ac:dyDescent="0.35">
      <c r="B167" s="255" t="s">
        <v>874</v>
      </c>
      <c r="C167" s="255"/>
      <c r="D167" s="255"/>
      <c r="E167" s="255"/>
      <c r="F167" s="255"/>
      <c r="G167" s="255"/>
    </row>
    <row r="168" spans="2:11" x14ac:dyDescent="0.35">
      <c r="B168" s="92" t="s">
        <v>268</v>
      </c>
      <c r="C168" s="154"/>
      <c r="D168" s="153" t="s">
        <v>875</v>
      </c>
      <c r="E168" s="154"/>
      <c r="F168" s="153" t="s">
        <v>876</v>
      </c>
      <c r="G168" s="154"/>
      <c r="H168" s="238"/>
      <c r="I168" s="155" t="s">
        <v>877</v>
      </c>
      <c r="J168" s="155" t="s">
        <v>878</v>
      </c>
      <c r="K168" s="155" t="s">
        <v>879</v>
      </c>
    </row>
    <row r="169" spans="2:11" x14ac:dyDescent="0.35">
      <c r="B169" s="94" t="s">
        <v>880</v>
      </c>
      <c r="C169" s="339"/>
      <c r="D169" s="339"/>
      <c r="E169" s="339"/>
      <c r="F169" s="339"/>
      <c r="G169" s="339"/>
      <c r="H169" s="238"/>
      <c r="I169" s="156" t="s">
        <v>881</v>
      </c>
      <c r="J169" s="157" t="s">
        <v>882</v>
      </c>
      <c r="K169" s="157" t="s">
        <v>883</v>
      </c>
    </row>
    <row r="170" spans="2:11" x14ac:dyDescent="0.35">
      <c r="B170" s="92" t="s">
        <v>884</v>
      </c>
      <c r="C170" s="339"/>
      <c r="D170" s="339"/>
      <c r="E170" s="339"/>
      <c r="F170" s="339"/>
      <c r="G170" s="339"/>
      <c r="H170" s="238"/>
      <c r="I170" s="156" t="s">
        <v>885</v>
      </c>
      <c r="J170" s="157" t="s">
        <v>886</v>
      </c>
      <c r="K170" s="157" t="s">
        <v>887</v>
      </c>
    </row>
    <row r="171" spans="2:11" x14ac:dyDescent="0.35">
      <c r="B171" s="94" t="s">
        <v>888</v>
      </c>
      <c r="C171" s="339"/>
      <c r="D171" s="339"/>
      <c r="E171" s="339"/>
      <c r="F171" s="339"/>
      <c r="G171" s="339"/>
      <c r="H171" s="238"/>
      <c r="I171" s="156" t="s">
        <v>889</v>
      </c>
      <c r="J171" s="157" t="s">
        <v>890</v>
      </c>
      <c r="K171" s="157" t="s">
        <v>891</v>
      </c>
    </row>
    <row r="172" spans="2:11" x14ac:dyDescent="0.35">
      <c r="B172" s="92" t="s">
        <v>892</v>
      </c>
      <c r="C172" s="340" t="s">
        <v>893</v>
      </c>
      <c r="D172" s="341"/>
      <c r="E172" s="341"/>
      <c r="F172" s="341"/>
      <c r="G172" s="341"/>
      <c r="H172" s="238"/>
      <c r="I172" s="156" t="s">
        <v>894</v>
      </c>
      <c r="J172" s="157" t="s">
        <v>895</v>
      </c>
      <c r="K172" s="157" t="s">
        <v>896</v>
      </c>
    </row>
    <row r="173" spans="2:11" x14ac:dyDescent="0.35">
      <c r="B173" s="92" t="s">
        <v>897</v>
      </c>
      <c r="C173" s="339"/>
      <c r="D173" s="339"/>
      <c r="E173" s="339"/>
      <c r="F173" s="339"/>
      <c r="G173" s="339"/>
      <c r="H173" s="238"/>
      <c r="I173" s="156" t="s">
        <v>898</v>
      </c>
      <c r="J173" s="157" t="s">
        <v>899</v>
      </c>
      <c r="K173" s="157" t="s">
        <v>900</v>
      </c>
    </row>
    <row r="174" spans="2:11" x14ac:dyDescent="0.35">
      <c r="B174" s="94" t="s">
        <v>901</v>
      </c>
      <c r="C174" s="154"/>
      <c r="D174" s="153" t="s">
        <v>902</v>
      </c>
      <c r="E174" s="154"/>
      <c r="F174" s="153" t="s">
        <v>903</v>
      </c>
      <c r="G174" s="154"/>
      <c r="H174" s="238"/>
      <c r="I174" s="156" t="s">
        <v>904</v>
      </c>
      <c r="J174" s="157" t="s">
        <v>905</v>
      </c>
      <c r="K174" s="157" t="s">
        <v>906</v>
      </c>
    </row>
    <row r="175" spans="2:11" x14ac:dyDescent="0.35">
      <c r="B175" s="92" t="s">
        <v>907</v>
      </c>
      <c r="C175" s="154"/>
      <c r="D175" s="153" t="s">
        <v>908</v>
      </c>
      <c r="E175" s="154"/>
      <c r="F175" s="153" t="s">
        <v>909</v>
      </c>
      <c r="G175" s="154"/>
      <c r="H175" s="238"/>
      <c r="I175" s="156" t="s">
        <v>910</v>
      </c>
      <c r="J175" s="157" t="s">
        <v>911</v>
      </c>
      <c r="K175" s="157" t="s">
        <v>912</v>
      </c>
    </row>
    <row r="176" spans="2:11" x14ac:dyDescent="0.35">
      <c r="B176" s="94" t="s">
        <v>913</v>
      </c>
      <c r="C176" s="154"/>
      <c r="D176" s="153" t="s">
        <v>914</v>
      </c>
      <c r="E176" s="154"/>
      <c r="F176" s="153" t="s">
        <v>915</v>
      </c>
      <c r="G176" s="154"/>
      <c r="H176" s="238"/>
      <c r="I176" s="156" t="s">
        <v>916</v>
      </c>
      <c r="J176" s="157" t="s">
        <v>917</v>
      </c>
      <c r="K176" s="157" t="s">
        <v>918</v>
      </c>
    </row>
    <row r="177" spans="2:11" x14ac:dyDescent="0.35">
      <c r="B177" s="92" t="s">
        <v>919</v>
      </c>
      <c r="C177" s="339"/>
      <c r="D177" s="339"/>
      <c r="E177" s="339"/>
      <c r="F177" s="339"/>
      <c r="G177" s="339"/>
      <c r="H177" s="238"/>
    </row>
    <row r="178" spans="2:11" x14ac:dyDescent="0.35">
      <c r="B178" s="94" t="s">
        <v>920</v>
      </c>
      <c r="C178" s="339"/>
      <c r="D178" s="339"/>
      <c r="E178" s="339"/>
      <c r="F178" s="339"/>
      <c r="G178" s="339"/>
      <c r="H178" s="238"/>
      <c r="I178" s="238"/>
      <c r="J178" s="238"/>
      <c r="K178" s="238"/>
    </row>
    <row r="179" spans="2:11" ht="29" x14ac:dyDescent="0.35">
      <c r="B179" s="92" t="s">
        <v>921</v>
      </c>
      <c r="C179" s="339"/>
      <c r="D179" s="339"/>
      <c r="E179" s="339"/>
      <c r="F179" s="339"/>
      <c r="G179" s="339"/>
      <c r="H179" s="238"/>
    </row>
    <row r="180" spans="2:11" x14ac:dyDescent="0.35">
      <c r="H180" s="238"/>
    </row>
  </sheetData>
  <mergeCells count="46">
    <mergeCell ref="B74:C74"/>
    <mergeCell ref="B57:C57"/>
    <mergeCell ref="B2:G2"/>
    <mergeCell ref="B4:G4"/>
    <mergeCell ref="C5:E5"/>
    <mergeCell ref="C7:E7"/>
    <mergeCell ref="C8:E8"/>
    <mergeCell ref="C9:E9"/>
    <mergeCell ref="C10:E10"/>
    <mergeCell ref="C11:E11"/>
    <mergeCell ref="C6:E6"/>
    <mergeCell ref="B30:C30"/>
    <mergeCell ref="C18:E18"/>
    <mergeCell ref="C25:E25"/>
    <mergeCell ref="C26:E26"/>
    <mergeCell ref="C27:E27"/>
    <mergeCell ref="B75:F75"/>
    <mergeCell ref="C151:G151"/>
    <mergeCell ref="B145:G145"/>
    <mergeCell ref="C147:G147"/>
    <mergeCell ref="C148:G148"/>
    <mergeCell ref="C149:G149"/>
    <mergeCell ref="C150:G150"/>
    <mergeCell ref="C179:G179"/>
    <mergeCell ref="C170:G170"/>
    <mergeCell ref="C171:G171"/>
    <mergeCell ref="C172:G172"/>
    <mergeCell ref="C173:G173"/>
    <mergeCell ref="C177:G177"/>
    <mergeCell ref="C178:G178"/>
    <mergeCell ref="C28:E28"/>
    <mergeCell ref="C169:G169"/>
    <mergeCell ref="C152:G152"/>
    <mergeCell ref="C153:G153"/>
    <mergeCell ref="B155:G155"/>
    <mergeCell ref="C157:G157"/>
    <mergeCell ref="C158:G158"/>
    <mergeCell ref="C159:G159"/>
    <mergeCell ref="C160:G160"/>
    <mergeCell ref="C161:G161"/>
    <mergeCell ref="C162:G162"/>
    <mergeCell ref="C165:G165"/>
    <mergeCell ref="B167:G167"/>
    <mergeCell ref="C163:G163"/>
    <mergeCell ref="C164:G164"/>
    <mergeCell ref="B96:G96"/>
  </mergeCells>
  <dataValidations count="7">
    <dataValidation type="list" allowBlank="1" sqref="C98:C119" xr:uid="{0E2C1FF3-4B4E-438D-86C5-A870943BDC49}">
      <formula1>"Sí,No,Parcial"</formula1>
      <formula2>0</formula2>
    </dataValidation>
    <dataValidation type="list" allowBlank="1" sqref="F33:F37 F40:F46 F49:F51 F54:F55" xr:uid="{23BE8C0B-C5AC-42BE-92AB-4B1F45A39F58}">
      <formula1>"Alta,Media,Baja,Sin mejora"</formula1>
      <formula2>0</formula2>
    </dataValidation>
    <dataValidation type="list" allowBlank="1" showInputMessage="1" showErrorMessage="1" promptTitle="Seleccione herramienta" prompt="Seleccione una opción de la lista o escriba otra herramienta si aplica." sqref="C143" xr:uid="{00E72735-D819-4D94-853D-60755A6C0015}">
      <formula1>"API REST,Power Automate,Zapier,Make,Azure Logic Apps,MuleSoft,Boomi,Workato,ServiceNow IntegrationHub,Jira Automation"</formula1>
    </dataValidation>
    <dataValidation type="list" allowBlank="1" showInputMessage="1" showErrorMessage="1" promptTitle="Seleccione herramienta" prompt="Seleccione una opción de la lista o escriba otra herramienta si aplica." sqref="C139" xr:uid="{5681BD92-3A91-4474-967C-463497E3B3FB}">
      <formula1>"Microsoft Teams Phone,Genesys Cloud,Avaya,3CX,Cisco Webex Contact Center,Amazon Connect,Twilio Flex,Five9,NICE CXone,Talkdesk"</formula1>
    </dataValidation>
    <dataValidation type="date" allowBlank="1" showInputMessage="1" showErrorMessage="1" sqref="C9:E9" xr:uid="{41678507-2AF6-4AF3-9177-08C2027FE8DB}">
      <formula1>46174</formula1>
      <formula2>46368</formula2>
    </dataValidation>
    <dataValidation allowBlank="1" sqref="C17:C23 D17:E17 D19:E23" xr:uid="{06374386-E871-462B-9964-8C7C97FE0705}"/>
    <dataValidation allowBlank="1" showInputMessage="1" showErrorMessage="1" sqref="C15:E15" xr:uid="{579F4274-7BA4-4C86-BA9D-4C832F0ABFAB}"/>
  </dataValidations>
  <hyperlinks>
    <hyperlink ref="C23" r:id="rId1" display="https://personalsoftsas-my.sharepoint.com/personal/jorengifo_personalsoft_com/_layouts/15/stream.aspx?id=%2Fpersonal%2Fjorengifo%5Fpersonalsoft%5Fcom%2FDocuments%2FGrabaciones%2FHablemos%20Mesas%20AES%2D20260707%5F113150%2DGrabaci%C3%B3n%20de%20la%20reuni%C3%B3n%2Emp4&amp;referrer=StreamWebApp%2EWeb&amp;referrerScenario=AddressBarCopied%2Eview%2E8bb79edf%2Dcf18%2D4677%2D8d5a%2Dc46ddd3c2dad" xr:uid="{CDCDC4C7-CEDD-414E-9AE7-7BEF0E04A983}"/>
  </hyperlinks>
  <pageMargins left="0.75" right="0.75" top="1" bottom="1" header="0.511811023622047" footer="0.511811023622047"/>
  <pageSetup paperSize="9" orientation="portrait" horizontalDpi="300" verticalDpi="300"/>
  <legacyDrawing r:id="rId2"/>
  <extLst>
    <ext xmlns:x14="http://schemas.microsoft.com/office/spreadsheetml/2009/9/main" uri="{CCE6A557-97BC-4b89-ADB6-D9C93CAAB3DF}">
      <x14:dataValidations xmlns:xm="http://schemas.microsoft.com/office/excel/2006/main" count="23">
        <x14:dataValidation type="list" allowBlank="1" showInputMessage="1" showErrorMessage="1" xr:uid="{A93F860B-B79F-4A87-A45D-7D294F7AF853}">
          <x14:formula1>
            <xm:f>Listas!$N$5:$N$11</xm:f>
          </x14:formula1>
          <xm:sqref>C5:E5</xm:sqref>
        </x14:dataValidation>
        <x14:dataValidation type="list" allowBlank="1" xr:uid="{3D7929E2-FCC6-44E0-AF70-63BC873607D1}">
          <x14:formula1>
            <xm:f>Listas!$L$5:$L$8</xm:f>
          </x14:formula1>
          <x14:formula2>
            <xm:f>0</xm:f>
          </x14:formula2>
          <xm:sqref>C161</xm:sqref>
        </x14:dataValidation>
        <x14:dataValidation type="list" allowBlank="1" xr:uid="{94B432D4-A010-48BF-8AF2-86A73F303E9C}">
          <x14:formula1>
            <xm:f>Listas!$F$5:$F$8</xm:f>
          </x14:formula1>
          <x14:formula2>
            <xm:f>0</xm:f>
          </x14:formula2>
          <xm:sqref>F98:F115</xm:sqref>
        </x14:dataValidation>
        <x14:dataValidation type="list" allowBlank="1" xr:uid="{6E7ABE4C-A653-4AAC-9F81-790E80A95F9D}">
          <x14:formula1>
            <xm:f>Listas!$B$5:$B$9</xm:f>
          </x14:formula1>
          <x14:formula2>
            <xm:f>0</xm:f>
          </x14:formula2>
          <xm:sqref>D54:D55 D40:D46 D49:D51 D33:D37</xm:sqref>
        </x14:dataValidation>
        <x14:dataValidation type="list" allowBlank="1" xr:uid="{A62CF650-730E-4E54-BB87-CB8D7A776FFA}">
          <x14:formula1>
            <xm:f>Listas!$D$5:$D$11</xm:f>
          </x14:formula1>
          <x14:formula2>
            <xm:f>0</xm:f>
          </x14:formula2>
          <xm:sqref>C13 C16</xm:sqref>
        </x14:dataValidation>
        <x14:dataValidation type="list" allowBlank="1" xr:uid="{8DD07C67-F6A3-419D-BBED-D8E8888BF9B0}">
          <x14:formula1>
            <xm:f>Listas!$H$5:$H$10</xm:f>
          </x14:formula1>
          <x14:formula2>
            <xm:f>0</xm:f>
          </x14:formula2>
          <xm:sqref>C12</xm:sqref>
        </x14:dataValidation>
        <x14:dataValidation type="list" allowBlank="1" showInputMessage="1" showErrorMessage="1" xr:uid="{CE1D8B38-DFC2-47AD-ABD5-E6B332DB57A7}">
          <x14:formula1>
            <xm:f>Listas!$P$5:$P$9</xm:f>
          </x14:formula1>
          <xm:sqref>F134:F143</xm:sqref>
        </x14:dataValidation>
        <x14:dataValidation type="list" allowBlank="1" showInputMessage="1" showErrorMessage="1" xr:uid="{148B68CB-9348-44F7-91B7-E13280648DEF}">
          <x14:formula1>
            <xm:f>Listas!$R$5:$R$8</xm:f>
          </x14:formula1>
          <xm:sqref>D134:D143</xm:sqref>
        </x14:dataValidation>
        <x14:dataValidation type="list" allowBlank="1" showInputMessage="1" showErrorMessage="1" promptTitle="Seleccione herramienta" prompt="Seleccione una opción de la lista o escriba otra herramienta si aplica." xr:uid="{47698440-59E0-4931-93A3-44D523E13D8B}">
          <x14:formula1>
            <xm:f>Listas!$J$21:$J$35</xm:f>
          </x14:formula1>
          <xm:sqref>C142</xm:sqref>
        </x14:dataValidation>
        <x14:dataValidation type="list" allowBlank="1" showInputMessage="1" showErrorMessage="1" promptTitle="Seleccione herramienta" prompt="Seleccione una opción de la lista o escriba otra herramienta si aplica." xr:uid="{150947AE-F176-4976-B759-1087E30DB084}">
          <x14:formula1>
            <xm:f>Listas!$L$21:$L$35</xm:f>
          </x14:formula1>
          <xm:sqref>C141</xm:sqref>
        </x14:dataValidation>
        <x14:dataValidation type="list" allowBlank="1" showInputMessage="1" showErrorMessage="1" promptTitle="Seleccione herramienta" prompt="Seleccione una opción de la lista o escriba otra herramienta si aplica." xr:uid="{65617870-D199-4497-80CD-7434B61A298C}">
          <x14:formula1>
            <xm:f>Listas!$H$21:$H$35</xm:f>
          </x14:formula1>
          <xm:sqref>C140</xm:sqref>
        </x14:dataValidation>
        <x14:dataValidation type="list" allowBlank="1" showInputMessage="1" showErrorMessage="1" promptTitle="Seleccione herramienta" prompt="Seleccione una opción de la lista o escriba otra herramienta si aplica." xr:uid="{6062ADA2-7C88-4525-AA33-FA040A318CD6}">
          <x14:formula1>
            <xm:f>Listas!$N$21:$N$35</xm:f>
          </x14:formula1>
          <xm:sqref>C138</xm:sqref>
        </x14:dataValidation>
        <x14:dataValidation type="list" allowBlank="1" showInputMessage="1" showErrorMessage="1" promptTitle="Seleccione herramienta" prompt="Seleccione una opción de la lista o escriba otra herramienta si aplica." xr:uid="{283DE0C5-94E3-437F-82E3-45784518D4C1}">
          <x14:formula1>
            <xm:f>Listas!$P$21:$P$35</xm:f>
          </x14:formula1>
          <xm:sqref>C137</xm:sqref>
        </x14:dataValidation>
        <x14:dataValidation type="list" allowBlank="1" showInputMessage="1" showErrorMessage="1" promptTitle="Seleccione herramienta" prompt="Seleccione una opción de la lista o escriba otra herramienta si aplica." xr:uid="{3A9737F1-40DF-4105-9814-112470B808BE}">
          <x14:formula1>
            <xm:f>Listas!$F$21:$F$35</xm:f>
          </x14:formula1>
          <xm:sqref>C136</xm:sqref>
        </x14:dataValidation>
        <x14:dataValidation type="list" allowBlank="1" showInputMessage="1" showErrorMessage="1" promptTitle="Seleccione herramienta" prompt="Seleccione una opción de la lista o escriba otra herramienta si aplica." xr:uid="{A665D250-11B6-48FA-B6A3-58CDACEB3EF4}">
          <x14:formula1>
            <xm:f>Listas!$D$21:$D$35</xm:f>
          </x14:formula1>
          <xm:sqref>C135</xm:sqref>
        </x14:dataValidation>
        <x14:dataValidation type="list" allowBlank="1" showInputMessage="1" showErrorMessage="1" promptTitle="Seleccione herramienta" prompt="Seleccione una opción de la lista o escriba otra herramienta si aplica." xr:uid="{A00FBC46-7B87-4C91-A382-FA052BCC1451}">
          <x14:formula1>
            <xm:f>Listas!$B$21:$B$35</xm:f>
          </x14:formula1>
          <xm:sqref>C134</xm:sqref>
        </x14:dataValidation>
        <x14:dataValidation type="list" allowBlank="1" showInputMessage="1" showErrorMessage="1" xr:uid="{6A22CC4E-5D56-4368-8555-2D16176DAF71}">
          <x14:formula1>
            <xm:f>Listas!$J$45:$J$49</xm:f>
          </x14:formula1>
          <xm:sqref>C94:D94</xm:sqref>
        </x14:dataValidation>
        <x14:dataValidation type="list" allowBlank="1" showInputMessage="1" showErrorMessage="1" xr:uid="{5AA80BED-DBD4-4AB1-BA02-3F976F28468A}">
          <x14:formula1>
            <xm:f>Listas!$H$45:$H$48</xm:f>
          </x14:formula1>
          <xm:sqref>C93:D93</xm:sqref>
        </x14:dataValidation>
        <x14:dataValidation type="list" allowBlank="1" showInputMessage="1" showErrorMessage="1" xr:uid="{17B02590-B4EE-4A69-9ACB-8065C90CFE52}">
          <x14:formula1>
            <xm:f>Listas!$F$45:$F$52</xm:f>
          </x14:formula1>
          <xm:sqref>C90:D90</xm:sqref>
        </x14:dataValidation>
        <x14:dataValidation type="list" allowBlank="1" showInputMessage="1" showErrorMessage="1" xr:uid="{E74E2C79-6372-4925-B36F-C2552764D840}">
          <x14:formula1>
            <xm:f>Listas!$D$45:$D$49</xm:f>
          </x14:formula1>
          <xm:sqref>C89:D89</xm:sqref>
        </x14:dataValidation>
        <x14:dataValidation type="list" allowBlank="1" showInputMessage="1" showErrorMessage="1" xr:uid="{8AD86512-E491-4D48-9603-569690167BD3}">
          <x14:formula1>
            <xm:f>Listas!$B$45:$B$48</xm:f>
          </x14:formula1>
          <xm:sqref>C88:D88</xm:sqref>
        </x14:dataValidation>
        <x14:dataValidation type="list" allowBlank="1" showInputMessage="1" showErrorMessage="1" xr:uid="{C9AEB3DB-5644-4926-8AC9-B26BC8953824}">
          <x14:formula1>
            <xm:f>Listas!$B$53:$B$58</xm:f>
          </x14:formula1>
          <xm:sqref>C129</xm:sqref>
        </x14:dataValidation>
        <x14:dataValidation type="list" allowBlank="1" showInputMessage="1" showErrorMessage="1" xr:uid="{929BF37C-4A33-4189-A7B9-2B4C5D5D0E14}">
          <x14:formula1>
            <xm:f>Listas!$B$12:$B$17</xm:f>
          </x14:formula1>
          <xm:sqref>C14</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A0559-7A5A-4768-A7E6-F6887511DF03}">
  <sheetPr>
    <tabColor rgb="FF1F7A4D"/>
  </sheetPr>
  <dimension ref="B1:L198"/>
  <sheetViews>
    <sheetView showGridLines="0" zoomScaleNormal="100" workbookViewId="0">
      <pane xSplit="2" ySplit="1" topLeftCell="C2" activePane="bottomRight" state="frozen"/>
      <selection pane="topRight" activeCell="C1" sqref="C1"/>
      <selection pane="bottomLeft" activeCell="A3" sqref="A3"/>
      <selection pane="bottomRight" activeCell="C17" sqref="C17:E17"/>
    </sheetView>
  </sheetViews>
  <sheetFormatPr baseColWidth="10" defaultColWidth="8.54296875" defaultRowHeight="14.5" x14ac:dyDescent="0.35"/>
  <cols>
    <col min="1" max="1" width="3" style="1" customWidth="1"/>
    <col min="2" max="2" width="48.7265625" style="1" customWidth="1"/>
    <col min="3" max="3" width="43" style="1" customWidth="1"/>
    <col min="4" max="4" width="38.81640625" style="1" customWidth="1"/>
    <col min="5" max="5" width="41.7265625" style="1" customWidth="1"/>
    <col min="6" max="6" width="41" style="1" customWidth="1"/>
    <col min="7" max="7" width="35.81640625" style="1" customWidth="1"/>
    <col min="8" max="8" width="8.54296875" style="1"/>
    <col min="9" max="9" width="38.453125" style="1" bestFit="1" customWidth="1"/>
    <col min="10" max="10" width="32.54296875" style="1" customWidth="1"/>
    <col min="11" max="11" width="109.54296875" style="1" bestFit="1" customWidth="1"/>
    <col min="12" max="16384" width="8.54296875" style="1"/>
  </cols>
  <sheetData>
    <row r="1" spans="2:11" ht="30" customHeight="1" x14ac:dyDescent="0.35">
      <c r="B1" s="369" t="s">
        <v>922</v>
      </c>
      <c r="C1" s="369"/>
      <c r="D1" s="369"/>
      <c r="E1" s="369"/>
      <c r="F1" s="369"/>
      <c r="G1" s="369"/>
    </row>
    <row r="2" spans="2:11" ht="18" customHeight="1" x14ac:dyDescent="0.35">
      <c r="B2" s="370" t="s">
        <v>923</v>
      </c>
      <c r="C2" s="370"/>
      <c r="D2" s="370"/>
      <c r="E2" s="370"/>
      <c r="F2" s="370"/>
      <c r="G2" s="370"/>
      <c r="I2" s="62" t="s">
        <v>60</v>
      </c>
      <c r="J2" s="62"/>
      <c r="K2" s="62"/>
    </row>
    <row r="3" spans="2:11" ht="24" customHeight="1" x14ac:dyDescent="0.35">
      <c r="B3" s="258" t="s">
        <v>647</v>
      </c>
      <c r="C3" s="258"/>
      <c r="D3" s="258"/>
      <c r="E3" s="258"/>
      <c r="F3" s="258"/>
      <c r="G3" s="258"/>
      <c r="I3" s="6" t="s">
        <v>61</v>
      </c>
      <c r="J3" s="6" t="s">
        <v>62</v>
      </c>
      <c r="K3" s="6" t="s">
        <v>22</v>
      </c>
    </row>
    <row r="4" spans="2:11" ht="19.5" customHeight="1" x14ac:dyDescent="0.35">
      <c r="B4" s="37" t="s">
        <v>648</v>
      </c>
      <c r="C4" s="371" t="s">
        <v>248</v>
      </c>
      <c r="D4" s="371"/>
      <c r="E4" s="371"/>
      <c r="I4" s="17" t="s">
        <v>63</v>
      </c>
      <c r="J4" s="18" t="s">
        <v>64</v>
      </c>
      <c r="K4" s="63" t="s">
        <v>65</v>
      </c>
    </row>
    <row r="5" spans="2:11" ht="15" customHeight="1" x14ac:dyDescent="0.35">
      <c r="B5" s="37" t="s">
        <v>649</v>
      </c>
      <c r="C5" s="252" t="s">
        <v>924</v>
      </c>
      <c r="D5" s="252"/>
      <c r="E5" s="253"/>
      <c r="F5" s="91"/>
      <c r="G5" s="91"/>
      <c r="I5" s="19" t="s">
        <v>66</v>
      </c>
      <c r="J5" s="122" t="s">
        <v>67</v>
      </c>
      <c r="K5" s="63" t="s">
        <v>68</v>
      </c>
    </row>
    <row r="6" spans="2:11" ht="15" customHeight="1" x14ac:dyDescent="0.35">
      <c r="B6" s="37" t="s">
        <v>651</v>
      </c>
      <c r="C6" s="373" t="s">
        <v>925</v>
      </c>
      <c r="D6" s="373"/>
      <c r="E6" s="374"/>
      <c r="F6" s="91"/>
      <c r="G6" s="91"/>
      <c r="I6" s="20" t="s">
        <v>69</v>
      </c>
      <c r="J6" s="122" t="s">
        <v>70</v>
      </c>
      <c r="K6" s="63" t="s">
        <v>71</v>
      </c>
    </row>
    <row r="7" spans="2:11" ht="15" customHeight="1" x14ac:dyDescent="0.35">
      <c r="B7" s="37" t="s">
        <v>653</v>
      </c>
      <c r="C7" s="252" t="s">
        <v>926</v>
      </c>
      <c r="D7" s="252"/>
      <c r="E7" s="253"/>
      <c r="F7" s="91"/>
      <c r="G7" s="91"/>
      <c r="I7" s="21" t="s">
        <v>72</v>
      </c>
      <c r="J7" s="122" t="s">
        <v>73</v>
      </c>
      <c r="K7" s="63" t="s">
        <v>74</v>
      </c>
    </row>
    <row r="8" spans="2:11" ht="15.75" customHeight="1" x14ac:dyDescent="0.35">
      <c r="B8" s="37" t="s">
        <v>655</v>
      </c>
      <c r="C8" s="263">
        <v>46211</v>
      </c>
      <c r="D8" s="264"/>
      <c r="E8" s="372"/>
      <c r="F8" s="91"/>
      <c r="G8" s="91"/>
      <c r="I8" s="22" t="s">
        <v>75</v>
      </c>
      <c r="J8" s="122" t="s">
        <v>76</v>
      </c>
      <c r="K8" s="63" t="s">
        <v>77</v>
      </c>
    </row>
    <row r="9" spans="2:11" x14ac:dyDescent="0.35">
      <c r="B9" s="37" t="s">
        <v>656</v>
      </c>
      <c r="C9" s="375" t="s">
        <v>657</v>
      </c>
      <c r="D9" s="375"/>
      <c r="E9" s="376"/>
      <c r="F9" s="91"/>
      <c r="G9" s="91"/>
    </row>
    <row r="10" spans="2:11" x14ac:dyDescent="0.35">
      <c r="B10" s="37" t="s">
        <v>658</v>
      </c>
      <c r="C10" s="377">
        <v>8</v>
      </c>
      <c r="D10" s="377"/>
      <c r="E10" s="378"/>
      <c r="F10" s="91"/>
      <c r="G10" s="91"/>
      <c r="I10" s="6" t="s">
        <v>659</v>
      </c>
      <c r="J10" s="6" t="s">
        <v>292</v>
      </c>
      <c r="K10" s="6" t="s">
        <v>660</v>
      </c>
    </row>
    <row r="11" spans="2:11" x14ac:dyDescent="0.35">
      <c r="B11" s="133" t="s">
        <v>661</v>
      </c>
      <c r="C11" s="126" t="s">
        <v>272</v>
      </c>
      <c r="D11" s="127"/>
      <c r="E11" s="127"/>
      <c r="F11" s="91"/>
      <c r="G11" s="91"/>
      <c r="I11" s="18" t="s">
        <v>662</v>
      </c>
      <c r="J11" s="63" t="s">
        <v>663</v>
      </c>
      <c r="K11" s="63" t="s">
        <v>664</v>
      </c>
    </row>
    <row r="12" spans="2:11" ht="18.5" x14ac:dyDescent="0.35">
      <c r="B12" s="37" t="s">
        <v>665</v>
      </c>
      <c r="C12" s="173" t="s">
        <v>69</v>
      </c>
      <c r="D12" s="190" t="s">
        <v>666</v>
      </c>
      <c r="E12" s="191"/>
      <c r="F12" s="91"/>
      <c r="G12" s="91"/>
      <c r="I12" s="122" t="s">
        <v>667</v>
      </c>
      <c r="J12" s="63" t="s">
        <v>668</v>
      </c>
      <c r="K12" s="63" t="s">
        <v>669</v>
      </c>
    </row>
    <row r="13" spans="2:11" ht="16.5" customHeight="1" x14ac:dyDescent="0.35">
      <c r="B13" s="133" t="s">
        <v>670</v>
      </c>
      <c r="C13" s="192" t="s">
        <v>296</v>
      </c>
      <c r="D13" s="190"/>
      <c r="E13" s="191"/>
      <c r="F13" s="91"/>
      <c r="G13" s="91"/>
      <c r="I13" s="122" t="s">
        <v>672</v>
      </c>
      <c r="J13" s="63" t="s">
        <v>673</v>
      </c>
      <c r="K13" s="63" t="s">
        <v>674</v>
      </c>
    </row>
    <row r="14" spans="2:11" x14ac:dyDescent="0.35">
      <c r="B14" s="37" t="s">
        <v>927</v>
      </c>
      <c r="C14" s="365"/>
      <c r="D14" s="366" t="s">
        <v>666</v>
      </c>
      <c r="E14" s="367"/>
      <c r="F14" s="91"/>
      <c r="G14" s="91"/>
    </row>
    <row r="15" spans="2:11" ht="18.5" x14ac:dyDescent="0.35">
      <c r="B15" s="37" t="s">
        <v>677</v>
      </c>
      <c r="C15" s="235" t="s">
        <v>72</v>
      </c>
      <c r="D15" s="190" t="s">
        <v>928</v>
      </c>
      <c r="E15" s="193"/>
      <c r="F15" s="91"/>
      <c r="G15" s="91"/>
    </row>
    <row r="16" spans="2:11" x14ac:dyDescent="0.35">
      <c r="B16" s="37" t="s">
        <v>678</v>
      </c>
      <c r="C16" s="252" t="s">
        <v>679</v>
      </c>
      <c r="D16" s="252"/>
      <c r="E16" s="253"/>
      <c r="F16" s="91"/>
      <c r="G16" s="91"/>
    </row>
    <row r="17" spans="2:7" ht="31.5" customHeight="1" x14ac:dyDescent="0.35">
      <c r="B17" s="37" t="s">
        <v>680</v>
      </c>
      <c r="C17" s="252" t="s">
        <v>929</v>
      </c>
      <c r="D17" s="252"/>
      <c r="E17" s="253"/>
      <c r="F17" s="91"/>
      <c r="G17" s="91"/>
    </row>
    <row r="18" spans="2:7" x14ac:dyDescent="0.35">
      <c r="B18" s="37" t="s">
        <v>682</v>
      </c>
      <c r="C18" s="252" t="s">
        <v>683</v>
      </c>
      <c r="D18" s="252"/>
      <c r="E18" s="253"/>
      <c r="F18" s="91"/>
      <c r="G18" s="91"/>
    </row>
    <row r="19" spans="2:7" ht="15" x14ac:dyDescent="0.35">
      <c r="B19" s="37" t="s">
        <v>930</v>
      </c>
      <c r="C19" s="368" t="s">
        <v>931</v>
      </c>
      <c r="D19" s="252"/>
      <c r="E19" s="253"/>
      <c r="F19" s="91"/>
      <c r="G19" s="91"/>
    </row>
    <row r="20" spans="2:7" ht="15" x14ac:dyDescent="0.35">
      <c r="B20" s="37" t="s">
        <v>686</v>
      </c>
      <c r="C20" s="252" t="s">
        <v>932</v>
      </c>
      <c r="D20" s="252"/>
      <c r="E20" s="253"/>
      <c r="F20" s="91"/>
      <c r="G20" s="91"/>
    </row>
    <row r="21" spans="2:7" x14ac:dyDescent="0.35">
      <c r="B21" s="37" t="s">
        <v>688</v>
      </c>
      <c r="C21" s="252" t="s">
        <v>97</v>
      </c>
      <c r="D21" s="252"/>
      <c r="E21" s="253"/>
      <c r="F21" s="91"/>
      <c r="G21" s="91"/>
    </row>
    <row r="22" spans="2:7" x14ac:dyDescent="0.35">
      <c r="B22" s="37" t="s">
        <v>690</v>
      </c>
      <c r="C22" s="351" t="s">
        <v>933</v>
      </c>
      <c r="D22" s="252"/>
      <c r="E22" s="253"/>
      <c r="F22" s="91"/>
      <c r="G22" s="91"/>
    </row>
    <row r="23" spans="2:7" ht="15" customHeight="1" x14ac:dyDescent="0.35">
      <c r="B23" s="37" t="s">
        <v>692</v>
      </c>
      <c r="C23" s="252" t="s">
        <v>934</v>
      </c>
      <c r="D23" s="252"/>
      <c r="E23" s="253"/>
      <c r="F23" s="91"/>
      <c r="G23" s="91"/>
    </row>
    <row r="24" spans="2:7" x14ac:dyDescent="0.35">
      <c r="B24" s="37" t="s">
        <v>935</v>
      </c>
      <c r="C24" s="356">
        <v>24</v>
      </c>
      <c r="D24" s="356"/>
      <c r="E24" s="357"/>
      <c r="F24" s="91"/>
      <c r="G24" s="91"/>
    </row>
    <row r="25" spans="2:7" x14ac:dyDescent="0.35">
      <c r="B25" s="37" t="s">
        <v>936</v>
      </c>
      <c r="C25" s="252" t="s">
        <v>937</v>
      </c>
      <c r="D25" s="252"/>
      <c r="E25" s="253"/>
      <c r="F25" s="91"/>
      <c r="G25" s="91"/>
    </row>
    <row r="26" spans="2:7" x14ac:dyDescent="0.35">
      <c r="B26" s="199" t="s">
        <v>938</v>
      </c>
      <c r="C26" s="252"/>
      <c r="D26" s="252"/>
      <c r="E26" s="253"/>
      <c r="F26" s="91"/>
      <c r="G26" s="91"/>
    </row>
    <row r="27" spans="2:7" x14ac:dyDescent="0.35">
      <c r="B27" s="199" t="s">
        <v>698</v>
      </c>
      <c r="C27" s="252"/>
      <c r="D27" s="252"/>
      <c r="E27" s="253"/>
      <c r="F27" s="91"/>
      <c r="G27" s="91"/>
    </row>
    <row r="29" spans="2:7" ht="24" customHeight="1" x14ac:dyDescent="0.35">
      <c r="B29" s="100" t="s">
        <v>699</v>
      </c>
      <c r="C29" s="100"/>
      <c r="D29" s="100"/>
      <c r="E29" s="100"/>
      <c r="F29" s="100"/>
      <c r="G29" s="91"/>
    </row>
    <row r="30" spans="2:7" ht="27.75" customHeight="1" x14ac:dyDescent="0.35">
      <c r="B30" s="6" t="s">
        <v>19</v>
      </c>
      <c r="C30" s="6" t="s">
        <v>700</v>
      </c>
      <c r="D30" s="6" t="s">
        <v>701</v>
      </c>
      <c r="E30" s="6" t="s">
        <v>702</v>
      </c>
      <c r="F30" s="6" t="s">
        <v>703</v>
      </c>
    </row>
    <row r="31" spans="2:7" ht="21.75" customHeight="1" x14ac:dyDescent="0.35">
      <c r="B31" s="170" t="s">
        <v>704</v>
      </c>
      <c r="C31" s="170"/>
      <c r="D31" s="170"/>
      <c r="E31" s="170"/>
      <c r="F31" s="170"/>
    </row>
    <row r="32" spans="2:7" ht="41.25" customHeight="1" x14ac:dyDescent="0.35">
      <c r="B32" s="40" t="s">
        <v>939</v>
      </c>
      <c r="C32" s="65" t="s">
        <v>705</v>
      </c>
      <c r="D32" s="26" t="s">
        <v>89</v>
      </c>
      <c r="E32" s="5" t="s">
        <v>940</v>
      </c>
      <c r="F32" s="36" t="s">
        <v>277</v>
      </c>
    </row>
    <row r="33" spans="2:6" ht="41.25" customHeight="1" x14ac:dyDescent="0.35">
      <c r="B33" s="41" t="s">
        <v>941</v>
      </c>
      <c r="C33" s="66" t="s">
        <v>706</v>
      </c>
      <c r="D33" s="26" t="s">
        <v>89</v>
      </c>
      <c r="E33" s="5" t="s">
        <v>942</v>
      </c>
      <c r="F33" s="36" t="s">
        <v>271</v>
      </c>
    </row>
    <row r="34" spans="2:6" ht="41.25" customHeight="1" x14ac:dyDescent="0.35">
      <c r="B34" s="40" t="s">
        <v>943</v>
      </c>
      <c r="C34" s="65" t="s">
        <v>707</v>
      </c>
      <c r="D34" s="26" t="s">
        <v>93</v>
      </c>
      <c r="E34" s="5" t="s">
        <v>944</v>
      </c>
      <c r="F34" s="36" t="s">
        <v>277</v>
      </c>
    </row>
    <row r="35" spans="2:6" ht="41.25" customHeight="1" x14ac:dyDescent="0.35">
      <c r="B35" s="41" t="s">
        <v>945</v>
      </c>
      <c r="C35" s="66" t="s">
        <v>708</v>
      </c>
      <c r="D35" s="26" t="s">
        <v>89</v>
      </c>
      <c r="E35" s="5" t="s">
        <v>946</v>
      </c>
      <c r="F35" s="36" t="s">
        <v>277</v>
      </c>
    </row>
    <row r="36" spans="2:6" ht="41.25" customHeight="1" x14ac:dyDescent="0.35">
      <c r="B36" s="40" t="s">
        <v>947</v>
      </c>
      <c r="C36" s="65" t="s">
        <v>709</v>
      </c>
      <c r="D36" s="26" t="s">
        <v>93</v>
      </c>
      <c r="E36" s="5" t="s">
        <v>948</v>
      </c>
      <c r="F36" s="36" t="s">
        <v>277</v>
      </c>
    </row>
    <row r="38" spans="2:6" ht="21.75" customHeight="1" x14ac:dyDescent="0.35">
      <c r="B38" s="129" t="s">
        <v>711</v>
      </c>
      <c r="C38" s="129"/>
      <c r="D38" s="129"/>
      <c r="E38" s="129"/>
      <c r="F38" s="129"/>
    </row>
    <row r="39" spans="2:6" ht="27.75" customHeight="1" x14ac:dyDescent="0.35">
      <c r="B39" s="41" t="s">
        <v>949</v>
      </c>
      <c r="C39" s="66" t="s">
        <v>712</v>
      </c>
      <c r="D39" s="26" t="s">
        <v>86</v>
      </c>
      <c r="E39" s="5" t="s">
        <v>950</v>
      </c>
      <c r="F39" s="36" t="s">
        <v>277</v>
      </c>
    </row>
    <row r="40" spans="2:6" ht="27.75" customHeight="1" x14ac:dyDescent="0.35">
      <c r="B40" s="40" t="s">
        <v>951</v>
      </c>
      <c r="C40" s="65" t="s">
        <v>714</v>
      </c>
      <c r="D40" s="26" t="s">
        <v>86</v>
      </c>
      <c r="E40" s="5" t="s">
        <v>952</v>
      </c>
      <c r="F40" s="36" t="s">
        <v>277</v>
      </c>
    </row>
    <row r="41" spans="2:6" ht="57" customHeight="1" x14ac:dyDescent="0.35">
      <c r="B41" s="41" t="s">
        <v>953</v>
      </c>
      <c r="C41" s="66" t="s">
        <v>716</v>
      </c>
      <c r="D41" s="26" t="s">
        <v>86</v>
      </c>
      <c r="E41" s="5" t="s">
        <v>954</v>
      </c>
      <c r="F41" s="36" t="s">
        <v>271</v>
      </c>
    </row>
    <row r="42" spans="2:6" ht="43.5" customHeight="1" x14ac:dyDescent="0.35">
      <c r="B42" s="40" t="s">
        <v>955</v>
      </c>
      <c r="C42" s="65" t="s">
        <v>718</v>
      </c>
      <c r="D42" s="26" t="s">
        <v>89</v>
      </c>
      <c r="E42" s="5" t="s">
        <v>956</v>
      </c>
      <c r="F42" s="36" t="s">
        <v>277</v>
      </c>
    </row>
    <row r="43" spans="2:6" ht="43.5" x14ac:dyDescent="0.35">
      <c r="B43" s="41" t="s">
        <v>957</v>
      </c>
      <c r="C43" s="66" t="s">
        <v>719</v>
      </c>
      <c r="D43" s="26" t="s">
        <v>93</v>
      </c>
      <c r="E43" s="5"/>
      <c r="F43" s="36" t="s">
        <v>277</v>
      </c>
    </row>
    <row r="44" spans="2:6" ht="27.75" customHeight="1" x14ac:dyDescent="0.35">
      <c r="B44" s="40" t="s">
        <v>958</v>
      </c>
      <c r="C44" s="65" t="s">
        <v>721</v>
      </c>
      <c r="D44" s="26" t="s">
        <v>93</v>
      </c>
      <c r="E44" s="5"/>
      <c r="F44" s="36" t="s">
        <v>277</v>
      </c>
    </row>
    <row r="45" spans="2:6" ht="27.75" customHeight="1" x14ac:dyDescent="0.35">
      <c r="B45" s="41" t="s">
        <v>959</v>
      </c>
      <c r="C45" s="66" t="s">
        <v>722</v>
      </c>
      <c r="D45" s="26" t="s">
        <v>89</v>
      </c>
      <c r="E45" s="5" t="s">
        <v>960</v>
      </c>
      <c r="F45" s="36" t="s">
        <v>271</v>
      </c>
    </row>
    <row r="47" spans="2:6" ht="21.75" customHeight="1" x14ac:dyDescent="0.35">
      <c r="B47" s="129" t="s">
        <v>723</v>
      </c>
      <c r="C47" s="129"/>
      <c r="D47" s="129"/>
      <c r="E47" s="129"/>
      <c r="F47" s="129"/>
    </row>
    <row r="48" spans="2:6" ht="27.75" customHeight="1" x14ac:dyDescent="0.35">
      <c r="B48" s="40" t="s">
        <v>961</v>
      </c>
      <c r="C48" s="65" t="s">
        <v>724</v>
      </c>
      <c r="D48" s="26" t="s">
        <v>86</v>
      </c>
      <c r="E48" s="5" t="s">
        <v>962</v>
      </c>
      <c r="F48" s="36" t="s">
        <v>277</v>
      </c>
    </row>
    <row r="49" spans="2:6" ht="53.25" customHeight="1" x14ac:dyDescent="0.35">
      <c r="B49" s="41" t="s">
        <v>963</v>
      </c>
      <c r="C49" s="66" t="s">
        <v>726</v>
      </c>
      <c r="D49" s="26" t="s">
        <v>86</v>
      </c>
      <c r="E49" s="5" t="s">
        <v>964</v>
      </c>
      <c r="F49" s="36" t="s">
        <v>271</v>
      </c>
    </row>
    <row r="50" spans="2:6" ht="27.75" customHeight="1" x14ac:dyDescent="0.35">
      <c r="B50" s="40" t="s">
        <v>965</v>
      </c>
      <c r="C50" s="65" t="s">
        <v>727</v>
      </c>
      <c r="D50" s="26" t="s">
        <v>89</v>
      </c>
      <c r="E50" s="5" t="s">
        <v>966</v>
      </c>
      <c r="F50" s="36" t="s">
        <v>271</v>
      </c>
    </row>
    <row r="52" spans="2:6" ht="21.75" customHeight="1" x14ac:dyDescent="0.35">
      <c r="B52" s="129" t="s">
        <v>728</v>
      </c>
      <c r="C52" s="129"/>
      <c r="D52" s="129"/>
      <c r="E52" s="129"/>
      <c r="F52" s="129"/>
    </row>
    <row r="53" spans="2:6" ht="27.75" customHeight="1" x14ac:dyDescent="0.35">
      <c r="B53" s="41" t="s">
        <v>967</v>
      </c>
      <c r="C53" s="66" t="s">
        <v>729</v>
      </c>
      <c r="D53" s="26" t="s">
        <v>89</v>
      </c>
      <c r="E53" s="5" t="s">
        <v>968</v>
      </c>
      <c r="F53" s="36" t="s">
        <v>271</v>
      </c>
    </row>
    <row r="54" spans="2:6" ht="27.75" customHeight="1" x14ac:dyDescent="0.35">
      <c r="B54" s="40" t="s">
        <v>969</v>
      </c>
      <c r="C54" s="65" t="s">
        <v>731</v>
      </c>
      <c r="D54" s="26" t="s">
        <v>89</v>
      </c>
      <c r="E54" s="5" t="s">
        <v>970</v>
      </c>
      <c r="F54" s="36" t="s">
        <v>271</v>
      </c>
    </row>
    <row r="56" spans="2:6" ht="27.75" customHeight="1" x14ac:dyDescent="0.35">
      <c r="B56" s="260" t="s">
        <v>732</v>
      </c>
      <c r="C56" s="355"/>
      <c r="D56" s="42">
        <f>IF(D32="Sí",1,IF(D32="Parcial",0.5,0))+IF(D33="Sí",1,IF(D33="Parcial",0.5,0))+IF(D34="Sí",1,IF(D34="Parcial",0.5,0))+IF(D35="Sí",1,IF(D35="Parcial",0.5,0))+IF(D36="Sí",1,IF(D36="Parcial",0.5,0))+IF(D39="Sí",1,IF(D39="Parcial",0.5,0))+IF(D40="Sí",1,IF(D40="Parcial",0.5,0))+IF(D41="Sí",1,IF(D41="Parcial",0.5,0))+IF(D42="Sí",1,IF(D42="Parcial",0.5,0))+IF(D43="Sí",1,IF(D43="Parcial",0.5,0))+IF(D44="Sí",1,IF(D44="Parcial",0.5,0))+IF(D45="Sí",1,IF(D45="Parcial",0.5,0))+IF(D48="Sí",1,IF(D48="Parcial",0.5,0))+IF(D49="Sí",1,IF(D49="Parcial",0.5,0))+IF(D50="Sí",1,IF(D50="Parcial",0.5,0))+IF(D53="Sí",1,IF(D53="Parcial",0.5,0))+IF(D54="Sí",1,IF(D54="Parcial",0.5,0))</f>
        <v>9</v>
      </c>
      <c r="E56" s="43">
        <f>D56/17</f>
        <v>0.52941176470588236</v>
      </c>
    </row>
    <row r="58" spans="2:6" ht="24" customHeight="1" x14ac:dyDescent="0.35">
      <c r="B58" s="100" t="s">
        <v>733</v>
      </c>
      <c r="C58" s="100"/>
      <c r="D58" s="100"/>
      <c r="E58" s="100"/>
      <c r="F58" s="100"/>
    </row>
    <row r="59" spans="2:6" ht="21.75" customHeight="1" x14ac:dyDescent="0.35">
      <c r="B59" s="6" t="s">
        <v>464</v>
      </c>
      <c r="C59" s="6" t="s">
        <v>466</v>
      </c>
      <c r="D59" s="6" t="s">
        <v>734</v>
      </c>
      <c r="E59" s="6" t="s">
        <v>735</v>
      </c>
      <c r="F59" s="6" t="s">
        <v>736</v>
      </c>
    </row>
    <row r="60" spans="2:6" ht="34.5" customHeight="1" x14ac:dyDescent="0.35">
      <c r="B60" s="44" t="s">
        <v>467</v>
      </c>
      <c r="C60" s="200">
        <v>668</v>
      </c>
      <c r="D60" s="149"/>
      <c r="E60" s="149" t="s">
        <v>971</v>
      </c>
      <c r="F60" s="206"/>
    </row>
    <row r="61" spans="2:6" ht="34.5" customHeight="1" x14ac:dyDescent="0.35">
      <c r="B61" s="210" t="s">
        <v>972</v>
      </c>
      <c r="C61" s="200"/>
      <c r="D61" s="149"/>
      <c r="E61" s="149"/>
      <c r="F61" s="206"/>
    </row>
    <row r="62" spans="2:6" ht="34.5" customHeight="1" x14ac:dyDescent="0.35">
      <c r="B62" s="210" t="s">
        <v>973</v>
      </c>
      <c r="C62" s="200"/>
      <c r="D62" s="149"/>
      <c r="E62" s="149"/>
      <c r="F62" s="206"/>
    </row>
    <row r="63" spans="2:6" ht="34.5" customHeight="1" x14ac:dyDescent="0.35">
      <c r="B63" s="46" t="s">
        <v>470</v>
      </c>
      <c r="C63" s="201">
        <v>667</v>
      </c>
      <c r="D63" s="207"/>
      <c r="E63" s="207" t="s">
        <v>971</v>
      </c>
      <c r="F63" s="206"/>
    </row>
    <row r="64" spans="2:6" ht="34.5" customHeight="1" x14ac:dyDescent="0.35">
      <c r="B64" s="44" t="s">
        <v>472</v>
      </c>
      <c r="C64" s="200">
        <v>1</v>
      </c>
      <c r="D64" s="149"/>
      <c r="E64" s="149" t="s">
        <v>971</v>
      </c>
      <c r="F64" s="206"/>
    </row>
    <row r="65" spans="2:6" ht="34.5" customHeight="1" x14ac:dyDescent="0.35">
      <c r="B65" s="46" t="s">
        <v>737</v>
      </c>
      <c r="C65" s="201" t="s">
        <v>97</v>
      </c>
      <c r="D65" s="207" t="s">
        <v>97</v>
      </c>
      <c r="E65" s="207" t="s">
        <v>971</v>
      </c>
      <c r="F65" s="206"/>
    </row>
    <row r="66" spans="2:6" ht="34.5" customHeight="1" x14ac:dyDescent="0.35">
      <c r="B66" s="44" t="s">
        <v>475</v>
      </c>
      <c r="C66" s="202" t="s">
        <v>496</v>
      </c>
      <c r="D66" s="149" t="s">
        <v>496</v>
      </c>
      <c r="E66" s="149" t="s">
        <v>971</v>
      </c>
      <c r="F66" s="206"/>
    </row>
    <row r="67" spans="2:6" ht="34.5" customHeight="1" x14ac:dyDescent="0.35">
      <c r="B67" s="46" t="s">
        <v>477</v>
      </c>
      <c r="C67" s="203">
        <v>24.58</v>
      </c>
      <c r="D67" s="208" t="s">
        <v>974</v>
      </c>
      <c r="E67" s="207" t="s">
        <v>971</v>
      </c>
      <c r="F67" s="206"/>
    </row>
    <row r="68" spans="2:6" ht="34.5" customHeight="1" x14ac:dyDescent="0.35">
      <c r="B68" s="44" t="s">
        <v>257</v>
      </c>
      <c r="C68" s="202">
        <v>0.7</v>
      </c>
      <c r="D68" s="209">
        <v>0.92</v>
      </c>
      <c r="E68" s="149" t="s">
        <v>971</v>
      </c>
      <c r="F68" s="206"/>
    </row>
    <row r="69" spans="2:6" ht="34.5" customHeight="1" x14ac:dyDescent="0.35">
      <c r="B69" s="46" t="s">
        <v>480</v>
      </c>
      <c r="C69" s="201">
        <v>65</v>
      </c>
      <c r="D69" s="207"/>
      <c r="E69" s="207" t="s">
        <v>971</v>
      </c>
      <c r="F69" s="206"/>
    </row>
    <row r="70" spans="2:6" ht="34.5" customHeight="1" x14ac:dyDescent="0.35">
      <c r="B70" s="44" t="s">
        <v>482</v>
      </c>
      <c r="C70" s="200">
        <v>150</v>
      </c>
      <c r="D70" s="149"/>
      <c r="E70" s="149" t="s">
        <v>971</v>
      </c>
      <c r="F70" s="206"/>
    </row>
    <row r="71" spans="2:6" ht="34.5" customHeight="1" x14ac:dyDescent="0.35">
      <c r="B71" s="46" t="s">
        <v>484</v>
      </c>
      <c r="C71" s="201" t="s">
        <v>496</v>
      </c>
      <c r="D71" s="207" t="s">
        <v>496</v>
      </c>
      <c r="E71" s="207" t="s">
        <v>971</v>
      </c>
      <c r="F71" s="206"/>
    </row>
    <row r="72" spans="2:6" ht="34.5" customHeight="1" x14ac:dyDescent="0.35">
      <c r="B72" s="44" t="s">
        <v>486</v>
      </c>
      <c r="C72" s="202">
        <v>8</v>
      </c>
      <c r="D72" s="209"/>
      <c r="E72" s="149" t="s">
        <v>971</v>
      </c>
      <c r="F72" s="206"/>
    </row>
    <row r="73" spans="2:6" ht="34.5" customHeight="1" x14ac:dyDescent="0.35">
      <c r="B73" s="46" t="s">
        <v>488</v>
      </c>
      <c r="C73" s="203">
        <v>0</v>
      </c>
      <c r="D73" s="208">
        <v>0</v>
      </c>
      <c r="E73" s="207" t="s">
        <v>971</v>
      </c>
      <c r="F73" s="206"/>
    </row>
    <row r="75" spans="2:6" ht="24" customHeight="1" x14ac:dyDescent="0.35">
      <c r="B75" s="100" t="s">
        <v>37</v>
      </c>
      <c r="C75" s="100"/>
      <c r="D75" s="100"/>
      <c r="E75" s="100"/>
      <c r="F75" s="100"/>
    </row>
    <row r="76" spans="2:6" ht="23.25" customHeight="1" x14ac:dyDescent="0.35">
      <c r="B76" s="266" t="s">
        <v>739</v>
      </c>
      <c r="C76" s="266"/>
      <c r="D76" s="266"/>
      <c r="E76" s="266"/>
      <c r="F76" s="266"/>
    </row>
    <row r="77" spans="2:6" ht="21.75" customHeight="1" x14ac:dyDescent="0.35">
      <c r="B77" s="6" t="s">
        <v>740</v>
      </c>
      <c r="C77" s="6" t="s">
        <v>741</v>
      </c>
      <c r="D77" s="6" t="s">
        <v>742</v>
      </c>
      <c r="E77" s="6" t="s">
        <v>743</v>
      </c>
      <c r="F77" s="6" t="s">
        <v>744</v>
      </c>
    </row>
    <row r="78" spans="2:6" ht="20.25" customHeight="1" x14ac:dyDescent="0.35">
      <c r="B78" s="44" t="s">
        <v>745</v>
      </c>
      <c r="C78" s="45"/>
      <c r="D78" s="45"/>
      <c r="E78" s="45"/>
      <c r="F78" s="45"/>
    </row>
    <row r="79" spans="2:6" ht="19.5" customHeight="1" x14ac:dyDescent="0.35">
      <c r="B79" s="46" t="s">
        <v>746</v>
      </c>
      <c r="C79" s="47"/>
      <c r="D79" s="188"/>
      <c r="E79" s="47"/>
      <c r="F79" s="47"/>
    </row>
    <row r="80" spans="2:6" ht="34.5" customHeight="1" x14ac:dyDescent="0.35">
      <c r="B80" s="44" t="s">
        <v>748</v>
      </c>
      <c r="C80" s="45">
        <v>668</v>
      </c>
      <c r="D80" s="189">
        <v>1</v>
      </c>
      <c r="E80" s="45">
        <v>24.58</v>
      </c>
      <c r="F80" s="149" t="s">
        <v>975</v>
      </c>
    </row>
    <row r="81" spans="2:6" ht="19.5" customHeight="1" x14ac:dyDescent="0.35">
      <c r="B81" s="46" t="s">
        <v>749</v>
      </c>
      <c r="C81" s="47"/>
      <c r="D81" s="47"/>
      <c r="E81" s="47"/>
      <c r="F81" s="47"/>
    </row>
    <row r="82" spans="2:6" ht="19.5" customHeight="1" x14ac:dyDescent="0.35">
      <c r="B82" s="44" t="s">
        <v>751</v>
      </c>
      <c r="C82" s="45"/>
      <c r="D82" s="45"/>
      <c r="E82" s="45"/>
      <c r="F82" s="45"/>
    </row>
    <row r="83" spans="2:6" ht="19.5" customHeight="1" x14ac:dyDescent="0.35">
      <c r="B83" s="46" t="s">
        <v>752</v>
      </c>
      <c r="C83" s="47"/>
      <c r="D83" s="47"/>
      <c r="E83" s="47"/>
      <c r="F83" s="47"/>
    </row>
    <row r="84" spans="2:6" ht="19.5" customHeight="1" x14ac:dyDescent="0.35">
      <c r="B84" s="44" t="s">
        <v>753</v>
      </c>
      <c r="C84" s="45"/>
      <c r="D84" s="45"/>
      <c r="E84" s="45"/>
      <c r="F84" s="45"/>
    </row>
    <row r="85" spans="2:6" ht="19.5" customHeight="1" x14ac:dyDescent="0.35">
      <c r="B85" s="46" t="s">
        <v>755</v>
      </c>
      <c r="C85" s="47"/>
      <c r="D85" s="47"/>
      <c r="E85" s="47"/>
      <c r="F85" s="47"/>
    </row>
    <row r="86" spans="2:6" ht="14.5" customHeight="1" x14ac:dyDescent="0.35"/>
    <row r="87" spans="2:6" ht="24" customHeight="1" x14ac:dyDescent="0.35">
      <c r="B87" s="100" t="s">
        <v>757</v>
      </c>
      <c r="C87" s="100"/>
      <c r="D87" s="100"/>
      <c r="E87" s="100"/>
      <c r="F87" s="100"/>
    </row>
    <row r="88" spans="2:6" ht="21.75" customHeight="1" x14ac:dyDescent="0.35">
      <c r="B88" s="6" t="s">
        <v>758</v>
      </c>
      <c r="C88" s="6" t="s">
        <v>466</v>
      </c>
      <c r="D88" s="6" t="s">
        <v>201</v>
      </c>
      <c r="E88" s="6" t="s">
        <v>759</v>
      </c>
      <c r="F88" s="6" t="s">
        <v>744</v>
      </c>
    </row>
    <row r="89" spans="2:6" x14ac:dyDescent="0.35">
      <c r="B89" s="14" t="s">
        <v>760</v>
      </c>
      <c r="C89" s="45"/>
      <c r="D89" s="45"/>
      <c r="E89" s="149"/>
      <c r="F89" s="149"/>
    </row>
    <row r="90" spans="2:6" x14ac:dyDescent="0.35">
      <c r="B90" s="16" t="s">
        <v>428</v>
      </c>
      <c r="C90" s="36"/>
      <c r="D90" s="36"/>
      <c r="E90" s="207"/>
      <c r="F90" s="207"/>
    </row>
    <row r="91" spans="2:6" x14ac:dyDescent="0.35">
      <c r="B91" s="14" t="s">
        <v>429</v>
      </c>
      <c r="C91" s="45"/>
      <c r="D91" s="45"/>
      <c r="E91" s="45"/>
      <c r="F91" s="45"/>
    </row>
    <row r="92" spans="2:6" x14ac:dyDescent="0.35">
      <c r="B92" s="16" t="s">
        <v>761</v>
      </c>
      <c r="C92" s="47"/>
      <c r="D92" s="47"/>
      <c r="E92" s="47"/>
      <c r="F92" s="47"/>
    </row>
    <row r="93" spans="2:6" x14ac:dyDescent="0.35">
      <c r="B93" s="14" t="s">
        <v>762</v>
      </c>
      <c r="C93" s="45"/>
      <c r="D93" s="45"/>
      <c r="E93" s="45"/>
      <c r="F93" s="45"/>
    </row>
    <row r="94" spans="2:6" x14ac:dyDescent="0.35">
      <c r="B94" s="16" t="s">
        <v>430</v>
      </c>
      <c r="C94" s="47"/>
      <c r="D94" s="47"/>
      <c r="E94" s="47"/>
      <c r="F94" s="47"/>
    </row>
    <row r="95" spans="2:6" x14ac:dyDescent="0.35">
      <c r="B95" s="14" t="s">
        <v>431</v>
      </c>
      <c r="C95" s="45"/>
      <c r="D95" s="45"/>
      <c r="E95" s="45"/>
      <c r="F95" s="45"/>
    </row>
    <row r="97" spans="2:7" ht="24" customHeight="1" x14ac:dyDescent="0.35">
      <c r="B97" s="258" t="s">
        <v>763</v>
      </c>
      <c r="C97" s="352"/>
      <c r="D97" s="352"/>
      <c r="E97" s="352"/>
      <c r="F97" s="352"/>
      <c r="G97" s="352"/>
    </row>
    <row r="98" spans="2:7" ht="27.75" customHeight="1" x14ac:dyDescent="0.35">
      <c r="B98" s="6" t="s">
        <v>142</v>
      </c>
      <c r="C98" s="6" t="s">
        <v>764</v>
      </c>
      <c r="D98" s="6" t="s">
        <v>765</v>
      </c>
      <c r="E98" s="6" t="s">
        <v>766</v>
      </c>
      <c r="F98" s="6" t="s">
        <v>767</v>
      </c>
      <c r="G98" s="6" t="s">
        <v>768</v>
      </c>
    </row>
    <row r="99" spans="2:7" ht="25.5" customHeight="1" x14ac:dyDescent="0.35">
      <c r="B99" s="48" t="s">
        <v>153</v>
      </c>
      <c r="C99" s="26" t="s">
        <v>89</v>
      </c>
      <c r="D99" s="69" t="s">
        <v>769</v>
      </c>
      <c r="E99" s="49">
        <v>3</v>
      </c>
      <c r="F99" s="36" t="s">
        <v>277</v>
      </c>
      <c r="G99" s="5" t="s">
        <v>976</v>
      </c>
    </row>
    <row r="100" spans="2:7" ht="27.75" customHeight="1" x14ac:dyDescent="0.35">
      <c r="B100" s="50" t="s">
        <v>154</v>
      </c>
      <c r="C100" s="26" t="s">
        <v>86</v>
      </c>
      <c r="D100" s="68" t="s">
        <v>771</v>
      </c>
      <c r="E100" s="49">
        <v>4</v>
      </c>
      <c r="F100" s="36" t="s">
        <v>271</v>
      </c>
      <c r="G100" s="5" t="s">
        <v>977</v>
      </c>
    </row>
    <row r="101" spans="2:7" ht="25.5" customHeight="1" x14ac:dyDescent="0.35">
      <c r="B101" s="48" t="s">
        <v>155</v>
      </c>
      <c r="C101" s="26" t="s">
        <v>86</v>
      </c>
      <c r="D101" s="69" t="s">
        <v>773</v>
      </c>
      <c r="E101" s="49">
        <v>4</v>
      </c>
      <c r="F101" s="36" t="s">
        <v>271</v>
      </c>
      <c r="G101" s="5" t="s">
        <v>978</v>
      </c>
    </row>
    <row r="102" spans="2:7" ht="25.5" customHeight="1" x14ac:dyDescent="0.35">
      <c r="B102" s="50" t="s">
        <v>156</v>
      </c>
      <c r="C102" s="26" t="s">
        <v>89</v>
      </c>
      <c r="D102" s="68" t="s">
        <v>775</v>
      </c>
      <c r="E102" s="49">
        <v>3</v>
      </c>
      <c r="F102" s="36" t="s">
        <v>277</v>
      </c>
      <c r="G102" s="5" t="s">
        <v>979</v>
      </c>
    </row>
    <row r="103" spans="2:7" ht="25.5" customHeight="1" x14ac:dyDescent="0.35">
      <c r="B103" s="48" t="s">
        <v>157</v>
      </c>
      <c r="C103" s="26" t="s">
        <v>93</v>
      </c>
      <c r="D103" s="67" t="s">
        <v>777</v>
      </c>
      <c r="E103" s="49">
        <v>2</v>
      </c>
      <c r="F103" s="36" t="s">
        <v>282</v>
      </c>
      <c r="G103" s="5" t="s">
        <v>980</v>
      </c>
    </row>
    <row r="104" spans="2:7" ht="25.5" customHeight="1" x14ac:dyDescent="0.35">
      <c r="B104" s="50" t="s">
        <v>158</v>
      </c>
      <c r="C104" s="26" t="s">
        <v>89</v>
      </c>
      <c r="D104" s="68" t="s">
        <v>779</v>
      </c>
      <c r="E104" s="49">
        <v>3</v>
      </c>
      <c r="F104" s="36" t="s">
        <v>277</v>
      </c>
      <c r="G104" s="5" t="s">
        <v>981</v>
      </c>
    </row>
    <row r="105" spans="2:7" ht="25.5" customHeight="1" x14ac:dyDescent="0.35">
      <c r="B105" s="48" t="s">
        <v>159</v>
      </c>
      <c r="C105" s="26" t="s">
        <v>89</v>
      </c>
      <c r="D105" s="67" t="s">
        <v>982</v>
      </c>
      <c r="E105" s="49">
        <v>3</v>
      </c>
      <c r="F105" s="36" t="s">
        <v>277</v>
      </c>
      <c r="G105" s="5" t="s">
        <v>983</v>
      </c>
    </row>
    <row r="106" spans="2:7" ht="33" customHeight="1" x14ac:dyDescent="0.35">
      <c r="B106" s="50" t="s">
        <v>160</v>
      </c>
      <c r="C106" s="26" t="s">
        <v>89</v>
      </c>
      <c r="D106" s="74" t="s">
        <v>783</v>
      </c>
      <c r="E106" s="49">
        <v>3</v>
      </c>
      <c r="F106" s="36" t="s">
        <v>277</v>
      </c>
      <c r="G106" s="5" t="s">
        <v>984</v>
      </c>
    </row>
    <row r="107" spans="2:7" ht="42.75" customHeight="1" x14ac:dyDescent="0.35">
      <c r="B107" s="48" t="s">
        <v>161</v>
      </c>
      <c r="C107" s="26" t="s">
        <v>86</v>
      </c>
      <c r="D107" s="69" t="s">
        <v>785</v>
      </c>
      <c r="E107" s="49">
        <v>3</v>
      </c>
      <c r="F107" s="36" t="s">
        <v>277</v>
      </c>
      <c r="G107" s="5" t="s">
        <v>985</v>
      </c>
    </row>
    <row r="108" spans="2:7" ht="56.25" customHeight="1" x14ac:dyDescent="0.35">
      <c r="B108" s="50" t="s">
        <v>162</v>
      </c>
      <c r="C108" s="26" t="s">
        <v>89</v>
      </c>
      <c r="D108" s="74" t="s">
        <v>986</v>
      </c>
      <c r="E108" s="49">
        <v>3</v>
      </c>
      <c r="F108" s="36" t="s">
        <v>277</v>
      </c>
      <c r="G108" s="5" t="s">
        <v>987</v>
      </c>
    </row>
    <row r="109" spans="2:7" ht="25.5" customHeight="1" x14ac:dyDescent="0.35">
      <c r="B109" s="48" t="s">
        <v>163</v>
      </c>
      <c r="C109" s="26" t="s">
        <v>89</v>
      </c>
      <c r="D109" s="67" t="s">
        <v>789</v>
      </c>
      <c r="E109" s="49">
        <v>3</v>
      </c>
      <c r="F109" s="36" t="s">
        <v>277</v>
      </c>
      <c r="G109" s="5" t="s">
        <v>988</v>
      </c>
    </row>
    <row r="110" spans="2:7" ht="25.5" customHeight="1" x14ac:dyDescent="0.35">
      <c r="B110" s="50" t="s">
        <v>164</v>
      </c>
      <c r="C110" s="26" t="s">
        <v>89</v>
      </c>
      <c r="D110" s="74" t="s">
        <v>791</v>
      </c>
      <c r="E110" s="49">
        <v>3</v>
      </c>
      <c r="F110" s="36" t="s">
        <v>277</v>
      </c>
      <c r="G110" s="5" t="s">
        <v>989</v>
      </c>
    </row>
    <row r="111" spans="2:7" ht="25.5" customHeight="1" x14ac:dyDescent="0.35">
      <c r="B111" s="48" t="s">
        <v>165</v>
      </c>
      <c r="C111" s="26" t="s">
        <v>86</v>
      </c>
      <c r="D111" s="69" t="s">
        <v>793</v>
      </c>
      <c r="E111" s="49">
        <v>4</v>
      </c>
      <c r="F111" s="36" t="s">
        <v>271</v>
      </c>
      <c r="G111" s="5" t="s">
        <v>990</v>
      </c>
    </row>
    <row r="112" spans="2:7" ht="25.5" customHeight="1" x14ac:dyDescent="0.35">
      <c r="B112" s="50" t="s">
        <v>166</v>
      </c>
      <c r="C112" s="26" t="s">
        <v>89</v>
      </c>
      <c r="D112" s="74" t="s">
        <v>795</v>
      </c>
      <c r="E112" s="49">
        <v>3</v>
      </c>
      <c r="F112" s="36" t="s">
        <v>277</v>
      </c>
      <c r="G112" s="5" t="s">
        <v>991</v>
      </c>
    </row>
    <row r="113" spans="2:7" ht="25.5" customHeight="1" x14ac:dyDescent="0.35">
      <c r="B113" s="48" t="s">
        <v>167</v>
      </c>
      <c r="C113" s="26" t="s">
        <v>89</v>
      </c>
      <c r="D113" s="69" t="s">
        <v>797</v>
      </c>
      <c r="E113" s="49">
        <v>3</v>
      </c>
      <c r="F113" s="36" t="s">
        <v>277</v>
      </c>
      <c r="G113" s="5" t="s">
        <v>992</v>
      </c>
    </row>
    <row r="114" spans="2:7" ht="25.5" customHeight="1" x14ac:dyDescent="0.35">
      <c r="B114" s="50" t="s">
        <v>168</v>
      </c>
      <c r="C114" s="26" t="s">
        <v>86</v>
      </c>
      <c r="D114" s="74" t="s">
        <v>993</v>
      </c>
      <c r="E114" s="49">
        <v>4</v>
      </c>
      <c r="F114" s="36" t="s">
        <v>271</v>
      </c>
      <c r="G114" s="5" t="s">
        <v>994</v>
      </c>
    </row>
    <row r="115" spans="2:7" ht="25.5" customHeight="1" x14ac:dyDescent="0.35">
      <c r="B115" s="48" t="s">
        <v>169</v>
      </c>
      <c r="C115" s="26" t="s">
        <v>89</v>
      </c>
      <c r="D115" s="69" t="s">
        <v>801</v>
      </c>
      <c r="E115" s="49">
        <v>3</v>
      </c>
      <c r="F115" s="36" t="s">
        <v>277</v>
      </c>
      <c r="G115" s="5" t="s">
        <v>995</v>
      </c>
    </row>
    <row r="116" spans="2:7" ht="28.5" customHeight="1" x14ac:dyDescent="0.35">
      <c r="B116" s="50" t="s">
        <v>170</v>
      </c>
      <c r="C116" s="26" t="s">
        <v>89</v>
      </c>
      <c r="D116" s="120" t="s">
        <v>803</v>
      </c>
      <c r="E116" s="49">
        <v>3</v>
      </c>
      <c r="F116" s="36" t="s">
        <v>277</v>
      </c>
      <c r="G116" s="5" t="s">
        <v>996</v>
      </c>
    </row>
    <row r="117" spans="2:7" ht="28.5" customHeight="1" x14ac:dyDescent="0.35">
      <c r="B117" s="48" t="s">
        <v>171</v>
      </c>
      <c r="C117" s="26" t="s">
        <v>86</v>
      </c>
      <c r="D117" s="69" t="s">
        <v>997</v>
      </c>
      <c r="E117" s="49"/>
      <c r="F117" s="36"/>
      <c r="G117" s="5"/>
    </row>
    <row r="118" spans="2:7" ht="42" customHeight="1" x14ac:dyDescent="0.35">
      <c r="B118" s="50" t="s">
        <v>172</v>
      </c>
      <c r="C118" s="26" t="s">
        <v>86</v>
      </c>
      <c r="D118" s="74" t="s">
        <v>805</v>
      </c>
      <c r="E118" s="49"/>
      <c r="F118" s="36"/>
      <c r="G118" s="5" t="s">
        <v>806</v>
      </c>
    </row>
    <row r="119" spans="2:7" ht="42" customHeight="1" x14ac:dyDescent="0.35">
      <c r="B119" s="50" t="s">
        <v>173</v>
      </c>
      <c r="C119" s="26"/>
      <c r="D119" s="74" t="s">
        <v>807</v>
      </c>
      <c r="E119" s="49"/>
      <c r="F119" s="36"/>
      <c r="G119" s="5"/>
    </row>
    <row r="120" spans="2:7" ht="42" customHeight="1" x14ac:dyDescent="0.35">
      <c r="B120" s="50" t="s">
        <v>174</v>
      </c>
      <c r="C120" s="26"/>
      <c r="D120" s="74" t="s">
        <v>808</v>
      </c>
      <c r="E120" s="49"/>
      <c r="F120" s="36"/>
      <c r="G120" s="5"/>
    </row>
    <row r="121" spans="2:7" ht="42" customHeight="1" x14ac:dyDescent="0.35">
      <c r="B121" s="216" t="s">
        <v>175</v>
      </c>
      <c r="C121" s="26"/>
      <c r="D121" s="218" t="s">
        <v>809</v>
      </c>
      <c r="E121" s="49"/>
      <c r="F121" s="36"/>
      <c r="G121" s="5"/>
    </row>
    <row r="123" spans="2:7" ht="24" customHeight="1" x14ac:dyDescent="0.35">
      <c r="B123" s="100" t="s">
        <v>810</v>
      </c>
      <c r="C123" s="100"/>
      <c r="D123" s="100"/>
    </row>
    <row r="124" spans="2:7" ht="21.75" customHeight="1" x14ac:dyDescent="0.35">
      <c r="B124" s="6" t="s">
        <v>811</v>
      </c>
      <c r="C124" s="6" t="s">
        <v>812</v>
      </c>
      <c r="D124" s="6" t="s">
        <v>736</v>
      </c>
    </row>
    <row r="125" spans="2:7" ht="26.25" customHeight="1" x14ac:dyDescent="0.35">
      <c r="B125" s="13" t="s">
        <v>813</v>
      </c>
      <c r="C125" s="64" t="s">
        <v>998</v>
      </c>
      <c r="D125" s="64" t="s">
        <v>998</v>
      </c>
    </row>
    <row r="126" spans="2:7" ht="26.25" customHeight="1" x14ac:dyDescent="0.35">
      <c r="B126" s="15" t="s">
        <v>814</v>
      </c>
      <c r="C126" s="64" t="s">
        <v>999</v>
      </c>
      <c r="D126" s="64" t="s">
        <v>1000</v>
      </c>
    </row>
    <row r="127" spans="2:7" ht="26.25" customHeight="1" x14ac:dyDescent="0.35">
      <c r="B127" s="13" t="s">
        <v>817</v>
      </c>
      <c r="C127" s="64"/>
      <c r="D127" s="64" t="s">
        <v>1001</v>
      </c>
    </row>
    <row r="128" spans="2:7" ht="26.25" customHeight="1" x14ac:dyDescent="0.35">
      <c r="B128" s="15" t="s">
        <v>818</v>
      </c>
      <c r="C128" s="64"/>
      <c r="D128" s="64" t="s">
        <v>1002</v>
      </c>
    </row>
    <row r="129" spans="2:7" ht="26.25" customHeight="1" x14ac:dyDescent="0.35">
      <c r="B129" s="13" t="s">
        <v>819</v>
      </c>
      <c r="C129" s="64"/>
      <c r="D129" s="64"/>
    </row>
    <row r="130" spans="2:7" ht="26.25" customHeight="1" x14ac:dyDescent="0.35">
      <c r="B130" s="15" t="s">
        <v>820</v>
      </c>
      <c r="C130" s="64" t="s">
        <v>1003</v>
      </c>
      <c r="D130" s="64" t="s">
        <v>1004</v>
      </c>
    </row>
    <row r="131" spans="2:7" ht="26.25" customHeight="1" x14ac:dyDescent="0.35">
      <c r="B131" s="13" t="s">
        <v>821</v>
      </c>
      <c r="C131" s="64" t="s">
        <v>459</v>
      </c>
      <c r="D131" s="64" t="s">
        <v>1005</v>
      </c>
    </row>
    <row r="132" spans="2:7" ht="26.25" customHeight="1" x14ac:dyDescent="0.35">
      <c r="B132" s="15" t="s">
        <v>822</v>
      </c>
      <c r="C132" s="64"/>
      <c r="D132" s="64"/>
      <c r="E132" s="109"/>
      <c r="F132" s="109"/>
      <c r="G132" s="109"/>
    </row>
    <row r="134" spans="2:7" ht="24.75" customHeight="1" x14ac:dyDescent="0.35">
      <c r="B134" s="101" t="s">
        <v>823</v>
      </c>
      <c r="C134" s="101"/>
      <c r="D134" s="101"/>
      <c r="E134" s="101"/>
      <c r="F134" s="101"/>
    </row>
    <row r="135" spans="2:7" ht="33" customHeight="1" x14ac:dyDescent="0.35">
      <c r="B135" s="6" t="s">
        <v>824</v>
      </c>
      <c r="C135" s="6" t="s">
        <v>825</v>
      </c>
      <c r="D135" s="6" t="s">
        <v>826</v>
      </c>
      <c r="E135" s="6" t="s">
        <v>827</v>
      </c>
      <c r="F135" s="6" t="s">
        <v>269</v>
      </c>
    </row>
    <row r="136" spans="2:7" ht="25.5" customHeight="1" x14ac:dyDescent="0.35">
      <c r="B136" s="14" t="s">
        <v>828</v>
      </c>
      <c r="C136" s="99" t="s">
        <v>1006</v>
      </c>
      <c r="D136" s="99" t="s">
        <v>86</v>
      </c>
      <c r="E136" s="14" t="s">
        <v>1007</v>
      </c>
      <c r="F136" s="99" t="s">
        <v>277</v>
      </c>
    </row>
    <row r="137" spans="2:7" ht="25.5" customHeight="1" x14ac:dyDescent="0.35">
      <c r="B137" s="16" t="s">
        <v>830</v>
      </c>
      <c r="C137" s="99"/>
      <c r="D137" s="99" t="s">
        <v>93</v>
      </c>
      <c r="E137" s="16" t="s">
        <v>1008</v>
      </c>
      <c r="F137" s="99" t="s">
        <v>277</v>
      </c>
    </row>
    <row r="138" spans="2:7" ht="25.5" customHeight="1" x14ac:dyDescent="0.35">
      <c r="B138" s="14" t="s">
        <v>831</v>
      </c>
      <c r="C138" s="99"/>
      <c r="D138" s="99" t="s">
        <v>93</v>
      </c>
      <c r="E138" s="14" t="s">
        <v>1009</v>
      </c>
      <c r="F138" s="99" t="s">
        <v>271</v>
      </c>
    </row>
    <row r="139" spans="2:7" ht="25.5" customHeight="1" x14ac:dyDescent="0.35">
      <c r="B139" s="16" t="s">
        <v>832</v>
      </c>
      <c r="C139" s="99"/>
      <c r="D139" s="99" t="s">
        <v>93</v>
      </c>
      <c r="E139" s="16" t="s">
        <v>1010</v>
      </c>
      <c r="F139" s="99" t="s">
        <v>271</v>
      </c>
    </row>
    <row r="140" spans="2:7" ht="25.5" customHeight="1" x14ac:dyDescent="0.35">
      <c r="B140" s="14" t="s">
        <v>833</v>
      </c>
      <c r="C140" s="99"/>
      <c r="D140" s="99" t="s">
        <v>93</v>
      </c>
      <c r="E140" s="14" t="s">
        <v>1011</v>
      </c>
      <c r="F140" s="99" t="s">
        <v>277</v>
      </c>
    </row>
    <row r="141" spans="2:7" ht="25.5" customHeight="1" x14ac:dyDescent="0.35">
      <c r="B141" s="16" t="s">
        <v>834</v>
      </c>
      <c r="C141" s="99"/>
      <c r="D141" s="99" t="s">
        <v>93</v>
      </c>
      <c r="E141" s="16" t="s">
        <v>1012</v>
      </c>
      <c r="F141" s="99" t="s">
        <v>282</v>
      </c>
    </row>
    <row r="142" spans="2:7" ht="25.5" customHeight="1" x14ac:dyDescent="0.35">
      <c r="B142" s="14" t="s">
        <v>835</v>
      </c>
      <c r="C142" s="99" t="s">
        <v>1013</v>
      </c>
      <c r="D142" s="99" t="s">
        <v>286</v>
      </c>
      <c r="E142" s="14" t="s">
        <v>1014</v>
      </c>
      <c r="F142" s="99" t="s">
        <v>271</v>
      </c>
    </row>
    <row r="143" spans="2:7" ht="25.5" customHeight="1" x14ac:dyDescent="0.35">
      <c r="B143" s="16" t="s">
        <v>836</v>
      </c>
      <c r="C143" s="99"/>
      <c r="D143" s="99" t="s">
        <v>93</v>
      </c>
      <c r="E143" s="16" t="s">
        <v>1015</v>
      </c>
      <c r="F143" s="99" t="s">
        <v>282</v>
      </c>
    </row>
    <row r="144" spans="2:7" ht="25.5" customHeight="1" x14ac:dyDescent="0.35">
      <c r="B144" s="14" t="s">
        <v>837</v>
      </c>
      <c r="C144" s="99" t="s">
        <v>1016</v>
      </c>
      <c r="D144" s="99" t="s">
        <v>89</v>
      </c>
      <c r="E144" s="14" t="s">
        <v>1017</v>
      </c>
      <c r="F144" s="99" t="s">
        <v>277</v>
      </c>
    </row>
    <row r="145" spans="2:7" ht="25.5" customHeight="1" x14ac:dyDescent="0.35">
      <c r="B145" s="16" t="s">
        <v>838</v>
      </c>
      <c r="C145" s="99" t="s">
        <v>1018</v>
      </c>
      <c r="D145" s="99" t="s">
        <v>89</v>
      </c>
      <c r="E145" s="16" t="s">
        <v>1019</v>
      </c>
      <c r="F145" s="99" t="s">
        <v>271</v>
      </c>
    </row>
    <row r="147" spans="2:7" ht="24" customHeight="1" x14ac:dyDescent="0.35">
      <c r="B147" s="258" t="s">
        <v>841</v>
      </c>
      <c r="C147" s="352"/>
      <c r="D147" s="352"/>
      <c r="E147" s="352"/>
      <c r="F147" s="352"/>
      <c r="G147" s="352"/>
    </row>
    <row r="148" spans="2:7" ht="21.75" customHeight="1" x14ac:dyDescent="0.35">
      <c r="B148" s="6" t="s">
        <v>842</v>
      </c>
      <c r="C148" s="6" t="s">
        <v>843</v>
      </c>
    </row>
    <row r="149" spans="2:7" ht="21.75" customHeight="1" x14ac:dyDescent="0.35">
      <c r="B149" s="13" t="s">
        <v>844</v>
      </c>
      <c r="C149" s="251" t="s">
        <v>1020</v>
      </c>
      <c r="D149" s="262"/>
      <c r="E149" s="262"/>
      <c r="F149" s="262"/>
      <c r="G149" s="262"/>
    </row>
    <row r="150" spans="2:7" ht="21.75" customHeight="1" x14ac:dyDescent="0.35">
      <c r="B150" s="15" t="s">
        <v>846</v>
      </c>
      <c r="C150" s="251" t="s">
        <v>496</v>
      </c>
      <c r="D150" s="262"/>
      <c r="E150" s="262"/>
      <c r="F150" s="262"/>
      <c r="G150" s="262"/>
    </row>
    <row r="151" spans="2:7" ht="21.75" customHeight="1" x14ac:dyDescent="0.35">
      <c r="B151" s="13" t="s">
        <v>847</v>
      </c>
      <c r="C151" s="251" t="s">
        <v>496</v>
      </c>
      <c r="D151" s="262"/>
      <c r="E151" s="262"/>
      <c r="F151" s="262"/>
      <c r="G151" s="262"/>
    </row>
    <row r="152" spans="2:7" ht="21.75" customHeight="1" x14ac:dyDescent="0.35">
      <c r="B152" s="15" t="s">
        <v>848</v>
      </c>
      <c r="C152" s="251" t="s">
        <v>496</v>
      </c>
      <c r="D152" s="262"/>
      <c r="E152" s="262"/>
      <c r="F152" s="262"/>
      <c r="G152" s="262"/>
    </row>
    <row r="153" spans="2:7" ht="21.75" customHeight="1" x14ac:dyDescent="0.35">
      <c r="B153" s="13" t="s">
        <v>849</v>
      </c>
      <c r="C153" s="251" t="s">
        <v>1021</v>
      </c>
      <c r="D153" s="262"/>
      <c r="E153" s="262"/>
      <c r="F153" s="262"/>
      <c r="G153" s="262"/>
    </row>
    <row r="154" spans="2:7" ht="21.75" customHeight="1" x14ac:dyDescent="0.35">
      <c r="B154" s="15" t="s">
        <v>850</v>
      </c>
      <c r="C154" s="251" t="s">
        <v>1022</v>
      </c>
      <c r="D154" s="262"/>
      <c r="E154" s="262"/>
      <c r="F154" s="262"/>
      <c r="G154" s="262"/>
    </row>
    <row r="155" spans="2:7" ht="21.75" customHeight="1" x14ac:dyDescent="0.35">
      <c r="B155" s="13" t="s">
        <v>852</v>
      </c>
      <c r="C155" s="251" t="s">
        <v>1023</v>
      </c>
      <c r="D155" s="262"/>
      <c r="E155" s="262"/>
      <c r="F155" s="262"/>
      <c r="G155" s="262"/>
    </row>
    <row r="157" spans="2:7" ht="24" customHeight="1" x14ac:dyDescent="0.35">
      <c r="B157" s="258" t="s">
        <v>1024</v>
      </c>
      <c r="C157" s="352"/>
      <c r="D157" s="352"/>
      <c r="E157" s="352"/>
      <c r="F157" s="352"/>
      <c r="G157" s="352"/>
    </row>
    <row r="158" spans="2:7" ht="21.75" customHeight="1" x14ac:dyDescent="0.35">
      <c r="B158" s="6" t="s">
        <v>855</v>
      </c>
      <c r="C158" s="353" t="s">
        <v>856</v>
      </c>
      <c r="D158" s="354"/>
      <c r="E158" s="354"/>
      <c r="F158" s="354"/>
      <c r="G158" s="354"/>
    </row>
    <row r="159" spans="2:7" ht="30" customHeight="1" x14ac:dyDescent="0.35">
      <c r="B159" s="51" t="s">
        <v>857</v>
      </c>
      <c r="C159" s="251" t="s">
        <v>1025</v>
      </c>
      <c r="D159" s="262"/>
      <c r="E159" s="262"/>
      <c r="F159" s="262"/>
      <c r="G159" s="262"/>
    </row>
    <row r="160" spans="2:7" ht="30" customHeight="1" x14ac:dyDescent="0.35">
      <c r="B160" s="52" t="s">
        <v>859</v>
      </c>
      <c r="C160" s="251" t="s">
        <v>1026</v>
      </c>
      <c r="D160" s="262"/>
      <c r="E160" s="262"/>
      <c r="F160" s="262"/>
      <c r="G160" s="262"/>
    </row>
    <row r="161" spans="2:12" ht="30" customHeight="1" x14ac:dyDescent="0.35">
      <c r="B161" s="51" t="s">
        <v>861</v>
      </c>
      <c r="C161" s="251" t="s">
        <v>1027</v>
      </c>
      <c r="D161" s="262"/>
      <c r="E161" s="262"/>
      <c r="F161" s="262"/>
      <c r="G161" s="262"/>
    </row>
    <row r="162" spans="2:12" ht="30" customHeight="1" x14ac:dyDescent="0.35">
      <c r="B162" s="52" t="s">
        <v>863</v>
      </c>
      <c r="C162" s="251" t="s">
        <v>1028</v>
      </c>
      <c r="D162" s="262"/>
      <c r="E162" s="262"/>
      <c r="F162" s="262"/>
      <c r="G162" s="262"/>
    </row>
    <row r="163" spans="2:12" ht="30" customHeight="1" x14ac:dyDescent="0.35">
      <c r="B163" s="51" t="s">
        <v>865</v>
      </c>
      <c r="C163" s="251" t="s">
        <v>1029</v>
      </c>
      <c r="D163" s="262"/>
      <c r="E163" s="262"/>
      <c r="F163" s="262"/>
      <c r="G163" s="262"/>
    </row>
    <row r="164" spans="2:12" ht="30" customHeight="1" x14ac:dyDescent="0.35">
      <c r="B164" s="52" t="s">
        <v>867</v>
      </c>
      <c r="C164" s="251" t="s">
        <v>1030</v>
      </c>
      <c r="D164" s="262"/>
      <c r="E164" s="262"/>
      <c r="F164" s="262"/>
      <c r="G164" s="262"/>
    </row>
    <row r="165" spans="2:12" ht="30" customHeight="1" x14ac:dyDescent="0.35">
      <c r="B165" s="51" t="s">
        <v>868</v>
      </c>
      <c r="C165" s="251" t="s">
        <v>1031</v>
      </c>
      <c r="D165" s="262"/>
      <c r="E165" s="262"/>
      <c r="F165" s="262"/>
      <c r="G165" s="262"/>
    </row>
    <row r="166" spans="2:12" ht="30" customHeight="1" x14ac:dyDescent="0.35">
      <c r="B166" s="52" t="s">
        <v>870</v>
      </c>
      <c r="C166" s="256" t="s">
        <v>871</v>
      </c>
      <c r="D166" s="257"/>
      <c r="E166" s="257"/>
      <c r="F166" s="257"/>
      <c r="G166" s="257"/>
    </row>
    <row r="167" spans="2:12" ht="30" customHeight="1" x14ac:dyDescent="0.35">
      <c r="B167" s="51" t="s">
        <v>872</v>
      </c>
      <c r="C167" s="251" t="s">
        <v>1032</v>
      </c>
      <c r="D167" s="262"/>
      <c r="E167" s="262"/>
      <c r="F167" s="262"/>
      <c r="G167" s="262"/>
    </row>
    <row r="168" spans="2:12" x14ac:dyDescent="0.35">
      <c r="B168" s="238"/>
      <c r="C168" s="238"/>
      <c r="D168" s="238"/>
      <c r="E168" s="238"/>
      <c r="F168" s="238"/>
      <c r="G168" s="238"/>
      <c r="H168" s="238"/>
    </row>
    <row r="169" spans="2:12" ht="24" customHeight="1" x14ac:dyDescent="0.35">
      <c r="B169" s="361" t="s">
        <v>874</v>
      </c>
      <c r="C169" s="362"/>
      <c r="D169" s="362"/>
      <c r="E169" s="362"/>
      <c r="F169" s="362"/>
      <c r="G169" s="362"/>
      <c r="H169" s="238"/>
      <c r="I169" s="124" t="s">
        <v>877</v>
      </c>
      <c r="J169" s="124" t="s">
        <v>878</v>
      </c>
      <c r="K169" s="124" t="s">
        <v>879</v>
      </c>
    </row>
    <row r="170" spans="2:12" ht="26.5" x14ac:dyDescent="0.35">
      <c r="B170" s="92" t="s">
        <v>268</v>
      </c>
      <c r="C170" s="93"/>
      <c r="D170" s="92" t="s">
        <v>875</v>
      </c>
      <c r="E170" s="93"/>
      <c r="F170" s="92" t="s">
        <v>876</v>
      </c>
      <c r="G170" s="93"/>
      <c r="H170" s="238"/>
      <c r="I170" s="125" t="s">
        <v>881</v>
      </c>
      <c r="J170" s="114" t="s">
        <v>882</v>
      </c>
      <c r="K170" s="114" t="s">
        <v>883</v>
      </c>
      <c r="L170" s="238"/>
    </row>
    <row r="171" spans="2:12" ht="26.5" x14ac:dyDescent="0.35">
      <c r="B171" s="94" t="s">
        <v>880</v>
      </c>
      <c r="C171" s="358"/>
      <c r="D171" s="359"/>
      <c r="E171" s="359"/>
      <c r="F171" s="359"/>
      <c r="G171" s="360"/>
      <c r="H171" s="238"/>
      <c r="I171" s="125" t="s">
        <v>885</v>
      </c>
      <c r="J171" s="114" t="s">
        <v>886</v>
      </c>
      <c r="K171" s="114" t="s">
        <v>887</v>
      </c>
      <c r="L171" s="238"/>
    </row>
    <row r="172" spans="2:12" x14ac:dyDescent="0.35">
      <c r="B172" s="92" t="s">
        <v>884</v>
      </c>
      <c r="C172" s="358"/>
      <c r="D172" s="359"/>
      <c r="E172" s="359"/>
      <c r="F172" s="359"/>
      <c r="G172" s="360"/>
      <c r="H172" s="238"/>
      <c r="I172" s="125" t="s">
        <v>889</v>
      </c>
      <c r="J172" s="114" t="s">
        <v>890</v>
      </c>
      <c r="K172" s="114" t="s">
        <v>891</v>
      </c>
      <c r="L172" s="238"/>
    </row>
    <row r="173" spans="2:12" ht="26.5" x14ac:dyDescent="0.35">
      <c r="B173" s="94" t="s">
        <v>888</v>
      </c>
      <c r="C173" s="358"/>
      <c r="D173" s="359"/>
      <c r="E173" s="359"/>
      <c r="F173" s="359"/>
      <c r="G173" s="360"/>
      <c r="H173" s="238"/>
      <c r="I173" s="125" t="s">
        <v>894</v>
      </c>
      <c r="J173" s="114" t="s">
        <v>895</v>
      </c>
      <c r="K173" s="114" t="s">
        <v>896</v>
      </c>
      <c r="L173" s="238"/>
    </row>
    <row r="174" spans="2:12" x14ac:dyDescent="0.35">
      <c r="B174" s="92" t="s">
        <v>892</v>
      </c>
      <c r="C174" s="363" t="s">
        <v>1033</v>
      </c>
      <c r="D174" s="364"/>
      <c r="E174" s="364"/>
      <c r="F174" s="364"/>
      <c r="G174" s="364"/>
      <c r="H174" s="238"/>
      <c r="I174" s="125" t="s">
        <v>898</v>
      </c>
      <c r="J174" s="114" t="s">
        <v>899</v>
      </c>
      <c r="K174" s="114" t="s">
        <v>900</v>
      </c>
      <c r="L174" s="238"/>
    </row>
    <row r="175" spans="2:12" ht="42" customHeight="1" x14ac:dyDescent="0.35">
      <c r="B175" s="92" t="s">
        <v>897</v>
      </c>
      <c r="C175" s="358"/>
      <c r="D175" s="359"/>
      <c r="E175" s="359"/>
      <c r="F175" s="359"/>
      <c r="G175" s="360"/>
      <c r="H175" s="238"/>
      <c r="I175" s="125" t="s">
        <v>904</v>
      </c>
      <c r="J175" s="114" t="s">
        <v>905</v>
      </c>
      <c r="K175" s="114" t="s">
        <v>906</v>
      </c>
      <c r="L175" s="238"/>
    </row>
    <row r="176" spans="2:12" ht="26.5" x14ac:dyDescent="0.35">
      <c r="B176" s="94" t="s">
        <v>901</v>
      </c>
      <c r="C176" s="93"/>
      <c r="D176" s="92" t="s">
        <v>902</v>
      </c>
      <c r="E176" s="93"/>
      <c r="F176" s="92" t="s">
        <v>903</v>
      </c>
      <c r="G176" s="93"/>
      <c r="H176" s="238"/>
      <c r="I176" s="125" t="s">
        <v>910</v>
      </c>
      <c r="J176" s="114" t="s">
        <v>911</v>
      </c>
      <c r="K176" s="114" t="s">
        <v>912</v>
      </c>
      <c r="L176" s="238"/>
    </row>
    <row r="177" spans="2:12" ht="42" customHeight="1" x14ac:dyDescent="0.35">
      <c r="B177" s="92" t="s">
        <v>907</v>
      </c>
      <c r="C177" s="93"/>
      <c r="D177" s="92" t="s">
        <v>908</v>
      </c>
      <c r="E177" s="93"/>
      <c r="F177" s="92" t="s">
        <v>909</v>
      </c>
      <c r="G177" s="93"/>
      <c r="H177" s="238"/>
      <c r="I177" s="125" t="s">
        <v>916</v>
      </c>
      <c r="J177" s="114" t="s">
        <v>917</v>
      </c>
      <c r="K177" s="114" t="s">
        <v>918</v>
      </c>
      <c r="L177" s="238"/>
    </row>
    <row r="178" spans="2:12" x14ac:dyDescent="0.35">
      <c r="B178" s="94" t="s">
        <v>913</v>
      </c>
      <c r="C178" s="93"/>
      <c r="D178" s="92" t="s">
        <v>914</v>
      </c>
      <c r="E178" s="93"/>
      <c r="F178" s="92" t="s">
        <v>915</v>
      </c>
      <c r="G178" s="93"/>
      <c r="H178" s="238"/>
      <c r="L178" s="238"/>
    </row>
    <row r="179" spans="2:12" x14ac:dyDescent="0.35">
      <c r="B179" s="92" t="s">
        <v>919</v>
      </c>
      <c r="C179" s="358"/>
      <c r="D179" s="359"/>
      <c r="E179" s="359"/>
      <c r="F179" s="359"/>
      <c r="G179" s="360"/>
      <c r="H179" s="238"/>
      <c r="I179" s="238"/>
      <c r="J179" s="238"/>
      <c r="K179" s="238"/>
      <c r="L179" s="238"/>
    </row>
    <row r="180" spans="2:12" x14ac:dyDescent="0.35">
      <c r="B180" s="94" t="s">
        <v>920</v>
      </c>
      <c r="C180" s="358"/>
      <c r="D180" s="359"/>
      <c r="E180" s="359"/>
      <c r="F180" s="359"/>
      <c r="G180" s="360"/>
      <c r="H180" s="238"/>
    </row>
    <row r="181" spans="2:12" ht="29" x14ac:dyDescent="0.35">
      <c r="B181" s="92" t="s">
        <v>921</v>
      </c>
      <c r="C181" s="358"/>
      <c r="D181" s="359"/>
      <c r="E181" s="359"/>
      <c r="F181" s="359"/>
      <c r="G181" s="360"/>
      <c r="H181" s="238"/>
    </row>
    <row r="182" spans="2:12" x14ac:dyDescent="0.35">
      <c r="B182" s="238"/>
      <c r="C182" s="238"/>
      <c r="D182" s="238"/>
      <c r="E182" s="238"/>
      <c r="F182" s="238"/>
      <c r="G182" s="238"/>
      <c r="H182" s="238"/>
    </row>
    <row r="183" spans="2:12" x14ac:dyDescent="0.35">
      <c r="B183" s="238"/>
      <c r="C183" s="238"/>
      <c r="D183" s="238"/>
      <c r="E183" s="238"/>
      <c r="F183" s="238"/>
      <c r="G183" s="238"/>
      <c r="H183" s="238"/>
    </row>
    <row r="184" spans="2:12" x14ac:dyDescent="0.35">
      <c r="F184" s="238"/>
      <c r="G184" s="238"/>
      <c r="H184" s="238"/>
    </row>
    <row r="185" spans="2:12" x14ac:dyDescent="0.35">
      <c r="F185" s="238"/>
      <c r="G185" s="238"/>
      <c r="H185" s="238"/>
    </row>
    <row r="186" spans="2:12" x14ac:dyDescent="0.35">
      <c r="F186" s="238"/>
      <c r="G186" s="238"/>
      <c r="H186" s="238"/>
    </row>
    <row r="187" spans="2:12" x14ac:dyDescent="0.35">
      <c r="F187" s="238"/>
      <c r="G187" s="238"/>
      <c r="H187" s="238"/>
      <c r="I187"/>
      <c r="J187"/>
      <c r="K187"/>
    </row>
    <row r="188" spans="2:12" x14ac:dyDescent="0.35">
      <c r="F188" s="238"/>
      <c r="G188" s="238"/>
      <c r="H188" s="238"/>
      <c r="I188"/>
      <c r="J188"/>
      <c r="K188"/>
    </row>
    <row r="189" spans="2:12" x14ac:dyDescent="0.35">
      <c r="F189" s="238"/>
      <c r="G189" s="238"/>
      <c r="H189" s="238"/>
      <c r="I189"/>
      <c r="J189"/>
      <c r="K189"/>
    </row>
    <row r="190" spans="2:12" x14ac:dyDescent="0.35">
      <c r="F190" s="238"/>
      <c r="G190" s="238"/>
      <c r="H190" s="238"/>
      <c r="I190"/>
      <c r="J190"/>
      <c r="K190"/>
    </row>
    <row r="191" spans="2:12" x14ac:dyDescent="0.35">
      <c r="F191" s="238"/>
      <c r="G191" s="238"/>
      <c r="H191" s="238"/>
    </row>
    <row r="192" spans="2:12" x14ac:dyDescent="0.35">
      <c r="F192" s="238"/>
      <c r="G192" s="238"/>
      <c r="H192" s="238"/>
    </row>
    <row r="193" spans="2:8" x14ac:dyDescent="0.35">
      <c r="F193" s="238"/>
      <c r="G193" s="238"/>
      <c r="H193" s="238"/>
    </row>
    <row r="194" spans="2:8" x14ac:dyDescent="0.35">
      <c r="B194" s="238"/>
      <c r="C194" s="238"/>
      <c r="D194" s="238"/>
      <c r="E194" s="238"/>
      <c r="F194" s="238"/>
      <c r="G194" s="238"/>
      <c r="H194" s="238"/>
    </row>
    <row r="195" spans="2:8" x14ac:dyDescent="0.35">
      <c r="B195" s="238"/>
      <c r="C195" s="238"/>
      <c r="D195" s="238"/>
      <c r="E195" s="238"/>
      <c r="F195" s="238"/>
      <c r="G195" s="238"/>
      <c r="H195" s="238"/>
    </row>
    <row r="196" spans="2:8" x14ac:dyDescent="0.35">
      <c r="B196" s="238"/>
      <c r="C196" s="238"/>
      <c r="D196" s="238"/>
      <c r="E196" s="238"/>
      <c r="F196" s="238"/>
      <c r="G196" s="238"/>
      <c r="H196" s="238"/>
    </row>
    <row r="197" spans="2:8" x14ac:dyDescent="0.35">
      <c r="B197" s="238"/>
      <c r="C197" s="238"/>
      <c r="D197" s="238"/>
      <c r="E197" s="238"/>
      <c r="F197" s="238"/>
      <c r="G197" s="238"/>
      <c r="H197" s="238"/>
    </row>
    <row r="198" spans="2:8" x14ac:dyDescent="0.35">
      <c r="B198" s="238"/>
      <c r="C198" s="238"/>
      <c r="D198" s="238"/>
      <c r="E198" s="238"/>
      <c r="F198" s="238"/>
      <c r="G198" s="238"/>
      <c r="H198" s="238"/>
    </row>
  </sheetData>
  <mergeCells count="54">
    <mergeCell ref="C7:E7"/>
    <mergeCell ref="C8:E8"/>
    <mergeCell ref="C6:E6"/>
    <mergeCell ref="C9:E9"/>
    <mergeCell ref="C10:E10"/>
    <mergeCell ref="B1:G1"/>
    <mergeCell ref="B2:G2"/>
    <mergeCell ref="B3:G3"/>
    <mergeCell ref="C4:E4"/>
    <mergeCell ref="C5:E5"/>
    <mergeCell ref="C25:E25"/>
    <mergeCell ref="C164:G164"/>
    <mergeCell ref="C165:G165"/>
    <mergeCell ref="C159:G159"/>
    <mergeCell ref="C160:G160"/>
    <mergeCell ref="C26:E26"/>
    <mergeCell ref="C27:E27"/>
    <mergeCell ref="C167:G167"/>
    <mergeCell ref="C166:G166"/>
    <mergeCell ref="C153:G153"/>
    <mergeCell ref="C154:G154"/>
    <mergeCell ref="C155:G155"/>
    <mergeCell ref="C14:E14"/>
    <mergeCell ref="C16:E16"/>
    <mergeCell ref="C17:E17"/>
    <mergeCell ref="C20:E20"/>
    <mergeCell ref="C21:E21"/>
    <mergeCell ref="C18:E18"/>
    <mergeCell ref="C19:E19"/>
    <mergeCell ref="C181:G181"/>
    <mergeCell ref="B169:G169"/>
    <mergeCell ref="C171:G171"/>
    <mergeCell ref="C172:G172"/>
    <mergeCell ref="C173:G173"/>
    <mergeCell ref="C174:G174"/>
    <mergeCell ref="C175:G175"/>
    <mergeCell ref="C179:G179"/>
    <mergeCell ref="C180:G180"/>
    <mergeCell ref="C22:E22"/>
    <mergeCell ref="C161:G161"/>
    <mergeCell ref="C162:G162"/>
    <mergeCell ref="C163:G163"/>
    <mergeCell ref="B157:G157"/>
    <mergeCell ref="B147:G147"/>
    <mergeCell ref="C149:G149"/>
    <mergeCell ref="C150:G150"/>
    <mergeCell ref="C151:G151"/>
    <mergeCell ref="C152:G152"/>
    <mergeCell ref="C23:E23"/>
    <mergeCell ref="C158:G158"/>
    <mergeCell ref="B97:G97"/>
    <mergeCell ref="B56:C56"/>
    <mergeCell ref="B76:F76"/>
    <mergeCell ref="C24:E24"/>
  </mergeCells>
  <dataValidations count="7">
    <dataValidation type="list" allowBlank="1" sqref="F32:F36 F39:F45 F48:F50 F53:F54" xr:uid="{00000000-0002-0000-0500-000003000000}">
      <formula1>"Alta,Media,Baja,Sin mejora"</formula1>
      <formula2>0</formula2>
    </dataValidation>
    <dataValidation type="list" allowBlank="1" sqref="C99:C121" xr:uid="{00000000-0002-0000-0500-000004000000}">
      <formula1>"Sí,No,Parcial"</formula1>
      <formula2>0</formula2>
    </dataValidation>
    <dataValidation type="list" allowBlank="1" showInputMessage="1" showErrorMessage="1" promptTitle="Seleccione herramienta" prompt="Seleccione una opción de la lista o escriba otra herramienta si aplica." sqref="C141" xr:uid="{9796B0AF-D63E-483D-9706-A39FD9FF3EDF}">
      <formula1>"Microsoft Teams Phone,Genesys Cloud,Avaya,3CX,Cisco Webex Contact Center,Amazon Connect,Twilio Flex,Five9,NICE CXone,Talkdesk"</formula1>
    </dataValidation>
    <dataValidation type="list" allowBlank="1" showInputMessage="1" showErrorMessage="1" promptTitle="Seleccione herramienta" prompt="Seleccione una opción de la lista o escriba otra herramienta si aplica." sqref="C145" xr:uid="{4ADE6148-D4CA-4CA4-8E00-CEA8A113DD0E}">
      <formula1>"API REST,Power Automate,Zapier,Make,Azure Logic Apps,MuleSoft,Boomi,Workato,ServiceNow IntegrationHub,Jira Automation"</formula1>
    </dataValidation>
    <dataValidation type="date" allowBlank="1" showInputMessage="1" showErrorMessage="1" sqref="C8:E8" xr:uid="{F72D2271-E63B-42F1-9BA0-7D0E6F63E002}">
      <formula1>46174</formula1>
      <formula2>46368</formula2>
    </dataValidation>
    <dataValidation allowBlank="1" sqref="C14:E14" xr:uid="{E7090266-7DA9-495A-8F62-9181D4634151}"/>
    <dataValidation allowBlank="1" showInputMessage="1" showErrorMessage="1" sqref="C6:E6 C19:E19 C24:E24" xr:uid="{AC28CA77-C037-4D84-9DE2-881E394EE1C1}"/>
  </dataValidations>
  <hyperlinks>
    <hyperlink ref="C22" r:id="rId1" xr:uid="{7F5BF3DC-53B1-4B47-AB0D-E39EBAFFDC2A}"/>
    <hyperlink ref="C4:E4" r:id="rId2" display="SURA" xr:uid="{37753393-1EE9-429F-870E-74F7B5A1005E}"/>
  </hyperlinks>
  <pageMargins left="0.75" right="0.75" top="1" bottom="1" header="0.511811023622047" footer="0.511811023622047"/>
  <pageSetup paperSize="9" orientation="portrait" horizontalDpi="300" verticalDpi="300"/>
  <legacyDrawing r:id="rId3"/>
  <extLst>
    <ext xmlns:x14="http://schemas.microsoft.com/office/spreadsheetml/2009/9/main" uri="{CCE6A557-97BC-4b89-ADB6-D9C93CAAB3DF}">
      <x14:dataValidations xmlns:xm="http://schemas.microsoft.com/office/excel/2006/main" count="23">
        <x14:dataValidation type="list" allowBlank="1" xr:uid="{64E57FD7-B65C-4A9C-A319-7BBE949C7B2D}">
          <x14:formula1>
            <xm:f>Listas!$D$5:$D$11</xm:f>
          </x14:formula1>
          <x14:formula2>
            <xm:f>0</xm:f>
          </x14:formula2>
          <xm:sqref>C12 C15</xm:sqref>
        </x14:dataValidation>
        <x14:dataValidation type="list" allowBlank="1" xr:uid="{00000000-0002-0000-0500-000002000000}">
          <x14:formula1>
            <xm:f>Listas!$B$5:$B$9</xm:f>
          </x14:formula1>
          <x14:formula2>
            <xm:f>0</xm:f>
          </x14:formula2>
          <xm:sqref>D32:D36 D39:D45 D48:D50 D53:D54</xm:sqref>
        </x14:dataValidation>
        <x14:dataValidation type="list" allowBlank="1" xr:uid="{00000000-0002-0000-0500-000005000000}">
          <x14:formula1>
            <xm:f>Listas!$F$5:$F$8</xm:f>
          </x14:formula1>
          <x14:formula2>
            <xm:f>0</xm:f>
          </x14:formula2>
          <xm:sqref>F99:F117</xm:sqref>
        </x14:dataValidation>
        <x14:dataValidation type="list" allowBlank="1" xr:uid="{00000000-0002-0000-0500-000006000000}">
          <x14:formula1>
            <xm:f>Listas!$L$5:$L$8</xm:f>
          </x14:formula1>
          <x14:formula2>
            <xm:f>0</xm:f>
          </x14:formula2>
          <xm:sqref>C163</xm:sqref>
        </x14:dataValidation>
        <x14:dataValidation type="list" allowBlank="1" showInputMessage="1" showErrorMessage="1" xr:uid="{73CA7FB8-F182-4DE9-98F6-3F6C4F3FD78F}">
          <x14:formula1>
            <xm:f>Listas!$N$5:$N$11</xm:f>
          </x14:formula1>
          <xm:sqref>C4:E4</xm:sqref>
        </x14:dataValidation>
        <x14:dataValidation type="list" allowBlank="1" showInputMessage="1" showErrorMessage="1" xr:uid="{6163B702-35DF-4C50-9526-5EA3BC82B3BA}">
          <x14:formula1>
            <xm:f>Listas!$P$5:$P$9</xm:f>
          </x14:formula1>
          <xm:sqref>F136:F145</xm:sqref>
        </x14:dataValidation>
        <x14:dataValidation type="list" allowBlank="1" showInputMessage="1" showErrorMessage="1" xr:uid="{231FED15-D09F-4A7D-8A4E-C22EE434E8FC}">
          <x14:formula1>
            <xm:f>Listas!$R$5:$R$8</xm:f>
          </x14:formula1>
          <xm:sqref>D136:D145</xm:sqref>
        </x14:dataValidation>
        <x14:dataValidation type="list" allowBlank="1" showInputMessage="1" showErrorMessage="1" promptTitle="Seleccione herramienta" prompt="Seleccione una opción de la lista o escriba otra herramienta si aplica." xr:uid="{EF568638-C551-406D-B9CF-7946537A1EAC}">
          <x14:formula1>
            <xm:f>Listas!$B$21:$B$35</xm:f>
          </x14:formula1>
          <xm:sqref>C136</xm:sqref>
        </x14:dataValidation>
        <x14:dataValidation type="list" allowBlank="1" showInputMessage="1" showErrorMessage="1" promptTitle="Seleccione herramienta" prompt="Seleccione una opción de la lista o escriba otra herramienta si aplica." xr:uid="{D48F002F-EFAC-49B0-B50D-A6F021DFC7F3}">
          <x14:formula1>
            <xm:f>Listas!$D$21:$D$35</xm:f>
          </x14:formula1>
          <xm:sqref>C137</xm:sqref>
        </x14:dataValidation>
        <x14:dataValidation type="list" allowBlank="1" showInputMessage="1" showErrorMessage="1" promptTitle="Seleccione herramienta" prompt="Seleccione una opción de la lista o escriba otra herramienta si aplica." xr:uid="{9C074A17-EA2E-4739-BCF0-6A5F37070D63}">
          <x14:formula1>
            <xm:f>Listas!$F$21:$F$35</xm:f>
          </x14:formula1>
          <xm:sqref>C138</xm:sqref>
        </x14:dataValidation>
        <x14:dataValidation type="list" allowBlank="1" showInputMessage="1" showErrorMessage="1" promptTitle="Seleccione herramienta" prompt="Seleccione una opción de la lista o escriba otra herramienta si aplica." xr:uid="{CFB42949-7959-47CE-8D36-2C764AB71AB2}">
          <x14:formula1>
            <xm:f>Listas!$P$21:$P$35</xm:f>
          </x14:formula1>
          <xm:sqref>C139</xm:sqref>
        </x14:dataValidation>
        <x14:dataValidation type="list" allowBlank="1" showInputMessage="1" showErrorMessage="1" promptTitle="Seleccione herramienta" prompt="Seleccione una opción de la lista o escriba otra herramienta si aplica." xr:uid="{D6F1DE2E-39DF-47C7-9521-D830EE556E1C}">
          <x14:formula1>
            <xm:f>Listas!$N$21:$N$35</xm:f>
          </x14:formula1>
          <xm:sqref>C140</xm:sqref>
        </x14:dataValidation>
        <x14:dataValidation type="list" allowBlank="1" showInputMessage="1" showErrorMessage="1" promptTitle="Seleccione herramienta" prompt="Seleccione una opción de la lista o escriba otra herramienta si aplica." xr:uid="{57B1E5C7-5EE3-4221-BECD-504BBCFDA310}">
          <x14:formula1>
            <xm:f>Listas!$H$21:$H$35</xm:f>
          </x14:formula1>
          <xm:sqref>C142</xm:sqref>
        </x14:dataValidation>
        <x14:dataValidation type="list" allowBlank="1" showInputMessage="1" showErrorMessage="1" promptTitle="Seleccione herramienta" prompt="Seleccione una opción de la lista o escriba otra herramienta si aplica." xr:uid="{63C19C09-181B-4F69-B3C1-A11AB7786FF9}">
          <x14:formula1>
            <xm:f>Listas!$L$21:$L$35</xm:f>
          </x14:formula1>
          <xm:sqref>C143</xm:sqref>
        </x14:dataValidation>
        <x14:dataValidation type="list" allowBlank="1" showInputMessage="1" showErrorMessage="1" promptTitle="Seleccione herramienta" prompt="Seleccione una opción de la lista o escriba otra herramienta si aplica." xr:uid="{116A2E36-F8BE-4C89-8A44-DCD3DD2324B2}">
          <x14:formula1>
            <xm:f>Listas!$J$21:$J$35</xm:f>
          </x14:formula1>
          <xm:sqref>C144</xm:sqref>
        </x14:dataValidation>
        <x14:dataValidation type="list" allowBlank="1" showInputMessage="1" showErrorMessage="1" xr:uid="{C63DAED6-FFB4-43B3-8837-CC4FA90D91B0}">
          <x14:formula1>
            <xm:f>Listas!$B$45:$B$48</xm:f>
          </x14:formula1>
          <xm:sqref>C89:D89</xm:sqref>
        </x14:dataValidation>
        <x14:dataValidation type="list" allowBlank="1" showInputMessage="1" showErrorMessage="1" xr:uid="{2EC7336E-C254-4FC5-970D-BDAB67C5C7CF}">
          <x14:formula1>
            <xm:f>Listas!$D$45:$D$49</xm:f>
          </x14:formula1>
          <xm:sqref>C90:D90</xm:sqref>
        </x14:dataValidation>
        <x14:dataValidation type="list" allowBlank="1" showInputMessage="1" showErrorMessage="1" xr:uid="{88375AB9-0755-4DDD-BBBB-F6AF5580F21E}">
          <x14:formula1>
            <xm:f>Listas!$F$45:$F$52</xm:f>
          </x14:formula1>
          <xm:sqref>C91:D91</xm:sqref>
        </x14:dataValidation>
        <x14:dataValidation type="list" allowBlank="1" showInputMessage="1" showErrorMessage="1" xr:uid="{21AEE156-5BB7-4FB0-B629-A6C6100B8188}">
          <x14:formula1>
            <xm:f>Listas!$H$45:$H$48</xm:f>
          </x14:formula1>
          <xm:sqref>C94:D94</xm:sqref>
        </x14:dataValidation>
        <x14:dataValidation type="list" allowBlank="1" showInputMessage="1" showErrorMessage="1" xr:uid="{7A3B62A0-0DCD-4356-B8EC-A8429E338541}">
          <x14:formula1>
            <xm:f>Listas!$J$45:$J$49</xm:f>
          </x14:formula1>
          <xm:sqref>C95:D95</xm:sqref>
        </x14:dataValidation>
        <x14:dataValidation type="list" allowBlank="1" showInputMessage="1" showErrorMessage="1" xr:uid="{6D994D98-7C49-4014-979E-6649CABA0FB8}">
          <x14:formula1>
            <xm:f>Listas!$B$53:$B$58</xm:f>
          </x14:formula1>
          <xm:sqref>C131</xm:sqref>
        </x14:dataValidation>
        <x14:dataValidation type="list" allowBlank="1" showInputMessage="1" showErrorMessage="1" xr:uid="{761DD234-A1F2-421D-9278-98D3E2390550}">
          <x14:formula1>
            <xm:f>Listas!$B$12:$B$17</xm:f>
          </x14:formula1>
          <xm:sqref>C13</xm:sqref>
        </x14:dataValidation>
        <x14:dataValidation type="list" allowBlank="1" xr:uid="{CA032D4D-CB0B-41E8-B1CF-73A1D7C2E6F2}">
          <x14:formula1>
            <xm:f>Listas!$H$5:$H$10</xm:f>
          </x14:formula1>
          <x14:formula2>
            <xm:f>0</xm:f>
          </x14:formula2>
          <xm:sqref>C11</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4C3D6-8219-4425-B3BF-EC5C0EFA6042}">
  <sheetPr>
    <tabColor rgb="FF1F7A4D"/>
  </sheetPr>
  <dimension ref="B1:K181"/>
  <sheetViews>
    <sheetView showGridLines="0" zoomScaleNormal="100" workbookViewId="0">
      <pane xSplit="2" ySplit="2" topLeftCell="C3" activePane="bottomRight" state="frozen"/>
      <selection pane="topRight" activeCell="C1" sqref="C1"/>
      <selection pane="bottomLeft" activeCell="A3" sqref="A3"/>
      <selection pane="bottomRight" activeCell="C6" sqref="C6:E6"/>
    </sheetView>
  </sheetViews>
  <sheetFormatPr baseColWidth="10" defaultColWidth="8.54296875" defaultRowHeight="14.5" x14ac:dyDescent="0.35"/>
  <cols>
    <col min="1" max="1" width="3" style="1" customWidth="1"/>
    <col min="2" max="2" width="42.26953125" style="1" customWidth="1"/>
    <col min="3" max="3" width="48.7265625" style="1" customWidth="1"/>
    <col min="4" max="4" width="35.7265625" style="1" customWidth="1"/>
    <col min="5" max="5" width="40" style="1" customWidth="1"/>
    <col min="6" max="6" width="21.1796875" style="1" customWidth="1"/>
    <col min="7" max="7" width="27.1796875" style="1" customWidth="1"/>
    <col min="8" max="8" width="8.54296875" style="1"/>
    <col min="9" max="9" width="12" style="1" customWidth="1"/>
    <col min="10" max="10" width="32.54296875" style="1" customWidth="1"/>
    <col min="11" max="11" width="53" style="1" customWidth="1"/>
    <col min="12" max="16384" width="8.54296875" style="1"/>
  </cols>
  <sheetData>
    <row r="1" spans="2:11" ht="7.5" customHeight="1" x14ac:dyDescent="0.35"/>
    <row r="2" spans="2:11" ht="30" customHeight="1" x14ac:dyDescent="0.35">
      <c r="B2" s="369" t="s">
        <v>1034</v>
      </c>
      <c r="C2" s="369"/>
      <c r="D2" s="369"/>
      <c r="E2" s="369"/>
      <c r="F2" s="369"/>
      <c r="G2" s="369"/>
    </row>
    <row r="3" spans="2:11" ht="18" customHeight="1" x14ac:dyDescent="0.35">
      <c r="B3" s="370" t="s">
        <v>923</v>
      </c>
      <c r="C3" s="370"/>
      <c r="D3" s="370"/>
      <c r="E3" s="370"/>
      <c r="F3" s="370"/>
      <c r="G3" s="370"/>
      <c r="I3" s="62" t="s">
        <v>60</v>
      </c>
      <c r="J3" s="62"/>
      <c r="K3" s="62"/>
    </row>
    <row r="4" spans="2:11" ht="24" customHeight="1" x14ac:dyDescent="0.35">
      <c r="B4" s="384" t="s">
        <v>647</v>
      </c>
      <c r="C4" s="384"/>
      <c r="D4" s="384"/>
      <c r="E4" s="384"/>
      <c r="F4" s="258"/>
      <c r="G4" s="258"/>
      <c r="I4" s="6" t="s">
        <v>61</v>
      </c>
      <c r="J4" s="6" t="s">
        <v>62</v>
      </c>
      <c r="K4" s="6" t="s">
        <v>22</v>
      </c>
    </row>
    <row r="5" spans="2:11" ht="17" x14ac:dyDescent="0.35">
      <c r="B5" s="37" t="s">
        <v>648</v>
      </c>
      <c r="C5" s="371" t="s">
        <v>248</v>
      </c>
      <c r="D5" s="371"/>
      <c r="E5" s="371"/>
      <c r="F5" s="91"/>
      <c r="G5" s="91"/>
      <c r="I5" s="17" t="s">
        <v>63</v>
      </c>
      <c r="J5" s="18" t="s">
        <v>64</v>
      </c>
      <c r="K5" s="63" t="s">
        <v>65</v>
      </c>
    </row>
    <row r="6" spans="2:11" ht="16.5" customHeight="1" x14ac:dyDescent="0.35">
      <c r="B6" s="37" t="s">
        <v>649</v>
      </c>
      <c r="C6" s="377" t="s">
        <v>1035</v>
      </c>
      <c r="D6" s="377"/>
      <c r="E6" s="379"/>
      <c r="F6" s="91"/>
      <c r="G6" s="91"/>
      <c r="I6" s="19" t="s">
        <v>66</v>
      </c>
      <c r="J6" s="122" t="s">
        <v>67</v>
      </c>
      <c r="K6" s="63" t="s">
        <v>68</v>
      </c>
    </row>
    <row r="7" spans="2:11" ht="16.5" customHeight="1" x14ac:dyDescent="0.35">
      <c r="B7" s="37" t="s">
        <v>651</v>
      </c>
      <c r="C7" s="373" t="s">
        <v>1036</v>
      </c>
      <c r="D7" s="373"/>
      <c r="E7" s="385"/>
      <c r="F7" s="91"/>
      <c r="G7" s="91"/>
      <c r="I7" s="20" t="s">
        <v>69</v>
      </c>
      <c r="J7" s="122" t="s">
        <v>70</v>
      </c>
      <c r="K7" s="63" t="s">
        <v>71</v>
      </c>
    </row>
    <row r="8" spans="2:11" ht="16.5" customHeight="1" x14ac:dyDescent="0.35">
      <c r="B8" s="37" t="s">
        <v>653</v>
      </c>
      <c r="C8" s="377" t="s">
        <v>926</v>
      </c>
      <c r="D8" s="377"/>
      <c r="E8" s="379"/>
      <c r="F8" s="91"/>
      <c r="G8" s="91"/>
      <c r="I8" s="21" t="s">
        <v>72</v>
      </c>
      <c r="J8" s="122" t="s">
        <v>73</v>
      </c>
      <c r="K8" s="63" t="s">
        <v>74</v>
      </c>
    </row>
    <row r="9" spans="2:11" ht="16.5" customHeight="1" x14ac:dyDescent="0.35">
      <c r="B9" s="37" t="s">
        <v>655</v>
      </c>
      <c r="C9" s="263">
        <v>46211</v>
      </c>
      <c r="D9" s="264"/>
      <c r="E9" s="264"/>
      <c r="F9" s="91"/>
      <c r="G9" s="91"/>
      <c r="I9" s="22" t="s">
        <v>75</v>
      </c>
      <c r="J9" s="122" t="s">
        <v>76</v>
      </c>
      <c r="K9" s="63" t="s">
        <v>77</v>
      </c>
    </row>
    <row r="10" spans="2:11" x14ac:dyDescent="0.35">
      <c r="B10" s="37" t="s">
        <v>656</v>
      </c>
      <c r="C10" s="386" t="s">
        <v>657</v>
      </c>
      <c r="D10" s="386"/>
      <c r="E10" s="387"/>
      <c r="F10" s="91"/>
      <c r="G10" s="91"/>
    </row>
    <row r="11" spans="2:11" x14ac:dyDescent="0.35">
      <c r="B11" s="37" t="s">
        <v>658</v>
      </c>
      <c r="C11" s="377">
        <v>2</v>
      </c>
      <c r="D11" s="377"/>
      <c r="E11" s="379"/>
      <c r="F11" s="91"/>
      <c r="G11" s="91"/>
      <c r="I11" s="6" t="s">
        <v>659</v>
      </c>
      <c r="J11" s="6" t="s">
        <v>292</v>
      </c>
      <c r="K11" s="6" t="s">
        <v>660</v>
      </c>
    </row>
    <row r="12" spans="2:11" x14ac:dyDescent="0.35">
      <c r="B12" s="133" t="s">
        <v>661</v>
      </c>
      <c r="C12" s="126" t="s">
        <v>276</v>
      </c>
      <c r="D12" s="127"/>
      <c r="E12" s="127"/>
      <c r="F12" s="91"/>
      <c r="G12" s="91"/>
      <c r="I12" s="18" t="s">
        <v>662</v>
      </c>
      <c r="J12" s="63" t="s">
        <v>663</v>
      </c>
      <c r="K12" s="63" t="s">
        <v>664</v>
      </c>
    </row>
    <row r="13" spans="2:11" ht="19.5" customHeight="1" x14ac:dyDescent="0.35">
      <c r="B13" s="37" t="s">
        <v>665</v>
      </c>
      <c r="C13" s="194" t="s">
        <v>69</v>
      </c>
      <c r="D13" s="141" t="s">
        <v>666</v>
      </c>
      <c r="E13" s="195"/>
      <c r="F13" s="91"/>
      <c r="G13" s="91"/>
      <c r="I13" s="122" t="s">
        <v>667</v>
      </c>
      <c r="J13" s="63" t="s">
        <v>668</v>
      </c>
      <c r="K13" s="63" t="s">
        <v>669</v>
      </c>
    </row>
    <row r="14" spans="2:11" ht="16.5" customHeight="1" x14ac:dyDescent="0.35">
      <c r="B14" s="133" t="s">
        <v>670</v>
      </c>
      <c r="C14" s="138" t="s">
        <v>297</v>
      </c>
      <c r="D14" s="141"/>
      <c r="E14" s="195"/>
      <c r="F14" s="91"/>
      <c r="G14" s="91"/>
      <c r="I14" s="122" t="s">
        <v>672</v>
      </c>
      <c r="J14" s="63" t="s">
        <v>673</v>
      </c>
      <c r="K14" s="63" t="s">
        <v>674</v>
      </c>
    </row>
    <row r="15" spans="2:11" x14ac:dyDescent="0.35">
      <c r="B15" s="37" t="s">
        <v>675</v>
      </c>
      <c r="C15" s="251"/>
      <c r="D15" s="262" t="s">
        <v>666</v>
      </c>
      <c r="E15" s="262"/>
      <c r="F15" s="91"/>
      <c r="G15" s="91"/>
    </row>
    <row r="16" spans="2:11" ht="18.5" x14ac:dyDescent="0.35">
      <c r="B16" s="37" t="s">
        <v>677</v>
      </c>
      <c r="C16" s="196" t="s">
        <v>432</v>
      </c>
      <c r="D16" s="134"/>
      <c r="E16" s="197"/>
      <c r="F16" s="91"/>
      <c r="G16" s="91"/>
    </row>
    <row r="17" spans="2:7" x14ac:dyDescent="0.35">
      <c r="B17" s="37" t="s">
        <v>678</v>
      </c>
      <c r="C17" s="377" t="s">
        <v>1037</v>
      </c>
      <c r="D17" s="377"/>
      <c r="E17" s="379"/>
      <c r="F17" s="91"/>
      <c r="G17" s="91"/>
    </row>
    <row r="18" spans="2:7" ht="15" x14ac:dyDescent="0.35">
      <c r="B18" s="37" t="s">
        <v>680</v>
      </c>
      <c r="C18" s="377" t="s">
        <v>1038</v>
      </c>
      <c r="D18" s="377"/>
      <c r="E18" s="379"/>
      <c r="F18" s="91"/>
      <c r="G18" s="91"/>
    </row>
    <row r="19" spans="2:7" x14ac:dyDescent="0.35">
      <c r="B19" s="37" t="s">
        <v>682</v>
      </c>
      <c r="C19" s="377" t="s">
        <v>1039</v>
      </c>
      <c r="D19" s="377"/>
      <c r="E19" s="379"/>
      <c r="F19" s="91"/>
      <c r="G19" s="91"/>
    </row>
    <row r="20" spans="2:7" x14ac:dyDescent="0.35">
      <c r="B20" s="37" t="s">
        <v>930</v>
      </c>
      <c r="C20" s="377" t="s">
        <v>1040</v>
      </c>
      <c r="D20" s="377"/>
      <c r="E20" s="379"/>
      <c r="F20" s="91"/>
      <c r="G20" s="91"/>
    </row>
    <row r="21" spans="2:7" ht="15" x14ac:dyDescent="0.35">
      <c r="B21" s="37" t="s">
        <v>686</v>
      </c>
      <c r="C21" s="377" t="s">
        <v>1041</v>
      </c>
      <c r="D21" s="377"/>
      <c r="E21" s="379"/>
      <c r="F21" s="91"/>
      <c r="G21" s="91"/>
    </row>
    <row r="22" spans="2:7" x14ac:dyDescent="0.35">
      <c r="B22" s="37" t="s">
        <v>688</v>
      </c>
      <c r="C22" s="377"/>
      <c r="D22" s="377"/>
      <c r="E22" s="379"/>
      <c r="F22" s="91"/>
      <c r="G22" s="91"/>
    </row>
    <row r="23" spans="2:7" x14ac:dyDescent="0.35">
      <c r="B23" s="37" t="s">
        <v>690</v>
      </c>
      <c r="C23" s="380" t="s">
        <v>933</v>
      </c>
      <c r="D23" s="377"/>
      <c r="E23" s="379"/>
      <c r="F23" s="91"/>
      <c r="G23" s="91"/>
    </row>
    <row r="24" spans="2:7" ht="15" x14ac:dyDescent="0.35">
      <c r="B24" s="37" t="s">
        <v>692</v>
      </c>
      <c r="C24" s="381" t="s">
        <v>934</v>
      </c>
      <c r="D24" s="382"/>
      <c r="E24" s="383"/>
      <c r="F24" s="91"/>
      <c r="G24" s="91"/>
    </row>
    <row r="25" spans="2:7" x14ac:dyDescent="0.35">
      <c r="B25" s="37" t="s">
        <v>935</v>
      </c>
      <c r="C25" s="174">
        <v>3</v>
      </c>
      <c r="D25" s="174"/>
      <c r="E25" s="174"/>
      <c r="F25" s="91"/>
      <c r="G25" s="91"/>
    </row>
    <row r="26" spans="2:7" x14ac:dyDescent="0.35">
      <c r="B26" s="37" t="s">
        <v>936</v>
      </c>
      <c r="C26" s="252" t="s">
        <v>937</v>
      </c>
      <c r="D26" s="252"/>
      <c r="E26" s="253"/>
      <c r="F26" s="91"/>
      <c r="G26" s="91"/>
    </row>
    <row r="27" spans="2:7" x14ac:dyDescent="0.35">
      <c r="B27" s="199" t="s">
        <v>938</v>
      </c>
      <c r="C27" s="252"/>
      <c r="D27" s="252"/>
      <c r="E27" s="253"/>
      <c r="F27" s="91"/>
      <c r="G27" s="91"/>
    </row>
    <row r="28" spans="2:7" x14ac:dyDescent="0.35">
      <c r="B28" s="199" t="s">
        <v>698</v>
      </c>
      <c r="C28" s="252"/>
      <c r="D28" s="252"/>
      <c r="E28" s="253"/>
      <c r="F28" s="91"/>
      <c r="G28" s="91"/>
    </row>
    <row r="29" spans="2:7" ht="14.5" customHeight="1" x14ac:dyDescent="0.35">
      <c r="C29" s="197"/>
      <c r="D29" s="197"/>
      <c r="E29" s="197"/>
    </row>
    <row r="30" spans="2:7" ht="24" customHeight="1" x14ac:dyDescent="0.35">
      <c r="B30" s="100" t="s">
        <v>699</v>
      </c>
      <c r="C30" s="100"/>
      <c r="D30" s="100"/>
      <c r="E30" s="100"/>
      <c r="F30" s="100"/>
    </row>
    <row r="31" spans="2:7" ht="27.75" customHeight="1" x14ac:dyDescent="0.35">
      <c r="B31" s="6" t="s">
        <v>19</v>
      </c>
      <c r="C31" s="6" t="s">
        <v>700</v>
      </c>
      <c r="D31" s="6" t="s">
        <v>701</v>
      </c>
      <c r="E31" s="6" t="s">
        <v>702</v>
      </c>
      <c r="F31" s="6" t="s">
        <v>703</v>
      </c>
    </row>
    <row r="32" spans="2:7" ht="21.75" customHeight="1" x14ac:dyDescent="0.35">
      <c r="B32" s="170" t="s">
        <v>704</v>
      </c>
      <c r="C32" s="170"/>
      <c r="D32" s="170"/>
      <c r="E32" s="170"/>
      <c r="F32" s="170"/>
    </row>
    <row r="33" spans="2:6" ht="27.75" customHeight="1" x14ac:dyDescent="0.35">
      <c r="B33" s="40" t="s">
        <v>939</v>
      </c>
      <c r="C33" s="65" t="s">
        <v>705</v>
      </c>
      <c r="D33" s="26" t="s">
        <v>89</v>
      </c>
      <c r="E33" s="5" t="s">
        <v>940</v>
      </c>
      <c r="F33" s="36" t="s">
        <v>277</v>
      </c>
    </row>
    <row r="34" spans="2:6" ht="27.75" customHeight="1" x14ac:dyDescent="0.35">
      <c r="B34" s="41" t="s">
        <v>941</v>
      </c>
      <c r="C34" s="66" t="s">
        <v>706</v>
      </c>
      <c r="D34" s="26" t="s">
        <v>89</v>
      </c>
      <c r="E34" s="5" t="s">
        <v>942</v>
      </c>
      <c r="F34" s="36" t="s">
        <v>271</v>
      </c>
    </row>
    <row r="35" spans="2:6" ht="27.75" customHeight="1" x14ac:dyDescent="0.35">
      <c r="B35" s="40" t="s">
        <v>943</v>
      </c>
      <c r="C35" s="65" t="s">
        <v>707</v>
      </c>
      <c r="D35" s="26" t="s">
        <v>93</v>
      </c>
      <c r="E35" s="5" t="s">
        <v>944</v>
      </c>
      <c r="F35" s="36" t="s">
        <v>277</v>
      </c>
    </row>
    <row r="36" spans="2:6" ht="27.75" customHeight="1" x14ac:dyDescent="0.35">
      <c r="B36" s="41" t="s">
        <v>945</v>
      </c>
      <c r="C36" s="66" t="s">
        <v>708</v>
      </c>
      <c r="D36" s="26" t="s">
        <v>89</v>
      </c>
      <c r="E36" s="5" t="s">
        <v>946</v>
      </c>
      <c r="F36" s="36" t="s">
        <v>277</v>
      </c>
    </row>
    <row r="37" spans="2:6" ht="27.75" customHeight="1" x14ac:dyDescent="0.35">
      <c r="B37" s="40" t="s">
        <v>947</v>
      </c>
      <c r="C37" s="65" t="s">
        <v>709</v>
      </c>
      <c r="D37" s="26" t="s">
        <v>89</v>
      </c>
      <c r="E37" s="5" t="s">
        <v>948</v>
      </c>
      <c r="F37" s="36" t="s">
        <v>277</v>
      </c>
    </row>
    <row r="39" spans="2:6" ht="21.75" customHeight="1" x14ac:dyDescent="0.35">
      <c r="B39" s="129" t="s">
        <v>711</v>
      </c>
      <c r="C39" s="129"/>
      <c r="D39" s="129"/>
      <c r="E39" s="129"/>
      <c r="F39" s="129"/>
    </row>
    <row r="40" spans="2:6" ht="27.75" customHeight="1" x14ac:dyDescent="0.35">
      <c r="B40" s="41" t="s">
        <v>949</v>
      </c>
      <c r="C40" s="66" t="s">
        <v>712</v>
      </c>
      <c r="D40" s="26" t="s">
        <v>86</v>
      </c>
      <c r="E40" s="5" t="s">
        <v>950</v>
      </c>
      <c r="F40" s="36" t="s">
        <v>277</v>
      </c>
    </row>
    <row r="41" spans="2:6" ht="27.75" customHeight="1" x14ac:dyDescent="0.35">
      <c r="B41" s="40" t="s">
        <v>951</v>
      </c>
      <c r="C41" s="65" t="s">
        <v>714</v>
      </c>
      <c r="D41" s="26" t="s">
        <v>86</v>
      </c>
      <c r="E41" s="5" t="s">
        <v>952</v>
      </c>
      <c r="F41" s="36" t="s">
        <v>277</v>
      </c>
    </row>
    <row r="42" spans="2:6" ht="27.75" customHeight="1" x14ac:dyDescent="0.35">
      <c r="B42" s="41" t="s">
        <v>953</v>
      </c>
      <c r="C42" s="66" t="s">
        <v>716</v>
      </c>
      <c r="D42" s="26" t="s">
        <v>86</v>
      </c>
      <c r="E42" s="5" t="s">
        <v>954</v>
      </c>
      <c r="F42" s="36" t="s">
        <v>271</v>
      </c>
    </row>
    <row r="43" spans="2:6" ht="27.75" customHeight="1" x14ac:dyDescent="0.35">
      <c r="B43" s="40" t="s">
        <v>955</v>
      </c>
      <c r="C43" s="65" t="s">
        <v>718</v>
      </c>
      <c r="D43" s="26" t="s">
        <v>89</v>
      </c>
      <c r="E43" s="5" t="s">
        <v>956</v>
      </c>
      <c r="F43" s="36" t="s">
        <v>277</v>
      </c>
    </row>
    <row r="44" spans="2:6" ht="39" customHeight="1" x14ac:dyDescent="0.35">
      <c r="B44" s="41" t="s">
        <v>957</v>
      </c>
      <c r="C44" s="66" t="s">
        <v>719</v>
      </c>
      <c r="D44" s="26" t="s">
        <v>93</v>
      </c>
      <c r="E44" s="5"/>
      <c r="F44" s="36" t="s">
        <v>277</v>
      </c>
    </row>
    <row r="45" spans="2:6" ht="27.75" customHeight="1" x14ac:dyDescent="0.35">
      <c r="B45" s="40" t="s">
        <v>958</v>
      </c>
      <c r="C45" s="65" t="s">
        <v>721</v>
      </c>
      <c r="D45" s="26" t="s">
        <v>93</v>
      </c>
      <c r="E45" s="5"/>
      <c r="F45" s="36" t="s">
        <v>277</v>
      </c>
    </row>
    <row r="46" spans="2:6" ht="27.75" customHeight="1" x14ac:dyDescent="0.35">
      <c r="B46" s="41" t="s">
        <v>959</v>
      </c>
      <c r="C46" s="66" t="s">
        <v>722</v>
      </c>
      <c r="D46" s="26" t="s">
        <v>89</v>
      </c>
      <c r="E46" s="5" t="s">
        <v>960</v>
      </c>
      <c r="F46" s="36" t="s">
        <v>271</v>
      </c>
    </row>
    <row r="48" spans="2:6" ht="21.75" customHeight="1" x14ac:dyDescent="0.35">
      <c r="B48" s="129" t="s">
        <v>723</v>
      </c>
      <c r="C48" s="129"/>
      <c r="D48" s="129"/>
      <c r="E48" s="129"/>
      <c r="F48" s="129"/>
    </row>
    <row r="49" spans="2:6" ht="27.75" customHeight="1" x14ac:dyDescent="0.35">
      <c r="B49" s="40" t="s">
        <v>961</v>
      </c>
      <c r="C49" s="65" t="s">
        <v>724</v>
      </c>
      <c r="D49" s="26" t="s">
        <v>86</v>
      </c>
      <c r="E49" s="5" t="s">
        <v>962</v>
      </c>
      <c r="F49" s="36" t="s">
        <v>277</v>
      </c>
    </row>
    <row r="50" spans="2:6" ht="42.75" customHeight="1" x14ac:dyDescent="0.35">
      <c r="B50" s="41" t="s">
        <v>963</v>
      </c>
      <c r="C50" s="66" t="s">
        <v>726</v>
      </c>
      <c r="D50" s="26" t="s">
        <v>86</v>
      </c>
      <c r="E50" s="5" t="s">
        <v>964</v>
      </c>
      <c r="F50" s="36" t="s">
        <v>271</v>
      </c>
    </row>
    <row r="51" spans="2:6" ht="30.75" customHeight="1" x14ac:dyDescent="0.35">
      <c r="B51" s="40" t="s">
        <v>965</v>
      </c>
      <c r="C51" s="65" t="s">
        <v>727</v>
      </c>
      <c r="D51" s="26" t="s">
        <v>89</v>
      </c>
      <c r="E51" s="5" t="s">
        <v>966</v>
      </c>
      <c r="F51" s="36" t="s">
        <v>271</v>
      </c>
    </row>
    <row r="53" spans="2:6" ht="21.75" customHeight="1" x14ac:dyDescent="0.35">
      <c r="B53" s="129" t="s">
        <v>728</v>
      </c>
      <c r="C53" s="129"/>
      <c r="D53" s="129"/>
      <c r="E53" s="129"/>
      <c r="F53" s="129"/>
    </row>
    <row r="54" spans="2:6" ht="27.75" customHeight="1" x14ac:dyDescent="0.35">
      <c r="B54" s="41" t="s">
        <v>967</v>
      </c>
      <c r="C54" s="66" t="s">
        <v>729</v>
      </c>
      <c r="D54" s="26" t="s">
        <v>89</v>
      </c>
      <c r="E54" s="5" t="s">
        <v>968</v>
      </c>
      <c r="F54" s="36" t="s">
        <v>271</v>
      </c>
    </row>
    <row r="55" spans="2:6" ht="27.75" customHeight="1" x14ac:dyDescent="0.35">
      <c r="B55" s="40" t="s">
        <v>969</v>
      </c>
      <c r="C55" s="65" t="s">
        <v>731</v>
      </c>
      <c r="D55" s="26" t="s">
        <v>89</v>
      </c>
      <c r="E55" s="5" t="s">
        <v>970</v>
      </c>
      <c r="F55" s="36" t="s">
        <v>271</v>
      </c>
    </row>
    <row r="57" spans="2:6" ht="27.75" customHeight="1" x14ac:dyDescent="0.35">
      <c r="B57" s="260" t="s">
        <v>732</v>
      </c>
      <c r="C57" s="260"/>
      <c r="D57" s="42">
        <f>IF(D33="Sí",1,IF(D33="Parcial",0.5,0))+IF(D34="Sí",1,IF(D34="Parcial",0.5,0))+IF(D35="Sí",1,IF(D35="Parcial",0.5,0))+IF(D36="Sí",1,IF(D36="Parcial",0.5,0))+IF(D37="Sí",1,IF(D37="Parcial",0.5,0))+IF(D40="Sí",1,IF(D40="Parcial",0.5,0))+IF(D41="Sí",1,IF(D41="Parcial",0.5,0))+IF(D42="Sí",1,IF(D42="Parcial",0.5,0))+IF(D43="Sí",1,IF(D43="Parcial",0.5,0))+IF(D44="Sí",1,IF(D44="Parcial",0.5,0))+IF(D45="Sí",1,IF(D45="Parcial",0.5,0))+IF(D46="Sí",1,IF(D46="Parcial",0.5,0))+IF(D49="Sí",1,IF(D49="Parcial",0.5,0))+IF(D50="Sí",1,IF(D50="Parcial",0.5,0))+IF(D51="Sí",1,IF(D51="Parcial",0.5,0))+IF(D54="Sí",1,IF(D54="Parcial",0.5,0))+IF(D55="Sí",1,IF(D55="Parcial",0.5,0))</f>
        <v>9.5</v>
      </c>
      <c r="E57" s="43">
        <f>D57/17</f>
        <v>0.55882352941176472</v>
      </c>
    </row>
    <row r="59" spans="2:6" ht="24" customHeight="1" x14ac:dyDescent="0.35">
      <c r="B59" s="100" t="s">
        <v>733</v>
      </c>
      <c r="C59" s="100"/>
      <c r="D59" s="100"/>
      <c r="E59" s="100"/>
      <c r="F59" s="100"/>
    </row>
    <row r="60" spans="2:6" ht="21.75" customHeight="1" x14ac:dyDescent="0.35">
      <c r="B60" s="6" t="s">
        <v>464</v>
      </c>
      <c r="C60" s="6" t="s">
        <v>466</v>
      </c>
      <c r="D60" s="6" t="s">
        <v>734</v>
      </c>
      <c r="E60" s="6" t="s">
        <v>735</v>
      </c>
      <c r="F60" s="6" t="s">
        <v>736</v>
      </c>
    </row>
    <row r="61" spans="2:6" ht="21.75" customHeight="1" x14ac:dyDescent="0.35">
      <c r="B61" s="44" t="s">
        <v>467</v>
      </c>
      <c r="C61" s="200">
        <v>174</v>
      </c>
      <c r="D61" s="45"/>
      <c r="E61" s="45" t="s">
        <v>1042</v>
      </c>
      <c r="F61" s="121"/>
    </row>
    <row r="62" spans="2:6" ht="21.75" customHeight="1" x14ac:dyDescent="0.35">
      <c r="B62" s="210" t="s">
        <v>972</v>
      </c>
      <c r="C62" s="200"/>
      <c r="D62" s="45"/>
      <c r="E62" s="45"/>
      <c r="F62" s="121"/>
    </row>
    <row r="63" spans="2:6" ht="21.75" customHeight="1" x14ac:dyDescent="0.35">
      <c r="B63" s="210" t="s">
        <v>973</v>
      </c>
      <c r="C63" s="200"/>
      <c r="D63" s="45"/>
      <c r="E63" s="45"/>
      <c r="F63" s="121"/>
    </row>
    <row r="64" spans="2:6" ht="21.75" customHeight="1" x14ac:dyDescent="0.35">
      <c r="B64" s="46" t="s">
        <v>470</v>
      </c>
      <c r="C64" s="201">
        <v>174</v>
      </c>
      <c r="D64" s="47"/>
      <c r="E64" s="47" t="s">
        <v>1042</v>
      </c>
      <c r="F64" s="121"/>
    </row>
    <row r="65" spans="2:6" ht="21.75" customHeight="1" x14ac:dyDescent="0.35">
      <c r="B65" s="44" t="s">
        <v>472</v>
      </c>
      <c r="C65" s="200">
        <v>0</v>
      </c>
      <c r="D65" s="45"/>
      <c r="E65" s="45" t="s">
        <v>1042</v>
      </c>
      <c r="F65" s="121"/>
    </row>
    <row r="66" spans="2:6" ht="21.75" customHeight="1" x14ac:dyDescent="0.35">
      <c r="B66" s="46" t="s">
        <v>737</v>
      </c>
      <c r="C66" s="201" t="s">
        <v>97</v>
      </c>
      <c r="D66" s="47" t="s">
        <v>97</v>
      </c>
      <c r="E66" s="47" t="s">
        <v>1042</v>
      </c>
      <c r="F66" s="121"/>
    </row>
    <row r="67" spans="2:6" ht="21.75" customHeight="1" x14ac:dyDescent="0.35">
      <c r="B67" s="44" t="s">
        <v>475</v>
      </c>
      <c r="C67" s="202" t="s">
        <v>496</v>
      </c>
      <c r="D67" s="45" t="s">
        <v>496</v>
      </c>
      <c r="E67" s="45" t="s">
        <v>1042</v>
      </c>
      <c r="F67" s="121"/>
    </row>
    <row r="68" spans="2:6" ht="21.75" customHeight="1" x14ac:dyDescent="0.35">
      <c r="B68" s="46" t="s">
        <v>477</v>
      </c>
      <c r="C68" s="203">
        <v>12.38</v>
      </c>
      <c r="D68" s="188" t="s">
        <v>974</v>
      </c>
      <c r="E68" s="47" t="s">
        <v>1042</v>
      </c>
      <c r="F68" s="121"/>
    </row>
    <row r="69" spans="2:6" ht="21.75" customHeight="1" x14ac:dyDescent="0.35">
      <c r="B69" s="44" t="s">
        <v>257</v>
      </c>
      <c r="C69" s="202">
        <v>0.74</v>
      </c>
      <c r="D69" s="189">
        <v>0.92</v>
      </c>
      <c r="E69" s="45" t="s">
        <v>1042</v>
      </c>
      <c r="F69" s="121"/>
    </row>
    <row r="70" spans="2:6" ht="21.75" customHeight="1" x14ac:dyDescent="0.35">
      <c r="B70" s="46" t="s">
        <v>480</v>
      </c>
      <c r="C70" s="201">
        <v>12</v>
      </c>
      <c r="D70" s="47"/>
      <c r="E70" s="47" t="s">
        <v>1042</v>
      </c>
      <c r="F70" s="121"/>
    </row>
    <row r="71" spans="2:6" ht="21.75" customHeight="1" x14ac:dyDescent="0.35">
      <c r="B71" s="44" t="s">
        <v>482</v>
      </c>
      <c r="C71" s="200">
        <v>77</v>
      </c>
      <c r="D71" s="45"/>
      <c r="E71" s="45" t="s">
        <v>1042</v>
      </c>
      <c r="F71" s="121"/>
    </row>
    <row r="72" spans="2:6" ht="21.75" customHeight="1" x14ac:dyDescent="0.35">
      <c r="B72" s="46" t="s">
        <v>484</v>
      </c>
      <c r="C72" s="201" t="s">
        <v>496</v>
      </c>
      <c r="D72" s="47" t="s">
        <v>496</v>
      </c>
      <c r="E72" s="47" t="s">
        <v>1042</v>
      </c>
      <c r="F72" s="121"/>
    </row>
    <row r="73" spans="2:6" ht="21.75" customHeight="1" x14ac:dyDescent="0.35">
      <c r="B73" s="44" t="s">
        <v>486</v>
      </c>
      <c r="C73" s="202">
        <v>2</v>
      </c>
      <c r="D73" s="189"/>
      <c r="E73" s="45" t="s">
        <v>1042</v>
      </c>
      <c r="F73" s="121"/>
    </row>
    <row r="74" spans="2:6" ht="21.75" customHeight="1" x14ac:dyDescent="0.35">
      <c r="B74" s="46" t="s">
        <v>488</v>
      </c>
      <c r="C74" s="203">
        <v>0</v>
      </c>
      <c r="D74" s="188">
        <v>0</v>
      </c>
      <c r="E74" s="47" t="s">
        <v>1042</v>
      </c>
      <c r="F74" s="121"/>
    </row>
    <row r="76" spans="2:6" ht="24" customHeight="1" x14ac:dyDescent="0.35">
      <c r="B76" s="100" t="s">
        <v>37</v>
      </c>
      <c r="C76" s="100"/>
      <c r="D76" s="100"/>
      <c r="E76" s="100"/>
      <c r="F76" s="100"/>
    </row>
    <row r="77" spans="2:6" ht="24" customHeight="1" x14ac:dyDescent="0.35">
      <c r="B77" s="266" t="s">
        <v>739</v>
      </c>
      <c r="C77" s="266"/>
      <c r="D77" s="266"/>
      <c r="E77" s="266"/>
      <c r="F77" s="266"/>
    </row>
    <row r="78" spans="2:6" ht="21.75" customHeight="1" x14ac:dyDescent="0.35">
      <c r="B78" s="6" t="s">
        <v>740</v>
      </c>
      <c r="C78" s="6" t="s">
        <v>741</v>
      </c>
      <c r="D78" s="6" t="s">
        <v>742</v>
      </c>
      <c r="E78" s="6" t="s">
        <v>743</v>
      </c>
      <c r="F78" s="6" t="s">
        <v>744</v>
      </c>
    </row>
    <row r="79" spans="2:6" ht="19.5" customHeight="1" x14ac:dyDescent="0.35">
      <c r="B79" s="44" t="s">
        <v>745</v>
      </c>
      <c r="C79" s="45"/>
      <c r="D79" s="45"/>
      <c r="E79" s="45"/>
      <c r="F79" s="45"/>
    </row>
    <row r="80" spans="2:6" ht="19.5" customHeight="1" x14ac:dyDescent="0.35">
      <c r="B80" s="46" t="s">
        <v>746</v>
      </c>
      <c r="C80" s="47"/>
      <c r="D80" s="188"/>
      <c r="E80" s="47"/>
      <c r="F80" s="47"/>
    </row>
    <row r="81" spans="2:6" ht="19.5" customHeight="1" x14ac:dyDescent="0.35">
      <c r="B81" s="44" t="s">
        <v>748</v>
      </c>
      <c r="C81" s="45">
        <v>174</v>
      </c>
      <c r="D81" s="189">
        <v>1</v>
      </c>
      <c r="E81" s="45">
        <v>12.38</v>
      </c>
      <c r="F81" s="45" t="s">
        <v>1043</v>
      </c>
    </row>
    <row r="82" spans="2:6" ht="19.5" customHeight="1" x14ac:dyDescent="0.35">
      <c r="B82" s="46" t="s">
        <v>749</v>
      </c>
      <c r="C82" s="47"/>
      <c r="D82" s="47"/>
      <c r="E82" s="47"/>
      <c r="F82" s="47"/>
    </row>
    <row r="83" spans="2:6" ht="19.5" customHeight="1" x14ac:dyDescent="0.35">
      <c r="B83" s="44" t="s">
        <v>751</v>
      </c>
      <c r="C83" s="45"/>
      <c r="D83" s="45"/>
      <c r="E83" s="45"/>
      <c r="F83" s="45"/>
    </row>
    <row r="84" spans="2:6" ht="44.25" customHeight="1" x14ac:dyDescent="0.35">
      <c r="B84" s="16" t="s">
        <v>1044</v>
      </c>
      <c r="C84" s="47"/>
      <c r="D84" s="47"/>
      <c r="E84" s="47"/>
      <c r="F84" s="47"/>
    </row>
    <row r="85" spans="2:6" ht="19.5" customHeight="1" x14ac:dyDescent="0.35">
      <c r="B85" s="44" t="s">
        <v>753</v>
      </c>
      <c r="C85" s="45"/>
      <c r="D85" s="45"/>
      <c r="E85" s="45"/>
      <c r="F85" s="45"/>
    </row>
    <row r="86" spans="2:6" ht="19.5" customHeight="1" x14ac:dyDescent="0.35">
      <c r="B86" s="46" t="s">
        <v>755</v>
      </c>
      <c r="C86" s="47"/>
      <c r="D86" s="47"/>
      <c r="E86" s="47"/>
      <c r="F86" s="47"/>
    </row>
    <row r="87" spans="2:6" ht="14.5" customHeight="1" x14ac:dyDescent="0.35"/>
    <row r="88" spans="2:6" ht="24" customHeight="1" x14ac:dyDescent="0.35">
      <c r="B88" s="100" t="s">
        <v>1045</v>
      </c>
      <c r="C88" s="102"/>
      <c r="D88" s="102"/>
      <c r="E88" s="102"/>
      <c r="F88" s="102"/>
    </row>
    <row r="89" spans="2:6" ht="21.75" customHeight="1" x14ac:dyDescent="0.35">
      <c r="B89" s="6" t="s">
        <v>758</v>
      </c>
      <c r="C89" s="6" t="s">
        <v>466</v>
      </c>
      <c r="D89" s="6" t="s">
        <v>201</v>
      </c>
      <c r="E89" s="6" t="s">
        <v>759</v>
      </c>
      <c r="F89" s="6" t="s">
        <v>744</v>
      </c>
    </row>
    <row r="90" spans="2:6" ht="21.75" customHeight="1" x14ac:dyDescent="0.35">
      <c r="B90" s="14" t="s">
        <v>760</v>
      </c>
      <c r="C90" s="45"/>
      <c r="D90" s="45"/>
      <c r="E90" s="45"/>
      <c r="F90" s="45"/>
    </row>
    <row r="91" spans="2:6" x14ac:dyDescent="0.35">
      <c r="B91" s="16" t="s">
        <v>428</v>
      </c>
      <c r="C91" s="36"/>
      <c r="D91" s="36"/>
      <c r="E91" s="47"/>
      <c r="F91" s="207"/>
    </row>
    <row r="92" spans="2:6" ht="21.75" customHeight="1" x14ac:dyDescent="0.35">
      <c r="B92" s="14" t="s">
        <v>429</v>
      </c>
      <c r="C92" s="45"/>
      <c r="D92" s="45"/>
      <c r="E92" s="45"/>
      <c r="F92" s="45"/>
    </row>
    <row r="93" spans="2:6" x14ac:dyDescent="0.35">
      <c r="B93" s="16" t="s">
        <v>761</v>
      </c>
      <c r="C93" s="47"/>
      <c r="D93" s="47"/>
      <c r="E93" s="47"/>
      <c r="F93" s="47"/>
    </row>
    <row r="94" spans="2:6" x14ac:dyDescent="0.35">
      <c r="B94" s="14" t="s">
        <v>762</v>
      </c>
      <c r="C94" s="45"/>
      <c r="D94" s="45"/>
      <c r="E94" s="45"/>
      <c r="F94" s="45"/>
    </row>
    <row r="95" spans="2:6" ht="21.75" customHeight="1" x14ac:dyDescent="0.35">
      <c r="B95" s="16" t="s">
        <v>430</v>
      </c>
      <c r="C95" s="47"/>
      <c r="D95" s="47"/>
      <c r="E95" s="47"/>
      <c r="F95" s="47"/>
    </row>
    <row r="96" spans="2:6" x14ac:dyDescent="0.35">
      <c r="B96" s="14" t="s">
        <v>431</v>
      </c>
      <c r="C96" s="45"/>
      <c r="D96" s="45"/>
      <c r="E96" s="45"/>
      <c r="F96" s="45"/>
    </row>
    <row r="98" spans="2:7" ht="24" customHeight="1" x14ac:dyDescent="0.35">
      <c r="B98" s="258" t="s">
        <v>763</v>
      </c>
      <c r="C98" s="258"/>
      <c r="D98" s="258"/>
      <c r="E98" s="258"/>
      <c r="F98" s="258"/>
      <c r="G98" s="258"/>
    </row>
    <row r="99" spans="2:7" ht="27.75" customHeight="1" x14ac:dyDescent="0.35">
      <c r="B99" s="6" t="s">
        <v>142</v>
      </c>
      <c r="C99" s="6" t="s">
        <v>764</v>
      </c>
      <c r="D99" s="6" t="s">
        <v>765</v>
      </c>
      <c r="E99" s="6" t="s">
        <v>766</v>
      </c>
      <c r="F99" s="6" t="s">
        <v>767</v>
      </c>
      <c r="G99" s="6" t="s">
        <v>768</v>
      </c>
    </row>
    <row r="100" spans="2:7" ht="25.5" customHeight="1" x14ac:dyDescent="0.35">
      <c r="B100" s="48" t="s">
        <v>153</v>
      </c>
      <c r="C100" s="26" t="s">
        <v>89</v>
      </c>
      <c r="D100" s="69" t="s">
        <v>769</v>
      </c>
      <c r="E100" s="49">
        <v>3</v>
      </c>
      <c r="F100" s="36" t="s">
        <v>277</v>
      </c>
      <c r="G100" s="5" t="s">
        <v>976</v>
      </c>
    </row>
    <row r="101" spans="2:7" ht="25.5" customHeight="1" x14ac:dyDescent="0.35">
      <c r="B101" s="50" t="s">
        <v>154</v>
      </c>
      <c r="C101" s="26" t="s">
        <v>86</v>
      </c>
      <c r="D101" s="68" t="s">
        <v>771</v>
      </c>
      <c r="E101" s="49">
        <v>4</v>
      </c>
      <c r="F101" s="36" t="s">
        <v>271</v>
      </c>
      <c r="G101" s="5" t="s">
        <v>977</v>
      </c>
    </row>
    <row r="102" spans="2:7" ht="25.5" customHeight="1" x14ac:dyDescent="0.35">
      <c r="B102" s="48" t="s">
        <v>155</v>
      </c>
      <c r="C102" s="26" t="s">
        <v>86</v>
      </c>
      <c r="D102" s="69" t="s">
        <v>773</v>
      </c>
      <c r="E102" s="49">
        <v>4</v>
      </c>
      <c r="F102" s="36" t="s">
        <v>271</v>
      </c>
      <c r="G102" s="5" t="s">
        <v>978</v>
      </c>
    </row>
    <row r="103" spans="2:7" ht="25.5" customHeight="1" x14ac:dyDescent="0.35">
      <c r="B103" s="50" t="s">
        <v>156</v>
      </c>
      <c r="C103" s="26" t="s">
        <v>89</v>
      </c>
      <c r="D103" s="68" t="s">
        <v>775</v>
      </c>
      <c r="E103" s="49">
        <v>3</v>
      </c>
      <c r="F103" s="36" t="s">
        <v>277</v>
      </c>
      <c r="G103" s="5" t="s">
        <v>979</v>
      </c>
    </row>
    <row r="104" spans="2:7" ht="25.5" customHeight="1" x14ac:dyDescent="0.35">
      <c r="B104" s="48" t="s">
        <v>157</v>
      </c>
      <c r="C104" s="26" t="s">
        <v>93</v>
      </c>
      <c r="D104" s="67" t="s">
        <v>777</v>
      </c>
      <c r="E104" s="49">
        <v>2</v>
      </c>
      <c r="F104" s="36" t="s">
        <v>282</v>
      </c>
      <c r="G104" s="5" t="s">
        <v>980</v>
      </c>
    </row>
    <row r="105" spans="2:7" ht="25.5" customHeight="1" x14ac:dyDescent="0.35">
      <c r="B105" s="50" t="s">
        <v>158</v>
      </c>
      <c r="C105" s="26" t="s">
        <v>89</v>
      </c>
      <c r="D105" s="68" t="s">
        <v>779</v>
      </c>
      <c r="E105" s="49">
        <v>3</v>
      </c>
      <c r="F105" s="36" t="s">
        <v>277</v>
      </c>
      <c r="G105" s="5" t="s">
        <v>981</v>
      </c>
    </row>
    <row r="106" spans="2:7" ht="25.5" customHeight="1" x14ac:dyDescent="0.35">
      <c r="B106" s="48" t="s">
        <v>159</v>
      </c>
      <c r="C106" s="26" t="s">
        <v>86</v>
      </c>
      <c r="D106" s="67" t="s">
        <v>781</v>
      </c>
      <c r="E106" s="49">
        <v>3</v>
      </c>
      <c r="F106" s="36" t="s">
        <v>277</v>
      </c>
      <c r="G106" s="5" t="s">
        <v>983</v>
      </c>
    </row>
    <row r="107" spans="2:7" ht="25.5" customHeight="1" x14ac:dyDescent="0.35">
      <c r="B107" s="50" t="s">
        <v>160</v>
      </c>
      <c r="C107" s="26" t="s">
        <v>89</v>
      </c>
      <c r="D107" s="74" t="s">
        <v>783</v>
      </c>
      <c r="E107" s="49">
        <v>3</v>
      </c>
      <c r="F107" s="36" t="s">
        <v>277</v>
      </c>
      <c r="G107" s="5" t="s">
        <v>984</v>
      </c>
    </row>
    <row r="108" spans="2:7" ht="25.5" customHeight="1" x14ac:dyDescent="0.35">
      <c r="B108" s="48" t="s">
        <v>161</v>
      </c>
      <c r="C108" s="26" t="s">
        <v>86</v>
      </c>
      <c r="D108" s="69" t="s">
        <v>785</v>
      </c>
      <c r="E108" s="49">
        <v>3</v>
      </c>
      <c r="F108" s="36" t="s">
        <v>277</v>
      </c>
      <c r="G108" s="5" t="s">
        <v>985</v>
      </c>
    </row>
    <row r="109" spans="2:7" ht="58" x14ac:dyDescent="0.35">
      <c r="B109" s="50" t="s">
        <v>162</v>
      </c>
      <c r="C109" s="26" t="s">
        <v>89</v>
      </c>
      <c r="D109" s="74" t="s">
        <v>787</v>
      </c>
      <c r="E109" s="49">
        <v>3</v>
      </c>
      <c r="F109" s="36" t="s">
        <v>277</v>
      </c>
      <c r="G109" s="5" t="s">
        <v>987</v>
      </c>
    </row>
    <row r="110" spans="2:7" ht="25.5" customHeight="1" x14ac:dyDescent="0.35">
      <c r="B110" s="48" t="s">
        <v>163</v>
      </c>
      <c r="C110" s="26" t="s">
        <v>89</v>
      </c>
      <c r="D110" s="67" t="s">
        <v>789</v>
      </c>
      <c r="E110" s="49">
        <v>3</v>
      </c>
      <c r="F110" s="36" t="s">
        <v>277</v>
      </c>
      <c r="G110" s="5" t="s">
        <v>988</v>
      </c>
    </row>
    <row r="111" spans="2:7" ht="25.5" customHeight="1" x14ac:dyDescent="0.35">
      <c r="B111" s="50" t="s">
        <v>164</v>
      </c>
      <c r="C111" s="26" t="s">
        <v>89</v>
      </c>
      <c r="D111" s="74" t="s">
        <v>791</v>
      </c>
      <c r="E111" s="49">
        <v>3</v>
      </c>
      <c r="F111" s="36" t="s">
        <v>277</v>
      </c>
      <c r="G111" s="5" t="s">
        <v>989</v>
      </c>
    </row>
    <row r="112" spans="2:7" ht="25.5" customHeight="1" x14ac:dyDescent="0.35">
      <c r="B112" s="48" t="s">
        <v>165</v>
      </c>
      <c r="C112" s="26" t="s">
        <v>86</v>
      </c>
      <c r="D112" s="69" t="s">
        <v>793</v>
      </c>
      <c r="E112" s="49">
        <v>4</v>
      </c>
      <c r="F112" s="36" t="s">
        <v>271</v>
      </c>
      <c r="G112" s="5" t="s">
        <v>990</v>
      </c>
    </row>
    <row r="113" spans="2:7" ht="25.5" customHeight="1" x14ac:dyDescent="0.35">
      <c r="B113" s="50" t="s">
        <v>166</v>
      </c>
      <c r="C113" s="26" t="s">
        <v>89</v>
      </c>
      <c r="D113" s="74" t="s">
        <v>795</v>
      </c>
      <c r="E113" s="49">
        <v>3</v>
      </c>
      <c r="F113" s="36" t="s">
        <v>277</v>
      </c>
      <c r="G113" s="5" t="s">
        <v>991</v>
      </c>
    </row>
    <row r="114" spans="2:7" ht="25.5" customHeight="1" x14ac:dyDescent="0.35">
      <c r="B114" s="48" t="s">
        <v>167</v>
      </c>
      <c r="C114" s="26" t="s">
        <v>89</v>
      </c>
      <c r="D114" s="69" t="s">
        <v>797</v>
      </c>
      <c r="E114" s="49">
        <v>3</v>
      </c>
      <c r="F114" s="36" t="s">
        <v>277</v>
      </c>
      <c r="G114" s="5" t="s">
        <v>992</v>
      </c>
    </row>
    <row r="115" spans="2:7" ht="25.5" customHeight="1" x14ac:dyDescent="0.35">
      <c r="B115" s="50" t="s">
        <v>168</v>
      </c>
      <c r="C115" s="26" t="s">
        <v>86</v>
      </c>
      <c r="D115" s="74" t="s">
        <v>799</v>
      </c>
      <c r="E115" s="49">
        <v>4</v>
      </c>
      <c r="F115" s="36" t="s">
        <v>271</v>
      </c>
      <c r="G115" s="5" t="s">
        <v>994</v>
      </c>
    </row>
    <row r="116" spans="2:7" ht="25.5" customHeight="1" x14ac:dyDescent="0.35">
      <c r="B116" s="48" t="s">
        <v>169</v>
      </c>
      <c r="C116" s="26" t="s">
        <v>89</v>
      </c>
      <c r="D116" s="69" t="s">
        <v>801</v>
      </c>
      <c r="E116" s="49">
        <v>3</v>
      </c>
      <c r="F116" s="36" t="s">
        <v>277</v>
      </c>
      <c r="G116" s="5" t="s">
        <v>995</v>
      </c>
    </row>
    <row r="117" spans="2:7" ht="25.5" customHeight="1" x14ac:dyDescent="0.35">
      <c r="B117" s="50" t="s">
        <v>170</v>
      </c>
      <c r="C117" s="26" t="s">
        <v>89</v>
      </c>
      <c r="D117" s="74" t="s">
        <v>803</v>
      </c>
      <c r="E117" s="49">
        <v>3</v>
      </c>
      <c r="F117" s="36" t="s">
        <v>277</v>
      </c>
      <c r="G117" s="5" t="s">
        <v>996</v>
      </c>
    </row>
    <row r="118" spans="2:7" ht="25.5" customHeight="1" x14ac:dyDescent="0.35">
      <c r="B118" s="50" t="s">
        <v>172</v>
      </c>
      <c r="C118" s="26" t="s">
        <v>86</v>
      </c>
      <c r="D118" s="74" t="s">
        <v>805</v>
      </c>
      <c r="E118" s="49"/>
      <c r="F118" s="36"/>
      <c r="G118" s="5" t="s">
        <v>806</v>
      </c>
    </row>
    <row r="119" spans="2:7" ht="25.5" customHeight="1" x14ac:dyDescent="0.35">
      <c r="B119" s="50" t="s">
        <v>173</v>
      </c>
      <c r="C119" s="26"/>
      <c r="D119" s="74" t="s">
        <v>807</v>
      </c>
      <c r="E119" s="49"/>
      <c r="F119" s="36"/>
      <c r="G119" s="5"/>
    </row>
    <row r="120" spans="2:7" ht="25.5" customHeight="1" x14ac:dyDescent="0.35">
      <c r="B120" s="50" t="s">
        <v>174</v>
      </c>
      <c r="C120" s="26"/>
      <c r="D120" s="74" t="s">
        <v>808</v>
      </c>
      <c r="E120" s="49"/>
      <c r="F120" s="36"/>
      <c r="G120" s="5"/>
    </row>
    <row r="121" spans="2:7" ht="25.5" customHeight="1" x14ac:dyDescent="0.35">
      <c r="B121" s="216" t="s">
        <v>175</v>
      </c>
      <c r="C121" s="26"/>
      <c r="D121" s="218" t="s">
        <v>809</v>
      </c>
      <c r="E121" s="49"/>
      <c r="F121" s="36"/>
      <c r="G121" s="5"/>
    </row>
    <row r="123" spans="2:7" ht="24" customHeight="1" x14ac:dyDescent="0.35">
      <c r="B123" s="100" t="s">
        <v>810</v>
      </c>
      <c r="C123" s="100"/>
      <c r="D123" s="100"/>
    </row>
    <row r="124" spans="2:7" ht="21.75" customHeight="1" x14ac:dyDescent="0.35">
      <c r="B124" s="6" t="s">
        <v>811</v>
      </c>
      <c r="C124" s="6" t="s">
        <v>812</v>
      </c>
      <c r="D124" s="6" t="s">
        <v>736</v>
      </c>
    </row>
    <row r="125" spans="2:7" ht="28.5" customHeight="1" x14ac:dyDescent="0.35">
      <c r="B125" s="13" t="s">
        <v>813</v>
      </c>
      <c r="C125" s="64" t="s">
        <v>1046</v>
      </c>
      <c r="D125" s="64" t="s">
        <v>1047</v>
      </c>
    </row>
    <row r="126" spans="2:7" ht="28.5" customHeight="1" x14ac:dyDescent="0.35">
      <c r="B126" s="15" t="s">
        <v>814</v>
      </c>
      <c r="C126" s="64" t="s">
        <v>999</v>
      </c>
      <c r="D126" s="64" t="s">
        <v>1000</v>
      </c>
    </row>
    <row r="127" spans="2:7" ht="28.5" customHeight="1" x14ac:dyDescent="0.35">
      <c r="B127" s="13" t="s">
        <v>817</v>
      </c>
      <c r="C127" s="64"/>
      <c r="D127" s="64" t="s">
        <v>1001</v>
      </c>
    </row>
    <row r="128" spans="2:7" ht="28.5" customHeight="1" x14ac:dyDescent="0.35">
      <c r="B128" s="15" t="s">
        <v>818</v>
      </c>
      <c r="C128" s="64"/>
      <c r="D128" s="64" t="s">
        <v>1002</v>
      </c>
    </row>
    <row r="129" spans="2:6" ht="28.5" customHeight="1" x14ac:dyDescent="0.35">
      <c r="B129" s="13" t="s">
        <v>819</v>
      </c>
      <c r="C129" s="64"/>
      <c r="D129" s="64" t="s">
        <v>1048</v>
      </c>
    </row>
    <row r="130" spans="2:6" ht="28.5" customHeight="1" x14ac:dyDescent="0.35">
      <c r="B130" s="15" t="s">
        <v>820</v>
      </c>
      <c r="C130" s="64" t="s">
        <v>1003</v>
      </c>
      <c r="D130" s="64" t="s">
        <v>1004</v>
      </c>
    </row>
    <row r="131" spans="2:6" ht="28.5" customHeight="1" x14ac:dyDescent="0.35">
      <c r="B131" s="13" t="s">
        <v>821</v>
      </c>
      <c r="C131" s="64" t="s">
        <v>459</v>
      </c>
      <c r="D131" s="64" t="s">
        <v>1005</v>
      </c>
    </row>
    <row r="132" spans="2:6" ht="28.5" customHeight="1" x14ac:dyDescent="0.35">
      <c r="B132" s="15" t="s">
        <v>822</v>
      </c>
      <c r="C132" s="109"/>
      <c r="D132" s="64" t="s">
        <v>1049</v>
      </c>
    </row>
    <row r="133" spans="2:6" x14ac:dyDescent="0.35">
      <c r="B133" s="123"/>
      <c r="C133" s="109"/>
      <c r="D133" s="109"/>
    </row>
    <row r="134" spans="2:6" ht="24" customHeight="1" x14ac:dyDescent="0.35">
      <c r="B134" s="100" t="s">
        <v>823</v>
      </c>
      <c r="C134" s="100"/>
      <c r="D134" s="100"/>
      <c r="E134" s="100"/>
      <c r="F134" s="100"/>
    </row>
    <row r="135" spans="2:6" ht="21.75" customHeight="1" x14ac:dyDescent="0.35">
      <c r="B135" s="6" t="s">
        <v>824</v>
      </c>
      <c r="C135" s="6" t="s">
        <v>825</v>
      </c>
      <c r="D135" s="6" t="s">
        <v>826</v>
      </c>
      <c r="E135" s="6" t="s">
        <v>827</v>
      </c>
      <c r="F135" s="6" t="s">
        <v>269</v>
      </c>
    </row>
    <row r="136" spans="2:6" ht="21.75" customHeight="1" x14ac:dyDescent="0.35">
      <c r="B136" s="44" t="s">
        <v>828</v>
      </c>
      <c r="C136" s="99" t="s">
        <v>1006</v>
      </c>
      <c r="D136" s="45" t="s">
        <v>86</v>
      </c>
      <c r="E136" s="14" t="s">
        <v>1007</v>
      </c>
      <c r="F136" s="45" t="s">
        <v>277</v>
      </c>
    </row>
    <row r="137" spans="2:6" ht="21.75" customHeight="1" x14ac:dyDescent="0.35">
      <c r="B137" s="46" t="s">
        <v>830</v>
      </c>
      <c r="C137" s="99"/>
      <c r="D137" s="45" t="s">
        <v>93</v>
      </c>
      <c r="E137" s="16" t="s">
        <v>1008</v>
      </c>
      <c r="F137" s="45" t="s">
        <v>277</v>
      </c>
    </row>
    <row r="138" spans="2:6" ht="21.75" customHeight="1" x14ac:dyDescent="0.35">
      <c r="B138" s="44" t="s">
        <v>831</v>
      </c>
      <c r="C138" s="99"/>
      <c r="D138" s="45" t="s">
        <v>93</v>
      </c>
      <c r="E138" s="14" t="s">
        <v>1009</v>
      </c>
      <c r="F138" s="45" t="s">
        <v>271</v>
      </c>
    </row>
    <row r="139" spans="2:6" ht="21.75" customHeight="1" x14ac:dyDescent="0.35">
      <c r="B139" s="46" t="s">
        <v>832</v>
      </c>
      <c r="C139" s="99"/>
      <c r="D139" s="45" t="s">
        <v>93</v>
      </c>
      <c r="E139" s="16" t="s">
        <v>1010</v>
      </c>
      <c r="F139" s="45" t="s">
        <v>271</v>
      </c>
    </row>
    <row r="140" spans="2:6" ht="31.5" customHeight="1" x14ac:dyDescent="0.35">
      <c r="B140" s="14" t="s">
        <v>833</v>
      </c>
      <c r="C140" s="99"/>
      <c r="D140" s="45" t="s">
        <v>93</v>
      </c>
      <c r="E140" s="14" t="s">
        <v>1011</v>
      </c>
      <c r="F140" s="45" t="s">
        <v>277</v>
      </c>
    </row>
    <row r="141" spans="2:6" ht="30" customHeight="1" x14ac:dyDescent="0.35">
      <c r="B141" s="16" t="s">
        <v>834</v>
      </c>
      <c r="C141" s="99"/>
      <c r="D141" s="45" t="s">
        <v>93</v>
      </c>
      <c r="E141" s="16" t="s">
        <v>1012</v>
      </c>
      <c r="F141" s="45" t="s">
        <v>282</v>
      </c>
    </row>
    <row r="142" spans="2:6" ht="21.75" customHeight="1" x14ac:dyDescent="0.35">
      <c r="B142" s="44" t="s">
        <v>835</v>
      </c>
      <c r="C142" s="99" t="s">
        <v>1013</v>
      </c>
      <c r="D142" s="45" t="s">
        <v>286</v>
      </c>
      <c r="E142" s="14" t="s">
        <v>1014</v>
      </c>
      <c r="F142" s="45" t="s">
        <v>271</v>
      </c>
    </row>
    <row r="143" spans="2:6" ht="21.75" customHeight="1" x14ac:dyDescent="0.35">
      <c r="B143" s="46" t="s">
        <v>836</v>
      </c>
      <c r="C143" s="99"/>
      <c r="D143" s="45" t="s">
        <v>93</v>
      </c>
      <c r="E143" s="16" t="s">
        <v>1015</v>
      </c>
      <c r="F143" s="45" t="s">
        <v>282</v>
      </c>
    </row>
    <row r="144" spans="2:6" ht="21.75" customHeight="1" x14ac:dyDescent="0.35">
      <c r="B144" s="44" t="s">
        <v>837</v>
      </c>
      <c r="C144" s="99" t="s">
        <v>1016</v>
      </c>
      <c r="D144" s="45" t="s">
        <v>89</v>
      </c>
      <c r="E144" s="14" t="s">
        <v>1017</v>
      </c>
      <c r="F144" s="45" t="s">
        <v>277</v>
      </c>
    </row>
    <row r="145" spans="2:7" ht="21.75" customHeight="1" x14ac:dyDescent="0.35">
      <c r="B145" s="46" t="s">
        <v>838</v>
      </c>
      <c r="C145" s="99" t="s">
        <v>1018</v>
      </c>
      <c r="D145" s="45" t="s">
        <v>89</v>
      </c>
      <c r="E145" s="16" t="s">
        <v>1050</v>
      </c>
      <c r="F145" s="45" t="s">
        <v>271</v>
      </c>
    </row>
    <row r="147" spans="2:7" ht="24" customHeight="1" x14ac:dyDescent="0.35">
      <c r="B147" s="258" t="s">
        <v>841</v>
      </c>
      <c r="C147" s="258"/>
      <c r="D147" s="258"/>
      <c r="E147" s="258"/>
      <c r="F147" s="258"/>
      <c r="G147" s="258"/>
    </row>
    <row r="148" spans="2:7" ht="21.75" customHeight="1" x14ac:dyDescent="0.35">
      <c r="B148" s="6" t="s">
        <v>842</v>
      </c>
      <c r="C148" s="6" t="s">
        <v>843</v>
      </c>
    </row>
    <row r="149" spans="2:7" ht="21.75" customHeight="1" x14ac:dyDescent="0.35">
      <c r="B149" s="13" t="s">
        <v>844</v>
      </c>
      <c r="C149" s="251" t="s">
        <v>1020</v>
      </c>
      <c r="D149" s="251"/>
      <c r="E149" s="251"/>
      <c r="F149" s="251"/>
      <c r="G149" s="251"/>
    </row>
    <row r="150" spans="2:7" ht="21.75" customHeight="1" x14ac:dyDescent="0.35">
      <c r="B150" s="15" t="s">
        <v>846</v>
      </c>
      <c r="C150" s="251" t="s">
        <v>496</v>
      </c>
      <c r="D150" s="251"/>
      <c r="E150" s="251"/>
      <c r="F150" s="251"/>
      <c r="G150" s="251"/>
    </row>
    <row r="151" spans="2:7" ht="21.75" customHeight="1" x14ac:dyDescent="0.35">
      <c r="B151" s="13" t="s">
        <v>847</v>
      </c>
      <c r="C151" s="251" t="s">
        <v>496</v>
      </c>
      <c r="D151" s="251"/>
      <c r="E151" s="251"/>
      <c r="F151" s="251"/>
      <c r="G151" s="251"/>
    </row>
    <row r="152" spans="2:7" ht="21.75" customHeight="1" x14ac:dyDescent="0.35">
      <c r="B152" s="15" t="s">
        <v>848</v>
      </c>
      <c r="C152" s="251" t="s">
        <v>496</v>
      </c>
      <c r="D152" s="251"/>
      <c r="E152" s="251"/>
      <c r="F152" s="251"/>
      <c r="G152" s="251"/>
    </row>
    <row r="153" spans="2:7" ht="21.75" customHeight="1" x14ac:dyDescent="0.35">
      <c r="B153" s="13" t="s">
        <v>849</v>
      </c>
      <c r="C153" s="251" t="s">
        <v>1021</v>
      </c>
      <c r="D153" s="251"/>
      <c r="E153" s="251"/>
      <c r="F153" s="251"/>
      <c r="G153" s="251"/>
    </row>
    <row r="154" spans="2:7" ht="21.75" customHeight="1" x14ac:dyDescent="0.35">
      <c r="B154" s="15" t="s">
        <v>850</v>
      </c>
      <c r="C154" s="251" t="s">
        <v>1022</v>
      </c>
      <c r="D154" s="251"/>
      <c r="E154" s="251"/>
      <c r="F154" s="251"/>
      <c r="G154" s="251"/>
    </row>
    <row r="155" spans="2:7" ht="21.75" customHeight="1" x14ac:dyDescent="0.35">
      <c r="B155" s="13" t="s">
        <v>852</v>
      </c>
      <c r="C155" s="251" t="s">
        <v>1023</v>
      </c>
      <c r="D155" s="251"/>
      <c r="E155" s="251"/>
      <c r="F155" s="251"/>
      <c r="G155" s="251"/>
    </row>
    <row r="157" spans="2:7" ht="24" customHeight="1" x14ac:dyDescent="0.35">
      <c r="B157" s="258" t="s">
        <v>854</v>
      </c>
      <c r="C157" s="258"/>
      <c r="D157" s="258"/>
      <c r="E157" s="258"/>
      <c r="F157" s="258"/>
      <c r="G157" s="258"/>
    </row>
    <row r="158" spans="2:7" ht="21.75" customHeight="1" x14ac:dyDescent="0.35">
      <c r="B158" s="6" t="s">
        <v>855</v>
      </c>
      <c r="C158" s="6" t="s">
        <v>856</v>
      </c>
    </row>
    <row r="159" spans="2:7" ht="30" customHeight="1" x14ac:dyDescent="0.35">
      <c r="B159" s="51" t="s">
        <v>857</v>
      </c>
      <c r="C159" s="251" t="s">
        <v>1025</v>
      </c>
      <c r="D159" s="251"/>
      <c r="E159" s="251"/>
      <c r="F159" s="251"/>
      <c r="G159" s="251"/>
    </row>
    <row r="160" spans="2:7" ht="30" customHeight="1" x14ac:dyDescent="0.35">
      <c r="B160" s="52" t="s">
        <v>859</v>
      </c>
      <c r="C160" s="251" t="s">
        <v>1026</v>
      </c>
      <c r="D160" s="251"/>
      <c r="E160" s="251"/>
      <c r="F160" s="251"/>
      <c r="G160" s="251"/>
    </row>
    <row r="161" spans="2:11" ht="30" customHeight="1" x14ac:dyDescent="0.35">
      <c r="B161" s="51" t="s">
        <v>861</v>
      </c>
      <c r="C161" s="251" t="s">
        <v>1027</v>
      </c>
      <c r="D161" s="251"/>
      <c r="E161" s="251"/>
      <c r="F161" s="251"/>
      <c r="G161" s="251"/>
    </row>
    <row r="162" spans="2:11" ht="30" customHeight="1" x14ac:dyDescent="0.35">
      <c r="B162" s="52" t="s">
        <v>863</v>
      </c>
      <c r="C162" s="251" t="s">
        <v>1028</v>
      </c>
      <c r="D162" s="251"/>
      <c r="E162" s="251"/>
      <c r="F162" s="251"/>
      <c r="G162" s="251"/>
    </row>
    <row r="163" spans="2:11" ht="30" customHeight="1" x14ac:dyDescent="0.35">
      <c r="B163" s="51" t="s">
        <v>865</v>
      </c>
      <c r="C163" s="251" t="s">
        <v>1029</v>
      </c>
      <c r="D163" s="251"/>
      <c r="E163" s="251"/>
      <c r="F163" s="251"/>
      <c r="G163" s="251"/>
    </row>
    <row r="164" spans="2:11" ht="30" customHeight="1" x14ac:dyDescent="0.35">
      <c r="B164" s="52" t="s">
        <v>867</v>
      </c>
      <c r="C164" s="251" t="s">
        <v>1030</v>
      </c>
      <c r="D164" s="251"/>
      <c r="E164" s="251"/>
      <c r="F164" s="251"/>
      <c r="G164" s="251"/>
    </row>
    <row r="165" spans="2:11" ht="30" customHeight="1" x14ac:dyDescent="0.35">
      <c r="B165" s="51" t="s">
        <v>868</v>
      </c>
      <c r="C165" s="251" t="s">
        <v>1031</v>
      </c>
      <c r="D165" s="251"/>
      <c r="E165" s="251"/>
      <c r="F165" s="251"/>
      <c r="G165" s="251"/>
    </row>
    <row r="166" spans="2:11" ht="30" customHeight="1" x14ac:dyDescent="0.35">
      <c r="B166" s="52" t="s">
        <v>870</v>
      </c>
      <c r="C166" s="256" t="s">
        <v>871</v>
      </c>
      <c r="D166" s="257"/>
      <c r="E166" s="257"/>
      <c r="F166" s="257"/>
      <c r="G166" s="257"/>
    </row>
    <row r="167" spans="2:11" ht="30" customHeight="1" x14ac:dyDescent="0.35">
      <c r="B167" s="51" t="s">
        <v>872</v>
      </c>
      <c r="C167" s="251" t="s">
        <v>1032</v>
      </c>
      <c r="D167" s="251"/>
      <c r="E167" s="251"/>
      <c r="F167" s="251"/>
      <c r="G167" s="251"/>
    </row>
    <row r="169" spans="2:11" ht="22.5" customHeight="1" x14ac:dyDescent="0.35">
      <c r="B169" s="255" t="s">
        <v>874</v>
      </c>
      <c r="C169" s="255"/>
      <c r="D169" s="255"/>
      <c r="E169" s="255"/>
      <c r="F169" s="255"/>
      <c r="G169" s="255"/>
      <c r="H169" s="238"/>
      <c r="I169" s="124" t="s">
        <v>877</v>
      </c>
      <c r="J169" s="124" t="s">
        <v>878</v>
      </c>
      <c r="K169" s="124" t="s">
        <v>879</v>
      </c>
    </row>
    <row r="170" spans="2:11" ht="29" x14ac:dyDescent="0.35">
      <c r="B170" s="92" t="s">
        <v>268</v>
      </c>
      <c r="C170" s="93"/>
      <c r="D170" s="92" t="s">
        <v>875</v>
      </c>
      <c r="E170" s="93"/>
      <c r="F170" s="92" t="s">
        <v>876</v>
      </c>
      <c r="G170" s="93"/>
      <c r="H170" s="238"/>
      <c r="I170" s="125" t="s">
        <v>881</v>
      </c>
      <c r="J170" s="114" t="s">
        <v>882</v>
      </c>
      <c r="K170" s="114" t="s">
        <v>883</v>
      </c>
    </row>
    <row r="171" spans="2:11" ht="26.5" x14ac:dyDescent="0.35">
      <c r="B171" s="94" t="s">
        <v>880</v>
      </c>
      <c r="C171" s="254"/>
      <c r="D171" s="254"/>
      <c r="E171" s="254"/>
      <c r="F171" s="254"/>
      <c r="G171" s="254"/>
      <c r="H171" s="238"/>
      <c r="I171" s="125" t="s">
        <v>885</v>
      </c>
      <c r="J171" s="114" t="s">
        <v>886</v>
      </c>
      <c r="K171" s="114" t="s">
        <v>887</v>
      </c>
    </row>
    <row r="172" spans="2:11" x14ac:dyDescent="0.35">
      <c r="B172" s="92" t="s">
        <v>884</v>
      </c>
      <c r="C172" s="254"/>
      <c r="D172" s="254"/>
      <c r="E172" s="254"/>
      <c r="F172" s="254"/>
      <c r="G172" s="254"/>
      <c r="H172" s="238"/>
      <c r="I172" s="125" t="s">
        <v>889</v>
      </c>
      <c r="J172" s="114" t="s">
        <v>890</v>
      </c>
      <c r="K172" s="114" t="s">
        <v>891</v>
      </c>
    </row>
    <row r="173" spans="2:11" ht="26.5" x14ac:dyDescent="0.35">
      <c r="B173" s="94" t="s">
        <v>888</v>
      </c>
      <c r="C173" s="254"/>
      <c r="D173" s="254"/>
      <c r="E173" s="254"/>
      <c r="F173" s="254"/>
      <c r="G173" s="254"/>
      <c r="H173" s="238"/>
      <c r="I173" s="125" t="s">
        <v>894</v>
      </c>
      <c r="J173" s="114" t="s">
        <v>895</v>
      </c>
      <c r="K173" s="114" t="s">
        <v>896</v>
      </c>
    </row>
    <row r="174" spans="2:11" ht="26.5" x14ac:dyDescent="0.35">
      <c r="B174" s="92" t="s">
        <v>892</v>
      </c>
      <c r="C174" s="256" t="s">
        <v>1051</v>
      </c>
      <c r="D174" s="257"/>
      <c r="E174" s="257"/>
      <c r="F174" s="257"/>
      <c r="G174" s="257"/>
      <c r="H174" s="238"/>
      <c r="I174" s="125" t="s">
        <v>898</v>
      </c>
      <c r="J174" s="114" t="s">
        <v>899</v>
      </c>
      <c r="K174" s="114" t="s">
        <v>900</v>
      </c>
    </row>
    <row r="175" spans="2:11" x14ac:dyDescent="0.35">
      <c r="B175" s="92" t="s">
        <v>897</v>
      </c>
      <c r="C175" s="254"/>
      <c r="D175" s="254"/>
      <c r="E175" s="254"/>
      <c r="F175" s="254"/>
      <c r="G175" s="254"/>
      <c r="H175" s="238"/>
      <c r="I175" s="125" t="s">
        <v>904</v>
      </c>
      <c r="J175" s="114" t="s">
        <v>905</v>
      </c>
      <c r="K175" s="114" t="s">
        <v>906</v>
      </c>
    </row>
    <row r="176" spans="2:11" ht="29" x14ac:dyDescent="0.35">
      <c r="B176" s="94" t="s">
        <v>901</v>
      </c>
      <c r="C176" s="93"/>
      <c r="D176" s="92" t="s">
        <v>902</v>
      </c>
      <c r="E176" s="93"/>
      <c r="F176" s="92" t="s">
        <v>903</v>
      </c>
      <c r="G176" s="93"/>
      <c r="H176" s="238"/>
      <c r="I176" s="125" t="s">
        <v>910</v>
      </c>
      <c r="J176" s="114" t="s">
        <v>911</v>
      </c>
      <c r="K176" s="114" t="s">
        <v>912</v>
      </c>
    </row>
    <row r="177" spans="2:11" ht="29" x14ac:dyDescent="0.35">
      <c r="B177" s="92" t="s">
        <v>907</v>
      </c>
      <c r="C177" s="93"/>
      <c r="D177" s="92" t="s">
        <v>908</v>
      </c>
      <c r="E177" s="93"/>
      <c r="F177" s="92" t="s">
        <v>909</v>
      </c>
      <c r="G177" s="93"/>
      <c r="H177" s="238"/>
      <c r="I177" s="125" t="s">
        <v>916</v>
      </c>
      <c r="J177" s="114" t="s">
        <v>917</v>
      </c>
      <c r="K177" s="114" t="s">
        <v>918</v>
      </c>
    </row>
    <row r="178" spans="2:11" x14ac:dyDescent="0.35">
      <c r="B178" s="94" t="s">
        <v>913</v>
      </c>
      <c r="C178" s="93"/>
      <c r="D178" s="92" t="s">
        <v>914</v>
      </c>
      <c r="E178" s="93"/>
      <c r="F178" s="92" t="s">
        <v>915</v>
      </c>
      <c r="G178" s="93"/>
      <c r="H178" s="238"/>
    </row>
    <row r="179" spans="2:11" x14ac:dyDescent="0.35">
      <c r="B179" s="92" t="s">
        <v>919</v>
      </c>
      <c r="C179" s="254"/>
      <c r="D179" s="254"/>
      <c r="E179" s="254"/>
      <c r="F179" s="254"/>
      <c r="G179" s="254"/>
      <c r="H179" s="238"/>
      <c r="I179" s="238"/>
      <c r="J179" s="238"/>
      <c r="K179" s="238"/>
    </row>
    <row r="180" spans="2:11" x14ac:dyDescent="0.35">
      <c r="B180" s="94" t="s">
        <v>920</v>
      </c>
      <c r="C180" s="254"/>
      <c r="D180" s="254"/>
      <c r="E180" s="254"/>
      <c r="F180" s="254"/>
      <c r="G180" s="254"/>
      <c r="H180" s="238"/>
    </row>
    <row r="181" spans="2:11" ht="29" x14ac:dyDescent="0.35">
      <c r="B181" s="92" t="s">
        <v>921</v>
      </c>
      <c r="C181" s="254"/>
      <c r="D181" s="254"/>
      <c r="E181" s="254"/>
      <c r="F181" s="254"/>
      <c r="G181" s="254"/>
      <c r="H181" s="238"/>
    </row>
  </sheetData>
  <mergeCells count="52">
    <mergeCell ref="C166:G166"/>
    <mergeCell ref="C167:G167"/>
    <mergeCell ref="B2:G2"/>
    <mergeCell ref="B3:G3"/>
    <mergeCell ref="B4:G4"/>
    <mergeCell ref="C5:E5"/>
    <mergeCell ref="C6:E6"/>
    <mergeCell ref="C7:E7"/>
    <mergeCell ref="C8:E8"/>
    <mergeCell ref="C9:E9"/>
    <mergeCell ref="C10:E10"/>
    <mergeCell ref="C11:E11"/>
    <mergeCell ref="C154:G154"/>
    <mergeCell ref="C155:G155"/>
    <mergeCell ref="B157:G157"/>
    <mergeCell ref="C17:E17"/>
    <mergeCell ref="C18:E18"/>
    <mergeCell ref="B98:G98"/>
    <mergeCell ref="B57:C57"/>
    <mergeCell ref="B77:F77"/>
    <mergeCell ref="C21:E21"/>
    <mergeCell ref="C22:E22"/>
    <mergeCell ref="C23:E23"/>
    <mergeCell ref="C24:E24"/>
    <mergeCell ref="C26:E26"/>
    <mergeCell ref="C27:E27"/>
    <mergeCell ref="C28:E28"/>
    <mergeCell ref="C175:G175"/>
    <mergeCell ref="C179:G179"/>
    <mergeCell ref="C180:G180"/>
    <mergeCell ref="C181:G181"/>
    <mergeCell ref="B169:G169"/>
    <mergeCell ref="C171:G171"/>
    <mergeCell ref="C172:G172"/>
    <mergeCell ref="C173:G173"/>
    <mergeCell ref="C174:G174"/>
    <mergeCell ref="C15:E15"/>
    <mergeCell ref="C19:E19"/>
    <mergeCell ref="C20:E20"/>
    <mergeCell ref="C164:G164"/>
    <mergeCell ref="C165:G165"/>
    <mergeCell ref="C159:G159"/>
    <mergeCell ref="C160:G160"/>
    <mergeCell ref="C161:G161"/>
    <mergeCell ref="C162:G162"/>
    <mergeCell ref="B147:G147"/>
    <mergeCell ref="C149:G149"/>
    <mergeCell ref="C150:G150"/>
    <mergeCell ref="C151:G151"/>
    <mergeCell ref="C163:G163"/>
    <mergeCell ref="C152:G152"/>
    <mergeCell ref="C153:G153"/>
  </mergeCells>
  <dataValidations count="7">
    <dataValidation type="list" allowBlank="1" sqref="F33:F37 F40:F46 F49:F51 F54:F55" xr:uid="{00000000-0002-0000-0600-000003000000}">
      <formula1>"Alta,Media,Baja,Sin mejora"</formula1>
      <formula2>0</formula2>
    </dataValidation>
    <dataValidation type="list" allowBlank="1" sqref="C100:C121" xr:uid="{00000000-0002-0000-0600-000004000000}">
      <formula1>"Sí,No,Parcial"</formula1>
      <formula2>0</formula2>
    </dataValidation>
    <dataValidation type="list" allowBlank="1" showInputMessage="1" showErrorMessage="1" promptTitle="Seleccione herramienta" prompt="Seleccione una opción de la lista o escriba otra herramienta si aplica." sqref="C145" xr:uid="{D87451A2-972E-4EE0-9B12-8CA61A5BF3E2}">
      <formula1>"API REST,Power Automate,Zapier,Make,Azure Logic Apps,MuleSoft,Boomi,Workato,ServiceNow IntegrationHub,Jira Automation"</formula1>
    </dataValidation>
    <dataValidation type="list" allowBlank="1" showInputMessage="1" showErrorMessage="1" promptTitle="Seleccione herramienta" prompt="Seleccione una opción de la lista o escriba otra herramienta si aplica." sqref="C141" xr:uid="{1874763C-9CC2-4952-B079-D6153E887E40}">
      <formula1>"Microsoft Teams Phone,Genesys Cloud,Avaya,3CX,Cisco Webex Contact Center,Amazon Connect,Twilio Flex,Five9,NICE CXone,Talkdesk"</formula1>
    </dataValidation>
    <dataValidation allowBlank="1" sqref="C15:E15" xr:uid="{8C6F2500-D708-4D5C-AAD8-6EDBD0149062}"/>
    <dataValidation type="date" allowBlank="1" showInputMessage="1" showErrorMessage="1" sqref="C9:E9" xr:uid="{5614782A-F85F-4B83-BCB4-8D968349611A}">
      <formula1>46174</formula1>
      <formula2>46368</formula2>
    </dataValidation>
    <dataValidation allowBlank="1" showInputMessage="1" showErrorMessage="1" sqref="C7:E7" xr:uid="{588F8372-214B-4BA8-B6A0-2E81D6C2924D}"/>
  </dataValidations>
  <hyperlinks>
    <hyperlink ref="C23" r:id="rId1" xr:uid="{49080B51-FD77-40FA-A2E3-94A5169FB330}"/>
    <hyperlink ref="C5:E5" r:id="rId2" display="SURA" xr:uid="{BD32FB9E-7109-4C6B-B5DD-DCF830E710C5}"/>
  </hyperlinks>
  <pageMargins left="0.75" right="0.75" top="1" bottom="1" header="0.511811023622047" footer="0.511811023622047"/>
  <pageSetup paperSize="9" orientation="portrait" horizontalDpi="300" verticalDpi="300"/>
  <drawing r:id="rId3"/>
  <legacyDrawing r:id="rId4"/>
  <extLst>
    <ext xmlns:x14="http://schemas.microsoft.com/office/spreadsheetml/2009/9/main" uri="{CCE6A557-97BC-4b89-ADB6-D9C93CAAB3DF}">
      <x14:dataValidations xmlns:xm="http://schemas.microsoft.com/office/excel/2006/main" count="23">
        <x14:dataValidation type="list" allowBlank="1" xr:uid="{D211837E-281D-424E-8849-C7861C0FAC8C}">
          <x14:formula1>
            <xm:f>Listas!$D$5:$D$11</xm:f>
          </x14:formula1>
          <x14:formula2>
            <xm:f>0</xm:f>
          </x14:formula2>
          <xm:sqref>C13 C16</xm:sqref>
        </x14:dataValidation>
        <x14:dataValidation type="list" allowBlank="1" xr:uid="{00000000-0002-0000-0600-000002000000}">
          <x14:formula1>
            <xm:f>Listas!$B$5:$B$9</xm:f>
          </x14:formula1>
          <x14:formula2>
            <xm:f>0</xm:f>
          </x14:formula2>
          <xm:sqref>D33:D37 D40:D46 D49:D51 D54:D55</xm:sqref>
        </x14:dataValidation>
        <x14:dataValidation type="list" allowBlank="1" xr:uid="{00000000-0002-0000-0600-000005000000}">
          <x14:formula1>
            <xm:f>Listas!$F$5:$F$8</xm:f>
          </x14:formula1>
          <x14:formula2>
            <xm:f>0</xm:f>
          </x14:formula2>
          <xm:sqref>F100:F117</xm:sqref>
        </x14:dataValidation>
        <x14:dataValidation type="list" allowBlank="1" xr:uid="{00000000-0002-0000-0600-000006000000}">
          <x14:formula1>
            <xm:f>Listas!$L$5:$L$8</xm:f>
          </x14:formula1>
          <x14:formula2>
            <xm:f>0</xm:f>
          </x14:formula2>
          <xm:sqref>C163</xm:sqref>
        </x14:dataValidation>
        <x14:dataValidation type="list" allowBlank="1" showInputMessage="1" showErrorMessage="1" xr:uid="{E8149322-C574-437B-B577-B5CE8725B936}">
          <x14:formula1>
            <xm:f>Listas!$N$5:$N$11</xm:f>
          </x14:formula1>
          <xm:sqref>C5:E5</xm:sqref>
        </x14:dataValidation>
        <x14:dataValidation type="list" allowBlank="1" showInputMessage="1" showErrorMessage="1" xr:uid="{FE17F82F-65E2-40EC-B979-3C44F4C07558}">
          <x14:formula1>
            <xm:f>Listas!$P$5:$P$9</xm:f>
          </x14:formula1>
          <xm:sqref>F136:F145</xm:sqref>
        </x14:dataValidation>
        <x14:dataValidation type="list" allowBlank="1" showInputMessage="1" showErrorMessage="1" xr:uid="{32225A3D-8DFC-4E67-9849-BE67EA0FA541}">
          <x14:formula1>
            <xm:f>Listas!$R$5:$R$8</xm:f>
          </x14:formula1>
          <xm:sqref>D136:D145</xm:sqref>
        </x14:dataValidation>
        <x14:dataValidation type="list" allowBlank="1" showInputMessage="1" showErrorMessage="1" promptTitle="Seleccione herramienta" prompt="Seleccione una opción de la lista o escriba otra herramienta si aplica." xr:uid="{54006033-51B6-4681-B44E-CF4BA5DF8156}">
          <x14:formula1>
            <xm:f>Listas!$J$21:$J$35</xm:f>
          </x14:formula1>
          <xm:sqref>C144</xm:sqref>
        </x14:dataValidation>
        <x14:dataValidation type="list" allowBlank="1" showInputMessage="1" showErrorMessage="1" promptTitle="Seleccione herramienta" prompt="Seleccione una opción de la lista o escriba otra herramienta si aplica." xr:uid="{78BAAC6B-F976-4C5B-9B8F-665D7387CDC4}">
          <x14:formula1>
            <xm:f>Listas!$L$21:$L$35</xm:f>
          </x14:formula1>
          <xm:sqref>C143</xm:sqref>
        </x14:dataValidation>
        <x14:dataValidation type="list" allowBlank="1" showInputMessage="1" showErrorMessage="1" promptTitle="Seleccione herramienta" prompt="Seleccione una opción de la lista o escriba otra herramienta si aplica." xr:uid="{47FE625C-3914-4E92-B003-000F2CB28B65}">
          <x14:formula1>
            <xm:f>Listas!$H$21:$H$35</xm:f>
          </x14:formula1>
          <xm:sqref>C142</xm:sqref>
        </x14:dataValidation>
        <x14:dataValidation type="list" allowBlank="1" showInputMessage="1" showErrorMessage="1" promptTitle="Seleccione herramienta" prompt="Seleccione una opción de la lista o escriba otra herramienta si aplica." xr:uid="{A80788E3-C33C-4192-913C-AF383C4FADF0}">
          <x14:formula1>
            <xm:f>Listas!$N$21:$N$35</xm:f>
          </x14:formula1>
          <xm:sqref>C140</xm:sqref>
        </x14:dataValidation>
        <x14:dataValidation type="list" allowBlank="1" showInputMessage="1" showErrorMessage="1" promptTitle="Seleccione herramienta" prompt="Seleccione una opción de la lista o escriba otra herramienta si aplica." xr:uid="{FD0879D9-1A92-49D2-A7C1-44B0CB468A1F}">
          <x14:formula1>
            <xm:f>Listas!$P$21:$P$35</xm:f>
          </x14:formula1>
          <xm:sqref>C139</xm:sqref>
        </x14:dataValidation>
        <x14:dataValidation type="list" allowBlank="1" showInputMessage="1" showErrorMessage="1" promptTitle="Seleccione herramienta" prompt="Seleccione una opción de la lista o escriba otra herramienta si aplica." xr:uid="{E424FC51-DE9D-4196-BB48-F1C88DD1FF6B}">
          <x14:formula1>
            <xm:f>Listas!$F$21:$F$35</xm:f>
          </x14:formula1>
          <xm:sqref>C138</xm:sqref>
        </x14:dataValidation>
        <x14:dataValidation type="list" allowBlank="1" showInputMessage="1" showErrorMessage="1" promptTitle="Seleccione herramienta" prompt="Seleccione una opción de la lista o escriba otra herramienta si aplica." xr:uid="{7F35B527-B538-48A5-A0B9-282DCBA6A94D}">
          <x14:formula1>
            <xm:f>Listas!$D$21:$D$35</xm:f>
          </x14:formula1>
          <xm:sqref>C137</xm:sqref>
        </x14:dataValidation>
        <x14:dataValidation type="list" allowBlank="1" showInputMessage="1" showErrorMessage="1" promptTitle="Seleccione herramienta" prompt="Seleccione una opción de la lista o escriba otra herramienta si aplica." xr:uid="{8098B548-44C4-4410-BAE3-F040578C17D8}">
          <x14:formula1>
            <xm:f>Listas!$B$21:$B$35</xm:f>
          </x14:formula1>
          <xm:sqref>C136</xm:sqref>
        </x14:dataValidation>
        <x14:dataValidation type="list" allowBlank="1" showInputMessage="1" showErrorMessage="1" xr:uid="{A7D6D034-A4CD-4F0E-ACBD-E3A595245970}">
          <x14:formula1>
            <xm:f>Listas!$J$45:$J$49</xm:f>
          </x14:formula1>
          <xm:sqref>C96:D96</xm:sqref>
        </x14:dataValidation>
        <x14:dataValidation type="list" allowBlank="1" showInputMessage="1" showErrorMessage="1" xr:uid="{750047AE-F335-446B-8CBE-11A75FD0FC52}">
          <x14:formula1>
            <xm:f>Listas!$H$45:$H$48</xm:f>
          </x14:formula1>
          <xm:sqref>C95:D95</xm:sqref>
        </x14:dataValidation>
        <x14:dataValidation type="list" allowBlank="1" showInputMessage="1" showErrorMessage="1" xr:uid="{DF5BBF76-3B68-41DC-821B-99B1377A0F73}">
          <x14:formula1>
            <xm:f>Listas!$F$45:$F$52</xm:f>
          </x14:formula1>
          <xm:sqref>C92:D92</xm:sqref>
        </x14:dataValidation>
        <x14:dataValidation type="list" allowBlank="1" showInputMessage="1" showErrorMessage="1" xr:uid="{4B60CDB3-4EA0-4F3F-A898-D9E9F9189A41}">
          <x14:formula1>
            <xm:f>Listas!$D$45:$D$49</xm:f>
          </x14:formula1>
          <xm:sqref>C91:D91</xm:sqref>
        </x14:dataValidation>
        <x14:dataValidation type="list" allowBlank="1" showInputMessage="1" showErrorMessage="1" xr:uid="{1449A359-EB91-49D7-B093-DD977F4B8167}">
          <x14:formula1>
            <xm:f>Listas!$B$45:$B$48</xm:f>
          </x14:formula1>
          <xm:sqref>C90:D90</xm:sqref>
        </x14:dataValidation>
        <x14:dataValidation type="list" allowBlank="1" showInputMessage="1" showErrorMessage="1" xr:uid="{99CDD5B4-436B-4BF7-BDFB-CE9964383DE3}">
          <x14:formula1>
            <xm:f>Listas!$B$53:$B$58</xm:f>
          </x14:formula1>
          <xm:sqref>C131</xm:sqref>
        </x14:dataValidation>
        <x14:dataValidation type="list" allowBlank="1" showInputMessage="1" showErrorMessage="1" xr:uid="{29E2A442-39C8-434C-B83B-9D70B9B8A582}">
          <x14:formula1>
            <xm:f>Listas!$B$12:$B$17</xm:f>
          </x14:formula1>
          <xm:sqref>C14</xm:sqref>
        </x14:dataValidation>
        <x14:dataValidation type="list" allowBlank="1" xr:uid="{A11C2043-99B5-4EA8-BAAE-9DC86965211D}">
          <x14:formula1>
            <xm:f>Listas!$H$5:$H$10</xm:f>
          </x14:formula1>
          <x14:formula2>
            <xm:f>0</xm:f>
          </x14:formula2>
          <xm:sqref>C12</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C1505-891B-471E-9D99-94E6559FE66E}">
  <sheetPr>
    <tabColor rgb="FF1F7A4D"/>
  </sheetPr>
  <dimension ref="B1:K181"/>
  <sheetViews>
    <sheetView showGridLines="0" zoomScaleNormal="100" workbookViewId="0">
      <pane xSplit="2" ySplit="2" topLeftCell="C3" activePane="bottomRight" state="frozen"/>
      <selection pane="topRight" activeCell="C1" sqref="C1"/>
      <selection pane="bottomLeft" activeCell="A3" sqref="A3"/>
      <selection pane="bottomRight" activeCell="C104" sqref="C104"/>
    </sheetView>
  </sheetViews>
  <sheetFormatPr baseColWidth="10" defaultColWidth="8.54296875" defaultRowHeight="14.5" x14ac:dyDescent="0.35"/>
  <cols>
    <col min="1" max="1" width="3" style="1" customWidth="1"/>
    <col min="2" max="2" width="39.453125" style="1" customWidth="1"/>
    <col min="3" max="3" width="47.54296875" style="1" customWidth="1"/>
    <col min="4" max="4" width="37" style="1" customWidth="1"/>
    <col min="5" max="5" width="40" style="1" customWidth="1"/>
    <col min="6" max="6" width="21.26953125" style="1" customWidth="1"/>
    <col min="7" max="7" width="27.81640625" style="1" customWidth="1"/>
    <col min="8" max="8" width="8.54296875" style="1"/>
    <col min="9" max="9" width="12.26953125" style="1" customWidth="1"/>
    <col min="10" max="10" width="31" style="1" customWidth="1"/>
    <col min="11" max="11" width="40.54296875" style="1" customWidth="1"/>
    <col min="12" max="16384" width="8.54296875" style="1"/>
  </cols>
  <sheetData>
    <row r="1" spans="2:11" ht="7.5" customHeight="1" x14ac:dyDescent="0.35"/>
    <row r="2" spans="2:11" ht="30" customHeight="1" x14ac:dyDescent="0.35">
      <c r="B2" s="369" t="s">
        <v>1052</v>
      </c>
      <c r="C2" s="369"/>
      <c r="D2" s="369"/>
      <c r="E2" s="369"/>
      <c r="F2" s="369"/>
      <c r="G2" s="369"/>
    </row>
    <row r="3" spans="2:11" ht="15.5" x14ac:dyDescent="0.35">
      <c r="I3" s="62" t="s">
        <v>60</v>
      </c>
      <c r="J3" s="62"/>
      <c r="K3" s="62"/>
    </row>
    <row r="4" spans="2:11" ht="24" customHeight="1" x14ac:dyDescent="0.35">
      <c r="B4" s="384" t="s">
        <v>647</v>
      </c>
      <c r="C4" s="384"/>
      <c r="D4" s="384"/>
      <c r="E4" s="384"/>
      <c r="F4" s="258"/>
      <c r="G4" s="258"/>
      <c r="I4" s="6" t="s">
        <v>61</v>
      </c>
      <c r="J4" s="6" t="s">
        <v>62</v>
      </c>
      <c r="K4" s="6" t="s">
        <v>22</v>
      </c>
    </row>
    <row r="5" spans="2:11" ht="17" x14ac:dyDescent="0.35">
      <c r="B5" s="37" t="s">
        <v>648</v>
      </c>
      <c r="C5" s="371" t="s">
        <v>248</v>
      </c>
      <c r="D5" s="371"/>
      <c r="E5" s="371"/>
      <c r="F5" s="91"/>
      <c r="G5" s="91"/>
      <c r="I5" s="17" t="s">
        <v>63</v>
      </c>
      <c r="J5" s="18" t="s">
        <v>64</v>
      </c>
      <c r="K5" s="63" t="s">
        <v>65</v>
      </c>
    </row>
    <row r="6" spans="2:11" ht="15.75" customHeight="1" x14ac:dyDescent="0.35">
      <c r="B6" s="37" t="s">
        <v>649</v>
      </c>
      <c r="C6" s="252" t="s">
        <v>1053</v>
      </c>
      <c r="D6" s="252"/>
      <c r="E6" s="390"/>
      <c r="F6" s="91"/>
      <c r="G6" s="91"/>
      <c r="I6" s="19" t="s">
        <v>66</v>
      </c>
      <c r="J6" s="122" t="s">
        <v>67</v>
      </c>
      <c r="K6" s="63" t="s">
        <v>68</v>
      </c>
    </row>
    <row r="7" spans="2:11" ht="15.75" customHeight="1" x14ac:dyDescent="0.35">
      <c r="B7" s="37" t="s">
        <v>651</v>
      </c>
      <c r="C7" s="373" t="s">
        <v>1054</v>
      </c>
      <c r="D7" s="373"/>
      <c r="E7" s="385"/>
      <c r="F7" s="91"/>
      <c r="G7" s="91"/>
      <c r="I7" s="20" t="s">
        <v>69</v>
      </c>
      <c r="J7" s="122" t="s">
        <v>70</v>
      </c>
      <c r="K7" s="63" t="s">
        <v>71</v>
      </c>
    </row>
    <row r="8" spans="2:11" ht="15.75" customHeight="1" x14ac:dyDescent="0.35">
      <c r="B8" s="37" t="s">
        <v>653</v>
      </c>
      <c r="C8" s="252" t="s">
        <v>926</v>
      </c>
      <c r="D8" s="252"/>
      <c r="E8" s="390"/>
      <c r="F8" s="91"/>
      <c r="G8" s="91"/>
      <c r="I8" s="21" t="s">
        <v>72</v>
      </c>
      <c r="J8" s="122" t="s">
        <v>73</v>
      </c>
      <c r="K8" s="63" t="s">
        <v>74</v>
      </c>
    </row>
    <row r="9" spans="2:11" ht="15.75" customHeight="1" x14ac:dyDescent="0.35">
      <c r="B9" s="37" t="s">
        <v>655</v>
      </c>
      <c r="C9" s="263">
        <v>46211</v>
      </c>
      <c r="D9" s="264"/>
      <c r="E9" s="264"/>
      <c r="F9" s="91"/>
      <c r="G9" s="91"/>
      <c r="I9" s="22" t="s">
        <v>75</v>
      </c>
      <c r="J9" s="122" t="s">
        <v>76</v>
      </c>
      <c r="K9" s="63" t="s">
        <v>77</v>
      </c>
    </row>
    <row r="10" spans="2:11" x14ac:dyDescent="0.35">
      <c r="B10" s="37" t="s">
        <v>656</v>
      </c>
      <c r="C10" s="386" t="s">
        <v>657</v>
      </c>
      <c r="D10" s="386"/>
      <c r="E10" s="387"/>
      <c r="F10" s="91"/>
      <c r="G10" s="91"/>
    </row>
    <row r="11" spans="2:11" x14ac:dyDescent="0.35">
      <c r="B11" s="37" t="s">
        <v>658</v>
      </c>
      <c r="C11" s="252">
        <v>6</v>
      </c>
      <c r="D11" s="252"/>
      <c r="E11" s="390"/>
      <c r="F11" s="91"/>
      <c r="G11" s="91"/>
      <c r="I11" s="6" t="s">
        <v>659</v>
      </c>
      <c r="J11" s="6" t="s">
        <v>292</v>
      </c>
      <c r="K11" s="6" t="s">
        <v>660</v>
      </c>
    </row>
    <row r="12" spans="2:11" ht="26.25" customHeight="1" x14ac:dyDescent="0.35">
      <c r="B12" s="133" t="s">
        <v>661</v>
      </c>
      <c r="C12" s="126" t="s">
        <v>272</v>
      </c>
      <c r="D12" s="127"/>
      <c r="E12" s="127"/>
      <c r="F12" s="91"/>
      <c r="G12" s="91"/>
      <c r="I12" s="18" t="s">
        <v>662</v>
      </c>
      <c r="J12" s="63" t="s">
        <v>663</v>
      </c>
      <c r="K12" s="63" t="s">
        <v>664</v>
      </c>
    </row>
    <row r="13" spans="2:11" ht="18" customHeight="1" x14ac:dyDescent="0.35">
      <c r="B13" s="37" t="s">
        <v>665</v>
      </c>
      <c r="C13" s="140" t="s">
        <v>69</v>
      </c>
      <c r="D13" s="141" t="s">
        <v>666</v>
      </c>
      <c r="E13" s="70"/>
      <c r="F13" s="91"/>
      <c r="G13" s="91"/>
      <c r="I13" s="122" t="s">
        <v>667</v>
      </c>
      <c r="J13" s="63" t="s">
        <v>668</v>
      </c>
      <c r="K13" s="63" t="s">
        <v>669</v>
      </c>
    </row>
    <row r="14" spans="2:11" ht="16.5" customHeight="1" x14ac:dyDescent="0.35">
      <c r="B14" s="133" t="s">
        <v>670</v>
      </c>
      <c r="C14" s="198" t="s">
        <v>296</v>
      </c>
      <c r="D14" s="141"/>
      <c r="E14" s="70"/>
      <c r="F14" s="91"/>
      <c r="G14" s="91"/>
      <c r="I14" s="122" t="s">
        <v>672</v>
      </c>
      <c r="J14" s="63" t="s">
        <v>673</v>
      </c>
      <c r="K14" s="63" t="s">
        <v>674</v>
      </c>
    </row>
    <row r="15" spans="2:11" x14ac:dyDescent="0.35">
      <c r="B15" s="37" t="s">
        <v>675</v>
      </c>
      <c r="C15" s="388"/>
      <c r="D15" s="389" t="s">
        <v>666</v>
      </c>
      <c r="E15" s="389"/>
      <c r="F15" s="91"/>
      <c r="G15" s="91"/>
    </row>
    <row r="16" spans="2:11" ht="18.5" x14ac:dyDescent="0.35">
      <c r="B16" s="37" t="s">
        <v>677</v>
      </c>
      <c r="C16" s="38" t="s">
        <v>432</v>
      </c>
      <c r="D16" s="134"/>
      <c r="F16" s="91"/>
      <c r="G16" s="91"/>
    </row>
    <row r="17" spans="2:7" x14ac:dyDescent="0.35">
      <c r="B17" s="37" t="s">
        <v>678</v>
      </c>
      <c r="C17" s="252" t="s">
        <v>679</v>
      </c>
      <c r="D17" s="252"/>
      <c r="E17" s="390"/>
      <c r="F17" s="91"/>
      <c r="G17" s="91"/>
    </row>
    <row r="18" spans="2:7" ht="41.25" customHeight="1" x14ac:dyDescent="0.35">
      <c r="B18" s="37" t="s">
        <v>680</v>
      </c>
      <c r="C18" s="252" t="s">
        <v>1055</v>
      </c>
      <c r="D18" s="252"/>
      <c r="E18" s="390"/>
      <c r="F18" s="91"/>
      <c r="G18" s="91"/>
    </row>
    <row r="19" spans="2:7" x14ac:dyDescent="0.35">
      <c r="B19" s="37" t="s">
        <v>682</v>
      </c>
      <c r="C19" s="252" t="s">
        <v>1056</v>
      </c>
      <c r="D19" s="252"/>
      <c r="E19" s="390"/>
      <c r="F19" s="91"/>
      <c r="G19" s="91"/>
    </row>
    <row r="20" spans="2:7" x14ac:dyDescent="0.35">
      <c r="B20" s="37" t="s">
        <v>930</v>
      </c>
      <c r="C20" s="252" t="s">
        <v>1040</v>
      </c>
      <c r="D20" s="252"/>
      <c r="E20" s="390"/>
      <c r="F20" s="91"/>
      <c r="G20" s="91"/>
    </row>
    <row r="21" spans="2:7" ht="15" x14ac:dyDescent="0.35">
      <c r="B21" s="37" t="s">
        <v>686</v>
      </c>
      <c r="C21" s="252" t="s">
        <v>1041</v>
      </c>
      <c r="D21" s="252"/>
      <c r="E21" s="390"/>
      <c r="F21" s="91"/>
      <c r="G21" s="91"/>
    </row>
    <row r="22" spans="2:7" x14ac:dyDescent="0.35">
      <c r="B22" s="37" t="s">
        <v>688</v>
      </c>
      <c r="C22" s="252"/>
      <c r="D22" s="252"/>
      <c r="E22" s="390"/>
      <c r="F22" s="91"/>
      <c r="G22" s="91"/>
    </row>
    <row r="23" spans="2:7" x14ac:dyDescent="0.35">
      <c r="B23" s="37" t="s">
        <v>690</v>
      </c>
      <c r="C23" s="351" t="s">
        <v>933</v>
      </c>
      <c r="D23" s="252"/>
      <c r="E23" s="390"/>
      <c r="F23" s="91"/>
      <c r="G23" s="91"/>
    </row>
    <row r="24" spans="2:7" ht="15" x14ac:dyDescent="0.35">
      <c r="B24" s="37" t="s">
        <v>692</v>
      </c>
      <c r="C24" s="391" t="s">
        <v>934</v>
      </c>
      <c r="D24" s="392"/>
      <c r="E24" s="393"/>
      <c r="F24" s="91"/>
      <c r="G24" s="91"/>
    </row>
    <row r="25" spans="2:7" x14ac:dyDescent="0.35">
      <c r="B25" s="37" t="s">
        <v>935</v>
      </c>
      <c r="C25" s="174"/>
      <c r="D25" s="174"/>
      <c r="E25" s="174"/>
      <c r="F25" s="91"/>
      <c r="G25" s="91"/>
    </row>
    <row r="26" spans="2:7" x14ac:dyDescent="0.35">
      <c r="B26" s="37" t="s">
        <v>936</v>
      </c>
      <c r="C26" s="252" t="s">
        <v>937</v>
      </c>
      <c r="D26" s="252"/>
      <c r="E26" s="253"/>
      <c r="F26" s="91"/>
      <c r="G26" s="91"/>
    </row>
    <row r="27" spans="2:7" x14ac:dyDescent="0.35">
      <c r="B27" s="199" t="s">
        <v>938</v>
      </c>
      <c r="C27" s="252"/>
      <c r="D27" s="252"/>
      <c r="E27" s="253"/>
      <c r="F27" s="91"/>
      <c r="G27" s="91"/>
    </row>
    <row r="28" spans="2:7" x14ac:dyDescent="0.35">
      <c r="B28" s="199" t="s">
        <v>698</v>
      </c>
      <c r="C28" s="252"/>
      <c r="D28" s="252"/>
      <c r="E28" s="253"/>
      <c r="F28" s="91"/>
      <c r="G28" s="91"/>
    </row>
    <row r="30" spans="2:7" ht="24" customHeight="1" x14ac:dyDescent="0.35">
      <c r="B30" s="100" t="s">
        <v>699</v>
      </c>
      <c r="C30" s="100"/>
      <c r="D30" s="100"/>
      <c r="E30" s="100"/>
      <c r="F30" s="100"/>
    </row>
    <row r="31" spans="2:7" ht="27.75" customHeight="1" x14ac:dyDescent="0.35">
      <c r="B31" s="6" t="s">
        <v>19</v>
      </c>
      <c r="C31" s="6" t="s">
        <v>700</v>
      </c>
      <c r="D31" s="6" t="s">
        <v>701</v>
      </c>
      <c r="E31" s="6" t="s">
        <v>702</v>
      </c>
      <c r="F31" s="6" t="s">
        <v>703</v>
      </c>
    </row>
    <row r="32" spans="2:7" ht="21.75" customHeight="1" x14ac:dyDescent="0.35">
      <c r="B32" s="170" t="s">
        <v>704</v>
      </c>
      <c r="C32" s="170"/>
      <c r="D32" s="170"/>
      <c r="E32" s="170"/>
      <c r="F32" s="170"/>
    </row>
    <row r="33" spans="2:6" ht="27.75" customHeight="1" x14ac:dyDescent="0.35">
      <c r="B33" s="40" t="s">
        <v>939</v>
      </c>
      <c r="C33" s="65" t="s">
        <v>705</v>
      </c>
      <c r="D33" s="26" t="s">
        <v>89</v>
      </c>
      <c r="E33" s="5" t="s">
        <v>940</v>
      </c>
      <c r="F33" s="36" t="s">
        <v>277</v>
      </c>
    </row>
    <row r="34" spans="2:6" ht="27.75" customHeight="1" x14ac:dyDescent="0.35">
      <c r="B34" s="41" t="s">
        <v>941</v>
      </c>
      <c r="C34" s="66" t="s">
        <v>706</v>
      </c>
      <c r="D34" s="26" t="s">
        <v>89</v>
      </c>
      <c r="E34" s="5" t="s">
        <v>942</v>
      </c>
      <c r="F34" s="36" t="s">
        <v>271</v>
      </c>
    </row>
    <row r="35" spans="2:6" ht="27.75" customHeight="1" x14ac:dyDescent="0.35">
      <c r="B35" s="40" t="s">
        <v>943</v>
      </c>
      <c r="C35" s="65" t="s">
        <v>707</v>
      </c>
      <c r="D35" s="26" t="s">
        <v>93</v>
      </c>
      <c r="E35" s="5" t="s">
        <v>944</v>
      </c>
      <c r="F35" s="36" t="s">
        <v>277</v>
      </c>
    </row>
    <row r="36" spans="2:6" ht="27.75" customHeight="1" x14ac:dyDescent="0.35">
      <c r="B36" s="41" t="s">
        <v>945</v>
      </c>
      <c r="C36" s="66" t="s">
        <v>708</v>
      </c>
      <c r="D36" s="26" t="s">
        <v>89</v>
      </c>
      <c r="E36" s="5" t="s">
        <v>946</v>
      </c>
      <c r="F36" s="36" t="s">
        <v>277</v>
      </c>
    </row>
    <row r="37" spans="2:6" ht="27.75" customHeight="1" x14ac:dyDescent="0.35">
      <c r="B37" s="40" t="s">
        <v>947</v>
      </c>
      <c r="C37" s="65" t="s">
        <v>709</v>
      </c>
      <c r="D37" s="26" t="s">
        <v>89</v>
      </c>
      <c r="E37" s="5" t="s">
        <v>948</v>
      </c>
      <c r="F37" s="36" t="s">
        <v>277</v>
      </c>
    </row>
    <row r="39" spans="2:6" ht="21.75" customHeight="1" x14ac:dyDescent="0.35">
      <c r="B39" s="129" t="s">
        <v>711</v>
      </c>
      <c r="C39" s="129"/>
      <c r="D39" s="129"/>
      <c r="E39" s="129"/>
      <c r="F39" s="129"/>
    </row>
    <row r="40" spans="2:6" ht="27.75" customHeight="1" x14ac:dyDescent="0.35">
      <c r="B40" s="41" t="s">
        <v>949</v>
      </c>
      <c r="C40" s="66" t="s">
        <v>712</v>
      </c>
      <c r="D40" s="26" t="s">
        <v>86</v>
      </c>
      <c r="E40" s="5" t="s">
        <v>950</v>
      </c>
      <c r="F40" s="36" t="s">
        <v>277</v>
      </c>
    </row>
    <row r="41" spans="2:6" ht="27.75" customHeight="1" x14ac:dyDescent="0.35">
      <c r="B41" s="40" t="s">
        <v>951</v>
      </c>
      <c r="C41" s="65" t="s">
        <v>714</v>
      </c>
      <c r="D41" s="26" t="s">
        <v>86</v>
      </c>
      <c r="E41" s="5" t="s">
        <v>952</v>
      </c>
      <c r="F41" s="36" t="s">
        <v>277</v>
      </c>
    </row>
    <row r="42" spans="2:6" ht="27.75" customHeight="1" x14ac:dyDescent="0.35">
      <c r="B42" s="41" t="s">
        <v>953</v>
      </c>
      <c r="C42" s="66" t="s">
        <v>716</v>
      </c>
      <c r="D42" s="26" t="s">
        <v>86</v>
      </c>
      <c r="E42" s="5" t="s">
        <v>954</v>
      </c>
      <c r="F42" s="36" t="s">
        <v>271</v>
      </c>
    </row>
    <row r="43" spans="2:6" ht="27.75" customHeight="1" x14ac:dyDescent="0.35">
      <c r="B43" s="40" t="s">
        <v>955</v>
      </c>
      <c r="C43" s="65" t="s">
        <v>718</v>
      </c>
      <c r="D43" s="26" t="s">
        <v>89</v>
      </c>
      <c r="E43" s="5" t="s">
        <v>956</v>
      </c>
      <c r="F43" s="36" t="s">
        <v>277</v>
      </c>
    </row>
    <row r="44" spans="2:6" ht="43.5" x14ac:dyDescent="0.35">
      <c r="B44" s="41" t="s">
        <v>957</v>
      </c>
      <c r="C44" s="66" t="s">
        <v>719</v>
      </c>
      <c r="D44" s="26" t="s">
        <v>93</v>
      </c>
      <c r="E44" s="5"/>
      <c r="F44" s="36" t="s">
        <v>277</v>
      </c>
    </row>
    <row r="45" spans="2:6" ht="27.75" customHeight="1" x14ac:dyDescent="0.35">
      <c r="B45" s="40" t="s">
        <v>958</v>
      </c>
      <c r="C45" s="65" t="s">
        <v>721</v>
      </c>
      <c r="D45" s="26" t="s">
        <v>86</v>
      </c>
      <c r="E45" s="5" t="s">
        <v>1057</v>
      </c>
      <c r="F45" s="36" t="s">
        <v>277</v>
      </c>
    </row>
    <row r="46" spans="2:6" ht="27.75" customHeight="1" x14ac:dyDescent="0.35">
      <c r="B46" s="41" t="s">
        <v>959</v>
      </c>
      <c r="C46" s="66" t="s">
        <v>722</v>
      </c>
      <c r="D46" s="26" t="s">
        <v>89</v>
      </c>
      <c r="E46" s="5" t="s">
        <v>960</v>
      </c>
      <c r="F46" s="36" t="s">
        <v>271</v>
      </c>
    </row>
    <row r="48" spans="2:6" ht="21.75" customHeight="1" x14ac:dyDescent="0.35">
      <c r="B48" s="129" t="s">
        <v>723</v>
      </c>
      <c r="C48" s="129"/>
      <c r="D48" s="129"/>
      <c r="E48" s="129"/>
      <c r="F48" s="129"/>
    </row>
    <row r="49" spans="2:6" ht="27.75" customHeight="1" x14ac:dyDescent="0.35">
      <c r="B49" s="40" t="s">
        <v>961</v>
      </c>
      <c r="C49" s="65" t="s">
        <v>724</v>
      </c>
      <c r="D49" s="26" t="s">
        <v>86</v>
      </c>
      <c r="E49" s="5" t="s">
        <v>962</v>
      </c>
      <c r="F49" s="36" t="s">
        <v>277</v>
      </c>
    </row>
    <row r="50" spans="2:6" ht="43.5" x14ac:dyDescent="0.35">
      <c r="B50" s="41" t="s">
        <v>963</v>
      </c>
      <c r="C50" s="66" t="s">
        <v>726</v>
      </c>
      <c r="D50" s="26" t="s">
        <v>86</v>
      </c>
      <c r="E50" s="5" t="s">
        <v>964</v>
      </c>
      <c r="F50" s="36" t="s">
        <v>271</v>
      </c>
    </row>
    <row r="51" spans="2:6" ht="27.75" customHeight="1" x14ac:dyDescent="0.35">
      <c r="B51" s="40" t="s">
        <v>965</v>
      </c>
      <c r="C51" s="65" t="s">
        <v>727</v>
      </c>
      <c r="D51" s="26" t="s">
        <v>89</v>
      </c>
      <c r="E51" s="5" t="s">
        <v>966</v>
      </c>
      <c r="F51" s="36" t="s">
        <v>271</v>
      </c>
    </row>
    <row r="53" spans="2:6" ht="21.75" customHeight="1" x14ac:dyDescent="0.35">
      <c r="B53" s="129" t="s">
        <v>728</v>
      </c>
      <c r="C53" s="129"/>
      <c r="D53" s="129"/>
      <c r="E53" s="129"/>
      <c r="F53" s="129"/>
    </row>
    <row r="54" spans="2:6" ht="27.75" customHeight="1" x14ac:dyDescent="0.35">
      <c r="B54" s="41" t="s">
        <v>967</v>
      </c>
      <c r="C54" s="66" t="s">
        <v>729</v>
      </c>
      <c r="D54" s="26" t="s">
        <v>89</v>
      </c>
      <c r="E54" s="5" t="s">
        <v>968</v>
      </c>
      <c r="F54" s="36" t="s">
        <v>271</v>
      </c>
    </row>
    <row r="55" spans="2:6" ht="27.75" customHeight="1" x14ac:dyDescent="0.35">
      <c r="B55" s="40" t="s">
        <v>969</v>
      </c>
      <c r="C55" s="65" t="s">
        <v>731</v>
      </c>
      <c r="D55" s="26" t="s">
        <v>89</v>
      </c>
      <c r="E55" s="5" t="s">
        <v>970</v>
      </c>
      <c r="F55" s="36" t="s">
        <v>271</v>
      </c>
    </row>
    <row r="57" spans="2:6" ht="27.75" customHeight="1" x14ac:dyDescent="0.35">
      <c r="B57" s="260" t="s">
        <v>732</v>
      </c>
      <c r="C57" s="260"/>
      <c r="D57" s="42">
        <f>IF(D33="Sí",1,IF(D33="Parcial",0.5,0))+IF(D34="Sí",1,IF(D34="Parcial",0.5,0))+IF(D35="Sí",1,IF(D35="Parcial",0.5,0))+IF(D36="Sí",1,IF(D36="Parcial",0.5,0))+IF(D37="Sí",1,IF(D37="Parcial",0.5,0))+IF(D40="Sí",1,IF(D40="Parcial",0.5,0))+IF(D41="Sí",1,IF(D41="Parcial",0.5,0))+IF(D42="Sí",1,IF(D42="Parcial",0.5,0))+IF(D43="Sí",1,IF(D43="Parcial",0.5,0))+IF(D44="Sí",1,IF(D44="Parcial",0.5,0))+IF(D45="Sí",1,IF(D45="Parcial",0.5,0))+IF(D46="Sí",1,IF(D46="Parcial",0.5,0))+IF(D49="Sí",1,IF(D49="Parcial",0.5,0))+IF(D50="Sí",1,IF(D50="Parcial",0.5,0))+IF(D51="Sí",1,IF(D51="Parcial",0.5,0))+IF(D54="Sí",1,IF(D54="Parcial",0.5,0))+IF(D55="Sí",1,IF(D55="Parcial",0.5,0))</f>
        <v>10.5</v>
      </c>
      <c r="E57" s="43">
        <f>D57/17</f>
        <v>0.61764705882352944</v>
      </c>
    </row>
    <row r="59" spans="2:6" ht="24" customHeight="1" x14ac:dyDescent="0.35">
      <c r="B59" s="100" t="s">
        <v>733</v>
      </c>
      <c r="C59" s="100"/>
      <c r="D59" s="100"/>
      <c r="E59" s="100"/>
      <c r="F59" s="100"/>
    </row>
    <row r="60" spans="2:6" ht="21.75" customHeight="1" x14ac:dyDescent="0.35">
      <c r="B60" s="6" t="s">
        <v>464</v>
      </c>
      <c r="C60" s="6" t="s">
        <v>466</v>
      </c>
      <c r="D60" s="6" t="s">
        <v>734</v>
      </c>
      <c r="E60" s="6" t="s">
        <v>735</v>
      </c>
      <c r="F60" s="6" t="s">
        <v>736</v>
      </c>
    </row>
    <row r="61" spans="2:6" ht="21.75" customHeight="1" x14ac:dyDescent="0.35">
      <c r="B61" s="44" t="s">
        <v>467</v>
      </c>
      <c r="C61" s="200">
        <v>512</v>
      </c>
      <c r="D61" s="45"/>
      <c r="E61" s="45" t="s">
        <v>1058</v>
      </c>
      <c r="F61" s="121"/>
    </row>
    <row r="62" spans="2:6" ht="21.75" customHeight="1" x14ac:dyDescent="0.35">
      <c r="B62" s="210" t="s">
        <v>972</v>
      </c>
      <c r="C62" s="200"/>
      <c r="D62" s="45"/>
      <c r="E62" s="45"/>
      <c r="F62" s="121"/>
    </row>
    <row r="63" spans="2:6" ht="21.75" customHeight="1" x14ac:dyDescent="0.35">
      <c r="B63" s="210" t="s">
        <v>973</v>
      </c>
      <c r="C63" s="200"/>
      <c r="D63" s="45"/>
      <c r="E63" s="45"/>
      <c r="F63" s="121"/>
    </row>
    <row r="64" spans="2:6" ht="21.75" customHeight="1" x14ac:dyDescent="0.35">
      <c r="B64" s="46" t="s">
        <v>470</v>
      </c>
      <c r="C64" s="201">
        <v>333</v>
      </c>
      <c r="D64" s="47"/>
      <c r="E64" s="47" t="s">
        <v>1058</v>
      </c>
      <c r="F64" s="121"/>
    </row>
    <row r="65" spans="2:6" ht="21.75" customHeight="1" x14ac:dyDescent="0.35">
      <c r="B65" s="44" t="s">
        <v>472</v>
      </c>
      <c r="C65" s="200">
        <v>179</v>
      </c>
      <c r="D65" s="45"/>
      <c r="E65" s="45" t="s">
        <v>1058</v>
      </c>
      <c r="F65" s="121"/>
    </row>
    <row r="66" spans="2:6" ht="21.75" customHeight="1" x14ac:dyDescent="0.35">
      <c r="B66" s="46" t="s">
        <v>737</v>
      </c>
      <c r="C66" s="201" t="s">
        <v>97</v>
      </c>
      <c r="D66" s="47" t="s">
        <v>97</v>
      </c>
      <c r="E66" s="47" t="s">
        <v>1058</v>
      </c>
      <c r="F66" s="121"/>
    </row>
    <row r="67" spans="2:6" ht="21.75" customHeight="1" x14ac:dyDescent="0.35">
      <c r="B67" s="44" t="s">
        <v>475</v>
      </c>
      <c r="C67" s="202" t="s">
        <v>496</v>
      </c>
      <c r="D67" s="45" t="s">
        <v>496</v>
      </c>
      <c r="E67" s="45" t="s">
        <v>1058</v>
      </c>
      <c r="F67" s="121"/>
    </row>
    <row r="68" spans="2:6" ht="21.75" customHeight="1" x14ac:dyDescent="0.35">
      <c r="B68" s="46" t="s">
        <v>477</v>
      </c>
      <c r="C68" s="201">
        <v>2.98</v>
      </c>
      <c r="D68" s="47" t="s">
        <v>974</v>
      </c>
      <c r="E68" s="47" t="s">
        <v>1058</v>
      </c>
      <c r="F68" s="121"/>
    </row>
    <row r="69" spans="2:6" ht="21.75" customHeight="1" x14ac:dyDescent="0.35">
      <c r="B69" s="44" t="s">
        <v>257</v>
      </c>
      <c r="C69" s="202">
        <v>0.98</v>
      </c>
      <c r="D69" s="189">
        <v>0.92</v>
      </c>
      <c r="E69" s="45" t="s">
        <v>1058</v>
      </c>
      <c r="F69" s="121"/>
    </row>
    <row r="70" spans="2:6" ht="21.75" customHeight="1" x14ac:dyDescent="0.35">
      <c r="B70" s="46" t="s">
        <v>480</v>
      </c>
      <c r="C70" s="201">
        <v>9</v>
      </c>
      <c r="D70" s="47"/>
      <c r="E70" s="47" t="s">
        <v>1058</v>
      </c>
      <c r="F70" s="121"/>
    </row>
    <row r="71" spans="2:6" ht="21.75" customHeight="1" x14ac:dyDescent="0.35">
      <c r="B71" s="44" t="s">
        <v>482</v>
      </c>
      <c r="C71" s="200">
        <v>80</v>
      </c>
      <c r="D71" s="45"/>
      <c r="E71" s="45" t="s">
        <v>1058</v>
      </c>
      <c r="F71" s="121"/>
    </row>
    <row r="72" spans="2:6" ht="21.75" customHeight="1" x14ac:dyDescent="0.35">
      <c r="B72" s="46" t="s">
        <v>484</v>
      </c>
      <c r="C72" s="201" t="s">
        <v>496</v>
      </c>
      <c r="D72" s="47" t="s">
        <v>496</v>
      </c>
      <c r="E72" s="47" t="s">
        <v>1058</v>
      </c>
      <c r="F72" s="121"/>
    </row>
    <row r="73" spans="2:6" ht="21.75" customHeight="1" x14ac:dyDescent="0.35">
      <c r="B73" s="44" t="s">
        <v>486</v>
      </c>
      <c r="C73" s="200">
        <v>6</v>
      </c>
      <c r="D73" s="45"/>
      <c r="E73" s="45" t="s">
        <v>1058</v>
      </c>
      <c r="F73" s="121"/>
    </row>
    <row r="74" spans="2:6" ht="21.75" customHeight="1" x14ac:dyDescent="0.35">
      <c r="B74" s="46" t="s">
        <v>488</v>
      </c>
      <c r="C74" s="203">
        <v>0</v>
      </c>
      <c r="D74" s="188">
        <v>0</v>
      </c>
      <c r="E74" s="47" t="s">
        <v>1058</v>
      </c>
      <c r="F74" s="121"/>
    </row>
    <row r="76" spans="2:6" ht="24" customHeight="1" x14ac:dyDescent="0.35">
      <c r="B76" s="100" t="s">
        <v>37</v>
      </c>
      <c r="C76" s="100"/>
      <c r="D76" s="100"/>
      <c r="E76" s="100"/>
      <c r="F76" s="100"/>
    </row>
    <row r="77" spans="2:6" ht="24" customHeight="1" x14ac:dyDescent="0.35">
      <c r="B77" s="266" t="s">
        <v>739</v>
      </c>
      <c r="C77" s="266"/>
      <c r="D77" s="266"/>
      <c r="E77" s="266"/>
      <c r="F77" s="266"/>
    </row>
    <row r="78" spans="2:6" ht="21.75" customHeight="1" x14ac:dyDescent="0.35">
      <c r="B78" s="6" t="s">
        <v>740</v>
      </c>
      <c r="C78" s="6" t="s">
        <v>741</v>
      </c>
      <c r="D78" s="6" t="s">
        <v>742</v>
      </c>
      <c r="E78" s="6" t="s">
        <v>743</v>
      </c>
      <c r="F78" s="6" t="s">
        <v>744</v>
      </c>
    </row>
    <row r="79" spans="2:6" ht="19.5" customHeight="1" x14ac:dyDescent="0.35">
      <c r="B79" s="44" t="s">
        <v>745</v>
      </c>
      <c r="C79" s="45"/>
      <c r="D79" s="45"/>
      <c r="E79" s="45"/>
      <c r="F79" s="45"/>
    </row>
    <row r="80" spans="2:6" ht="19.5" customHeight="1" x14ac:dyDescent="0.35">
      <c r="B80" s="46" t="s">
        <v>746</v>
      </c>
      <c r="C80" s="47"/>
      <c r="D80" s="47"/>
      <c r="E80" s="47"/>
      <c r="F80" s="47"/>
    </row>
    <row r="81" spans="2:6" ht="19.5" customHeight="1" x14ac:dyDescent="0.35">
      <c r="B81" s="44" t="s">
        <v>748</v>
      </c>
      <c r="C81" s="45">
        <v>512</v>
      </c>
      <c r="D81" s="189">
        <v>1</v>
      </c>
      <c r="E81" s="45">
        <v>2.98</v>
      </c>
      <c r="F81" s="45" t="s">
        <v>1059</v>
      </c>
    </row>
    <row r="82" spans="2:6" ht="19.5" customHeight="1" x14ac:dyDescent="0.35">
      <c r="B82" s="46" t="s">
        <v>749</v>
      </c>
      <c r="C82" s="47"/>
      <c r="D82" s="47"/>
      <c r="E82" s="47"/>
      <c r="F82" s="47"/>
    </row>
    <row r="83" spans="2:6" ht="19.5" customHeight="1" x14ac:dyDescent="0.35">
      <c r="B83" s="44" t="s">
        <v>751</v>
      </c>
      <c r="C83" s="45"/>
      <c r="D83" s="45"/>
      <c r="E83" s="45"/>
      <c r="F83" s="45"/>
    </row>
    <row r="84" spans="2:6" ht="19.5" customHeight="1" x14ac:dyDescent="0.35">
      <c r="B84" s="46" t="s">
        <v>752</v>
      </c>
      <c r="C84" s="47"/>
      <c r="D84" s="47"/>
      <c r="E84" s="47"/>
      <c r="F84" s="47"/>
    </row>
    <row r="85" spans="2:6" ht="19.5" customHeight="1" x14ac:dyDescent="0.35">
      <c r="B85" s="44" t="s">
        <v>753</v>
      </c>
      <c r="C85" s="45"/>
      <c r="D85" s="45"/>
      <c r="E85" s="45"/>
      <c r="F85" s="45"/>
    </row>
    <row r="86" spans="2:6" ht="19.5" customHeight="1" x14ac:dyDescent="0.35">
      <c r="B86" s="46" t="s">
        <v>755</v>
      </c>
      <c r="C86" s="47"/>
      <c r="D86" s="47"/>
      <c r="E86" s="47"/>
      <c r="F86" s="47"/>
    </row>
    <row r="87" spans="2:6" ht="14.5" customHeight="1" x14ac:dyDescent="0.35"/>
    <row r="88" spans="2:6" ht="24" customHeight="1" x14ac:dyDescent="0.35">
      <c r="B88" s="100" t="s">
        <v>757</v>
      </c>
      <c r="C88" s="100"/>
      <c r="D88" s="100"/>
      <c r="E88" s="100"/>
      <c r="F88" s="100"/>
    </row>
    <row r="89" spans="2:6" ht="21.75" customHeight="1" x14ac:dyDescent="0.35">
      <c r="B89" s="6" t="s">
        <v>758</v>
      </c>
      <c r="C89" s="6" t="s">
        <v>466</v>
      </c>
      <c r="D89" s="6" t="s">
        <v>201</v>
      </c>
      <c r="E89" s="6" t="s">
        <v>759</v>
      </c>
      <c r="F89" s="6" t="s">
        <v>744</v>
      </c>
    </row>
    <row r="90" spans="2:6" ht="21.75" customHeight="1" x14ac:dyDescent="0.35">
      <c r="B90" s="14" t="s">
        <v>760</v>
      </c>
      <c r="C90" s="45"/>
      <c r="D90" s="45"/>
      <c r="E90" s="45"/>
      <c r="F90" s="45"/>
    </row>
    <row r="91" spans="2:6" x14ac:dyDescent="0.35">
      <c r="B91" s="16" t="s">
        <v>428</v>
      </c>
      <c r="C91" s="36"/>
      <c r="D91" s="36"/>
      <c r="E91" s="47"/>
      <c r="F91" s="45"/>
    </row>
    <row r="92" spans="2:6" ht="21.75" customHeight="1" x14ac:dyDescent="0.35">
      <c r="B92" s="14" t="s">
        <v>429</v>
      </c>
      <c r="C92" s="45"/>
      <c r="D92" s="45"/>
      <c r="E92" s="45"/>
      <c r="F92" s="45"/>
    </row>
    <row r="93" spans="2:6" x14ac:dyDescent="0.35">
      <c r="B93" s="16" t="s">
        <v>761</v>
      </c>
      <c r="C93" s="47"/>
      <c r="D93" s="47"/>
      <c r="E93" s="47"/>
      <c r="F93" s="47"/>
    </row>
    <row r="94" spans="2:6" ht="29" x14ac:dyDescent="0.35">
      <c r="B94" s="14" t="s">
        <v>762</v>
      </c>
      <c r="C94" s="45"/>
      <c r="D94" s="45"/>
      <c r="E94" s="45"/>
      <c r="F94" s="45"/>
    </row>
    <row r="95" spans="2:6" ht="21.75" customHeight="1" x14ac:dyDescent="0.35">
      <c r="B95" s="16" t="s">
        <v>430</v>
      </c>
      <c r="C95" s="47"/>
      <c r="D95" s="47"/>
      <c r="E95" s="47"/>
      <c r="F95" s="47"/>
    </row>
    <row r="96" spans="2:6" x14ac:dyDescent="0.35">
      <c r="B96" s="14" t="s">
        <v>431</v>
      </c>
      <c r="C96" s="45"/>
      <c r="D96" s="45"/>
      <c r="E96" s="45"/>
      <c r="F96" s="45"/>
    </row>
    <row r="98" spans="2:7" ht="24" customHeight="1" x14ac:dyDescent="0.35">
      <c r="B98" s="258" t="s">
        <v>763</v>
      </c>
      <c r="C98" s="258"/>
      <c r="D98" s="258"/>
      <c r="E98" s="258"/>
      <c r="F98" s="258"/>
      <c r="G98" s="258"/>
    </row>
    <row r="99" spans="2:7" ht="27.75" customHeight="1" x14ac:dyDescent="0.35">
      <c r="B99" s="6" t="s">
        <v>142</v>
      </c>
      <c r="C99" s="6" t="s">
        <v>764</v>
      </c>
      <c r="D99" s="6" t="s">
        <v>765</v>
      </c>
      <c r="E99" s="6" t="s">
        <v>766</v>
      </c>
      <c r="F99" s="6" t="s">
        <v>767</v>
      </c>
      <c r="G99" s="6" t="s">
        <v>768</v>
      </c>
    </row>
    <row r="100" spans="2:7" ht="25.5" customHeight="1" x14ac:dyDescent="0.35">
      <c r="B100" s="48" t="s">
        <v>153</v>
      </c>
      <c r="C100" s="26" t="s">
        <v>89</v>
      </c>
      <c r="D100" s="69" t="s">
        <v>769</v>
      </c>
      <c r="E100" s="49">
        <v>3</v>
      </c>
      <c r="F100" s="36" t="s">
        <v>277</v>
      </c>
      <c r="G100" s="5" t="s">
        <v>976</v>
      </c>
    </row>
    <row r="101" spans="2:7" ht="25.5" customHeight="1" x14ac:dyDescent="0.35">
      <c r="B101" s="50" t="s">
        <v>154</v>
      </c>
      <c r="C101" s="26" t="s">
        <v>93</v>
      </c>
      <c r="D101" s="68" t="s">
        <v>771</v>
      </c>
      <c r="E101" s="49">
        <v>2</v>
      </c>
      <c r="F101" s="36" t="s">
        <v>282</v>
      </c>
      <c r="G101" s="5" t="s">
        <v>977</v>
      </c>
    </row>
    <row r="102" spans="2:7" ht="25.5" customHeight="1" x14ac:dyDescent="0.35">
      <c r="B102" s="48" t="s">
        <v>155</v>
      </c>
      <c r="C102" s="26" t="s">
        <v>86</v>
      </c>
      <c r="D102" s="69" t="s">
        <v>773</v>
      </c>
      <c r="E102" s="49">
        <v>4</v>
      </c>
      <c r="F102" s="36" t="s">
        <v>271</v>
      </c>
      <c r="G102" s="5" t="s">
        <v>978</v>
      </c>
    </row>
    <row r="103" spans="2:7" ht="25.5" customHeight="1" x14ac:dyDescent="0.35">
      <c r="B103" s="50" t="s">
        <v>156</v>
      </c>
      <c r="C103" s="26" t="s">
        <v>89</v>
      </c>
      <c r="D103" s="68" t="s">
        <v>775</v>
      </c>
      <c r="E103" s="49">
        <v>3</v>
      </c>
      <c r="F103" s="36" t="s">
        <v>277</v>
      </c>
      <c r="G103" s="5" t="s">
        <v>979</v>
      </c>
    </row>
    <row r="104" spans="2:7" ht="25.5" customHeight="1" x14ac:dyDescent="0.35">
      <c r="B104" s="48" t="s">
        <v>157</v>
      </c>
      <c r="C104" s="26" t="s">
        <v>93</v>
      </c>
      <c r="D104" s="67" t="s">
        <v>777</v>
      </c>
      <c r="E104" s="49">
        <v>2</v>
      </c>
      <c r="F104" s="36" t="s">
        <v>282</v>
      </c>
      <c r="G104" s="5" t="s">
        <v>980</v>
      </c>
    </row>
    <row r="105" spans="2:7" ht="25.5" customHeight="1" x14ac:dyDescent="0.35">
      <c r="B105" s="50" t="s">
        <v>158</v>
      </c>
      <c r="C105" s="26" t="s">
        <v>89</v>
      </c>
      <c r="D105" s="68" t="s">
        <v>779</v>
      </c>
      <c r="E105" s="49">
        <v>3</v>
      </c>
      <c r="F105" s="36" t="s">
        <v>277</v>
      </c>
      <c r="G105" s="5" t="s">
        <v>981</v>
      </c>
    </row>
    <row r="106" spans="2:7" ht="25.5" customHeight="1" x14ac:dyDescent="0.35">
      <c r="B106" s="48" t="s">
        <v>159</v>
      </c>
      <c r="C106" s="26" t="s">
        <v>86</v>
      </c>
      <c r="D106" s="67" t="s">
        <v>781</v>
      </c>
      <c r="E106" s="49">
        <v>3</v>
      </c>
      <c r="F106" s="36" t="s">
        <v>277</v>
      </c>
      <c r="G106" s="5" t="s">
        <v>983</v>
      </c>
    </row>
    <row r="107" spans="2:7" ht="25.5" customHeight="1" x14ac:dyDescent="0.35">
      <c r="B107" s="50" t="s">
        <v>160</v>
      </c>
      <c r="C107" s="26" t="s">
        <v>89</v>
      </c>
      <c r="D107" s="74" t="s">
        <v>783</v>
      </c>
      <c r="E107" s="49">
        <v>3</v>
      </c>
      <c r="F107" s="36" t="s">
        <v>277</v>
      </c>
      <c r="G107" s="5" t="s">
        <v>984</v>
      </c>
    </row>
    <row r="108" spans="2:7" ht="43.5" x14ac:dyDescent="0.35">
      <c r="B108" s="48" t="s">
        <v>161</v>
      </c>
      <c r="C108" s="26" t="s">
        <v>86</v>
      </c>
      <c r="D108" s="69" t="s">
        <v>785</v>
      </c>
      <c r="E108" s="49">
        <v>3</v>
      </c>
      <c r="F108" s="36" t="s">
        <v>277</v>
      </c>
      <c r="G108" s="5" t="s">
        <v>985</v>
      </c>
    </row>
    <row r="109" spans="2:7" ht="58" x14ac:dyDescent="0.35">
      <c r="B109" s="50" t="s">
        <v>162</v>
      </c>
      <c r="C109" s="26" t="s">
        <v>89</v>
      </c>
      <c r="D109" s="74" t="s">
        <v>787</v>
      </c>
      <c r="E109" s="49">
        <v>3</v>
      </c>
      <c r="F109" s="36" t="s">
        <v>277</v>
      </c>
      <c r="G109" s="5" t="s">
        <v>987</v>
      </c>
    </row>
    <row r="110" spans="2:7" ht="25.5" customHeight="1" x14ac:dyDescent="0.35">
      <c r="B110" s="48" t="s">
        <v>163</v>
      </c>
      <c r="C110" s="26" t="s">
        <v>89</v>
      </c>
      <c r="D110" s="67" t="s">
        <v>789</v>
      </c>
      <c r="E110" s="49">
        <v>3</v>
      </c>
      <c r="F110" s="36" t="s">
        <v>277</v>
      </c>
      <c r="G110" s="5" t="s">
        <v>988</v>
      </c>
    </row>
    <row r="111" spans="2:7" ht="25.5" customHeight="1" x14ac:dyDescent="0.35">
      <c r="B111" s="50" t="s">
        <v>164</v>
      </c>
      <c r="C111" s="26" t="s">
        <v>89</v>
      </c>
      <c r="D111" s="74" t="s">
        <v>791</v>
      </c>
      <c r="E111" s="49">
        <v>3</v>
      </c>
      <c r="F111" s="36" t="s">
        <v>277</v>
      </c>
      <c r="G111" s="5" t="s">
        <v>989</v>
      </c>
    </row>
    <row r="112" spans="2:7" ht="25.5" customHeight="1" x14ac:dyDescent="0.35">
      <c r="B112" s="48" t="s">
        <v>165</v>
      </c>
      <c r="C112" s="26" t="s">
        <v>86</v>
      </c>
      <c r="D112" s="69" t="s">
        <v>793</v>
      </c>
      <c r="E112" s="49">
        <v>4</v>
      </c>
      <c r="F112" s="36" t="s">
        <v>271</v>
      </c>
      <c r="G112" s="5" t="s">
        <v>990</v>
      </c>
    </row>
    <row r="113" spans="2:7" ht="25.5" customHeight="1" x14ac:dyDescent="0.35">
      <c r="B113" s="50" t="s">
        <v>166</v>
      </c>
      <c r="C113" s="26" t="s">
        <v>93</v>
      </c>
      <c r="D113" s="74" t="s">
        <v>795</v>
      </c>
      <c r="E113" s="49">
        <v>2</v>
      </c>
      <c r="F113" s="36" t="s">
        <v>282</v>
      </c>
      <c r="G113" s="5" t="s">
        <v>991</v>
      </c>
    </row>
    <row r="114" spans="2:7" ht="25.5" customHeight="1" x14ac:dyDescent="0.35">
      <c r="B114" s="48" t="s">
        <v>167</v>
      </c>
      <c r="C114" s="26" t="s">
        <v>89</v>
      </c>
      <c r="D114" s="69" t="s">
        <v>797</v>
      </c>
      <c r="E114" s="49">
        <v>3</v>
      </c>
      <c r="F114" s="36" t="s">
        <v>277</v>
      </c>
      <c r="G114" s="5" t="s">
        <v>992</v>
      </c>
    </row>
    <row r="115" spans="2:7" ht="25.5" customHeight="1" x14ac:dyDescent="0.35">
      <c r="B115" s="50" t="s">
        <v>168</v>
      </c>
      <c r="C115" s="26" t="s">
        <v>86</v>
      </c>
      <c r="D115" s="74" t="s">
        <v>799</v>
      </c>
      <c r="E115" s="49">
        <v>4</v>
      </c>
      <c r="F115" s="36" t="s">
        <v>271</v>
      </c>
      <c r="G115" s="5" t="s">
        <v>994</v>
      </c>
    </row>
    <row r="116" spans="2:7" ht="25.5" customHeight="1" x14ac:dyDescent="0.35">
      <c r="B116" s="48" t="s">
        <v>169</v>
      </c>
      <c r="C116" s="26" t="s">
        <v>89</v>
      </c>
      <c r="D116" s="69" t="s">
        <v>801</v>
      </c>
      <c r="E116" s="49">
        <v>3</v>
      </c>
      <c r="F116" s="36" t="s">
        <v>277</v>
      </c>
      <c r="G116" s="5" t="s">
        <v>995</v>
      </c>
    </row>
    <row r="117" spans="2:7" ht="43.5" x14ac:dyDescent="0.35">
      <c r="B117" s="50" t="s">
        <v>170</v>
      </c>
      <c r="C117" s="26" t="s">
        <v>89</v>
      </c>
      <c r="D117" s="74" t="s">
        <v>803</v>
      </c>
      <c r="E117" s="49">
        <v>3</v>
      </c>
      <c r="F117" s="36" t="s">
        <v>277</v>
      </c>
      <c r="G117" s="5" t="s">
        <v>996</v>
      </c>
    </row>
    <row r="118" spans="2:7" ht="43.5" x14ac:dyDescent="0.35">
      <c r="B118" s="50" t="s">
        <v>172</v>
      </c>
      <c r="C118" s="26" t="s">
        <v>86</v>
      </c>
      <c r="D118" s="74" t="s">
        <v>805</v>
      </c>
      <c r="E118" s="49"/>
      <c r="F118" s="36"/>
      <c r="G118" s="5" t="s">
        <v>806</v>
      </c>
    </row>
    <row r="119" spans="2:7" ht="56.25" customHeight="1" x14ac:dyDescent="0.35">
      <c r="B119" s="50" t="s">
        <v>173</v>
      </c>
      <c r="C119" s="26"/>
      <c r="D119" s="74" t="s">
        <v>807</v>
      </c>
      <c r="E119" s="49"/>
      <c r="F119" s="36"/>
      <c r="G119" s="5"/>
    </row>
    <row r="120" spans="2:7" ht="56.25" customHeight="1" x14ac:dyDescent="0.35">
      <c r="B120" s="50" t="s">
        <v>174</v>
      </c>
      <c r="C120" s="26"/>
      <c r="D120" s="74" t="s">
        <v>808</v>
      </c>
      <c r="E120" s="49"/>
      <c r="F120" s="36"/>
      <c r="G120" s="5"/>
    </row>
    <row r="121" spans="2:7" ht="43.5" x14ac:dyDescent="0.35">
      <c r="B121" s="216" t="s">
        <v>175</v>
      </c>
      <c r="C121" s="26"/>
      <c r="D121" s="218" t="s">
        <v>809</v>
      </c>
      <c r="E121" s="49"/>
      <c r="F121" s="36"/>
      <c r="G121" s="5"/>
    </row>
    <row r="122" spans="2:7" ht="15.5" x14ac:dyDescent="0.35">
      <c r="B122" s="75"/>
      <c r="C122" s="76"/>
      <c r="D122" s="77"/>
    </row>
    <row r="123" spans="2:7" ht="24" customHeight="1" x14ac:dyDescent="0.35">
      <c r="B123" s="100" t="s">
        <v>810</v>
      </c>
      <c r="C123" s="100"/>
      <c r="D123" s="100"/>
    </row>
    <row r="124" spans="2:7" ht="21.75" customHeight="1" x14ac:dyDescent="0.35">
      <c r="B124" s="6" t="s">
        <v>811</v>
      </c>
      <c r="C124" s="6" t="s">
        <v>812</v>
      </c>
      <c r="D124" s="6" t="s">
        <v>736</v>
      </c>
    </row>
    <row r="125" spans="2:7" ht="28.5" customHeight="1" x14ac:dyDescent="0.35">
      <c r="B125" s="13" t="s">
        <v>813</v>
      </c>
      <c r="C125" s="64" t="s">
        <v>1046</v>
      </c>
      <c r="D125" s="64" t="s">
        <v>1047</v>
      </c>
    </row>
    <row r="126" spans="2:7" ht="28.5" customHeight="1" x14ac:dyDescent="0.35">
      <c r="B126" s="15" t="s">
        <v>814</v>
      </c>
      <c r="C126" s="64" t="s">
        <v>1060</v>
      </c>
      <c r="D126" s="64" t="s">
        <v>1000</v>
      </c>
    </row>
    <row r="127" spans="2:7" ht="28.5" customHeight="1" x14ac:dyDescent="0.35">
      <c r="B127" s="13" t="s">
        <v>817</v>
      </c>
      <c r="C127" s="64"/>
      <c r="D127" s="64" t="s">
        <v>1001</v>
      </c>
    </row>
    <row r="128" spans="2:7" ht="28.5" customHeight="1" x14ac:dyDescent="0.35">
      <c r="B128" s="15" t="s">
        <v>818</v>
      </c>
      <c r="C128" s="64"/>
      <c r="D128" s="64" t="s">
        <v>1002</v>
      </c>
    </row>
    <row r="129" spans="2:6" ht="28.5" customHeight="1" x14ac:dyDescent="0.35">
      <c r="B129" s="13" t="s">
        <v>819</v>
      </c>
      <c r="C129" s="64"/>
      <c r="D129" s="64" t="s">
        <v>1048</v>
      </c>
    </row>
    <row r="130" spans="2:6" ht="28.5" customHeight="1" x14ac:dyDescent="0.35">
      <c r="B130" s="15" t="s">
        <v>820</v>
      </c>
      <c r="C130" s="64" t="s">
        <v>1003</v>
      </c>
      <c r="D130" s="64" t="s">
        <v>1004</v>
      </c>
    </row>
    <row r="131" spans="2:6" ht="28.5" customHeight="1" x14ac:dyDescent="0.35">
      <c r="B131" s="13" t="s">
        <v>821</v>
      </c>
      <c r="C131" s="64" t="s">
        <v>459</v>
      </c>
      <c r="D131" s="64" t="s">
        <v>1005</v>
      </c>
    </row>
    <row r="132" spans="2:6" ht="28.5" customHeight="1" x14ac:dyDescent="0.35">
      <c r="B132" s="123" t="s">
        <v>822</v>
      </c>
      <c r="C132" s="109"/>
      <c r="D132" s="109" t="s">
        <v>1049</v>
      </c>
    </row>
    <row r="134" spans="2:6" ht="24" customHeight="1" x14ac:dyDescent="0.35">
      <c r="B134" s="100" t="s">
        <v>823</v>
      </c>
      <c r="C134" s="100"/>
      <c r="D134" s="100"/>
      <c r="E134" s="100"/>
      <c r="F134" s="100"/>
    </row>
    <row r="135" spans="2:6" ht="21.75" customHeight="1" x14ac:dyDescent="0.35">
      <c r="B135" s="6" t="s">
        <v>824</v>
      </c>
      <c r="C135" s="6" t="s">
        <v>825</v>
      </c>
      <c r="D135" s="6" t="s">
        <v>826</v>
      </c>
      <c r="E135" s="6" t="s">
        <v>827</v>
      </c>
      <c r="F135" s="6" t="s">
        <v>269</v>
      </c>
    </row>
    <row r="136" spans="2:6" ht="21.75" customHeight="1" x14ac:dyDescent="0.35">
      <c r="B136" s="44" t="s">
        <v>828</v>
      </c>
      <c r="C136" s="99" t="s">
        <v>1006</v>
      </c>
      <c r="D136" s="45" t="s">
        <v>86</v>
      </c>
      <c r="E136" s="14" t="s">
        <v>1007</v>
      </c>
      <c r="F136" s="45" t="s">
        <v>277</v>
      </c>
    </row>
    <row r="137" spans="2:6" ht="21.75" customHeight="1" x14ac:dyDescent="0.35">
      <c r="B137" s="46" t="s">
        <v>830</v>
      </c>
      <c r="C137" s="99" t="s">
        <v>1061</v>
      </c>
      <c r="D137" s="45" t="s">
        <v>86</v>
      </c>
      <c r="E137" s="16" t="s">
        <v>1062</v>
      </c>
      <c r="F137" s="45" t="s">
        <v>277</v>
      </c>
    </row>
    <row r="138" spans="2:6" ht="21.75" customHeight="1" x14ac:dyDescent="0.35">
      <c r="B138" s="44" t="s">
        <v>831</v>
      </c>
      <c r="C138" s="99" t="s">
        <v>1063</v>
      </c>
      <c r="D138" s="45" t="s">
        <v>89</v>
      </c>
      <c r="E138" s="14" t="s">
        <v>1064</v>
      </c>
      <c r="F138" s="45" t="s">
        <v>271</v>
      </c>
    </row>
    <row r="139" spans="2:6" ht="21.75" customHeight="1" x14ac:dyDescent="0.35">
      <c r="B139" s="46" t="s">
        <v>832</v>
      </c>
      <c r="C139" s="99"/>
      <c r="D139" s="45" t="s">
        <v>93</v>
      </c>
      <c r="E139" s="16" t="s">
        <v>1010</v>
      </c>
      <c r="F139" s="45" t="s">
        <v>271</v>
      </c>
    </row>
    <row r="140" spans="2:6" ht="27" customHeight="1" x14ac:dyDescent="0.35">
      <c r="B140" s="14" t="s">
        <v>833</v>
      </c>
      <c r="C140" s="99"/>
      <c r="D140" s="45" t="s">
        <v>93</v>
      </c>
      <c r="E140" s="14" t="s">
        <v>1011</v>
      </c>
      <c r="F140" s="45" t="s">
        <v>277</v>
      </c>
    </row>
    <row r="141" spans="2:6" ht="31.5" customHeight="1" x14ac:dyDescent="0.35">
      <c r="B141" s="16" t="s">
        <v>834</v>
      </c>
      <c r="C141" s="99"/>
      <c r="D141" s="45" t="s">
        <v>93</v>
      </c>
      <c r="E141" s="16" t="s">
        <v>1012</v>
      </c>
      <c r="F141" s="45" t="s">
        <v>282</v>
      </c>
    </row>
    <row r="142" spans="2:6" ht="21.75" customHeight="1" x14ac:dyDescent="0.35">
      <c r="B142" s="44" t="s">
        <v>835</v>
      </c>
      <c r="C142" s="99" t="s">
        <v>1013</v>
      </c>
      <c r="D142" s="45" t="s">
        <v>286</v>
      </c>
      <c r="E142" s="14" t="s">
        <v>1014</v>
      </c>
      <c r="F142" s="45" t="s">
        <v>271</v>
      </c>
    </row>
    <row r="143" spans="2:6" ht="21.75" customHeight="1" x14ac:dyDescent="0.35">
      <c r="B143" s="46" t="s">
        <v>836</v>
      </c>
      <c r="C143" s="99"/>
      <c r="D143" s="45" t="s">
        <v>93</v>
      </c>
      <c r="E143" s="16" t="s">
        <v>1015</v>
      </c>
      <c r="F143" s="45" t="s">
        <v>282</v>
      </c>
    </row>
    <row r="144" spans="2:6" ht="21.75" customHeight="1" x14ac:dyDescent="0.35">
      <c r="B144" s="44" t="s">
        <v>837</v>
      </c>
      <c r="C144" s="99" t="s">
        <v>1016</v>
      </c>
      <c r="D144" s="45" t="s">
        <v>89</v>
      </c>
      <c r="E144" s="14" t="s">
        <v>1017</v>
      </c>
      <c r="F144" s="45" t="s">
        <v>277</v>
      </c>
    </row>
    <row r="145" spans="2:7" ht="21.75" customHeight="1" x14ac:dyDescent="0.35">
      <c r="B145" s="46" t="s">
        <v>838</v>
      </c>
      <c r="C145" s="99" t="s">
        <v>1018</v>
      </c>
      <c r="D145" s="45" t="s">
        <v>89</v>
      </c>
      <c r="E145" s="16" t="s">
        <v>1065</v>
      </c>
      <c r="F145" s="45" t="s">
        <v>271</v>
      </c>
    </row>
    <row r="147" spans="2:7" ht="24" customHeight="1" x14ac:dyDescent="0.35">
      <c r="B147" s="258" t="s">
        <v>841</v>
      </c>
      <c r="C147" s="258"/>
      <c r="D147" s="258"/>
      <c r="E147" s="258"/>
      <c r="F147" s="258"/>
      <c r="G147" s="258"/>
    </row>
    <row r="148" spans="2:7" ht="21.75" customHeight="1" x14ac:dyDescent="0.35">
      <c r="B148" s="6" t="s">
        <v>842</v>
      </c>
      <c r="C148" s="6" t="s">
        <v>843</v>
      </c>
    </row>
    <row r="149" spans="2:7" ht="21.75" customHeight="1" x14ac:dyDescent="0.35">
      <c r="B149" s="13" t="s">
        <v>844</v>
      </c>
      <c r="C149" s="251" t="s">
        <v>1020</v>
      </c>
      <c r="D149" s="251"/>
      <c r="E149" s="251"/>
      <c r="F149" s="251"/>
      <c r="G149" s="251"/>
    </row>
    <row r="150" spans="2:7" ht="21.75" customHeight="1" x14ac:dyDescent="0.35">
      <c r="B150" s="15" t="s">
        <v>846</v>
      </c>
      <c r="C150" s="251" t="s">
        <v>496</v>
      </c>
      <c r="D150" s="251"/>
      <c r="E150" s="251"/>
      <c r="F150" s="251"/>
      <c r="G150" s="251"/>
    </row>
    <row r="151" spans="2:7" ht="21.75" customHeight="1" x14ac:dyDescent="0.35">
      <c r="B151" s="13" t="s">
        <v>847</v>
      </c>
      <c r="C151" s="251" t="s">
        <v>496</v>
      </c>
      <c r="D151" s="251"/>
      <c r="E151" s="251"/>
      <c r="F151" s="251"/>
      <c r="G151" s="251"/>
    </row>
    <row r="152" spans="2:7" ht="21.75" customHeight="1" x14ac:dyDescent="0.35">
      <c r="B152" s="15" t="s">
        <v>848</v>
      </c>
      <c r="C152" s="251" t="s">
        <v>496</v>
      </c>
      <c r="D152" s="251"/>
      <c r="E152" s="251"/>
      <c r="F152" s="251"/>
      <c r="G152" s="251"/>
    </row>
    <row r="153" spans="2:7" ht="21.75" customHeight="1" x14ac:dyDescent="0.35">
      <c r="B153" s="13" t="s">
        <v>849</v>
      </c>
      <c r="C153" s="251" t="s">
        <v>1021</v>
      </c>
      <c r="D153" s="251"/>
      <c r="E153" s="251"/>
      <c r="F153" s="251"/>
      <c r="G153" s="251"/>
    </row>
    <row r="154" spans="2:7" ht="21.75" customHeight="1" x14ac:dyDescent="0.35">
      <c r="B154" s="15" t="s">
        <v>850</v>
      </c>
      <c r="C154" s="251" t="s">
        <v>1022</v>
      </c>
      <c r="D154" s="251"/>
      <c r="E154" s="251"/>
      <c r="F154" s="251"/>
      <c r="G154" s="251"/>
    </row>
    <row r="155" spans="2:7" ht="21.75" customHeight="1" x14ac:dyDescent="0.35">
      <c r="B155" s="13" t="s">
        <v>852</v>
      </c>
      <c r="C155" s="251" t="s">
        <v>1023</v>
      </c>
      <c r="D155" s="251"/>
      <c r="E155" s="251"/>
      <c r="F155" s="251"/>
      <c r="G155" s="251"/>
    </row>
    <row r="157" spans="2:7" ht="24" customHeight="1" x14ac:dyDescent="0.35">
      <c r="B157" s="258" t="s">
        <v>854</v>
      </c>
      <c r="C157" s="258"/>
      <c r="D157" s="258"/>
      <c r="E157" s="258"/>
      <c r="F157" s="258"/>
      <c r="G157" s="258"/>
    </row>
    <row r="158" spans="2:7" ht="21.75" customHeight="1" x14ac:dyDescent="0.35">
      <c r="B158" s="6" t="s">
        <v>855</v>
      </c>
      <c r="C158" s="6" t="s">
        <v>856</v>
      </c>
    </row>
    <row r="159" spans="2:7" ht="30" customHeight="1" x14ac:dyDescent="0.35">
      <c r="B159" s="51" t="s">
        <v>857</v>
      </c>
      <c r="C159" s="251" t="s">
        <v>1025</v>
      </c>
      <c r="D159" s="251"/>
      <c r="E159" s="251"/>
      <c r="F159" s="251"/>
      <c r="G159" s="251"/>
    </row>
    <row r="160" spans="2:7" ht="30" customHeight="1" x14ac:dyDescent="0.35">
      <c r="B160" s="52" t="s">
        <v>859</v>
      </c>
      <c r="C160" s="251" t="s">
        <v>1066</v>
      </c>
      <c r="D160" s="251"/>
      <c r="E160" s="251"/>
      <c r="F160" s="251"/>
      <c r="G160" s="251"/>
    </row>
    <row r="161" spans="2:11" ht="30" customHeight="1" x14ac:dyDescent="0.35">
      <c r="B161" s="51" t="s">
        <v>861</v>
      </c>
      <c r="C161" s="251" t="s">
        <v>1027</v>
      </c>
      <c r="D161" s="251"/>
      <c r="E161" s="251"/>
      <c r="F161" s="251"/>
      <c r="G161" s="251"/>
    </row>
    <row r="162" spans="2:11" ht="30" customHeight="1" x14ac:dyDescent="0.35">
      <c r="B162" s="52" t="s">
        <v>863</v>
      </c>
      <c r="C162" s="251" t="s">
        <v>1028</v>
      </c>
      <c r="D162" s="251"/>
      <c r="E162" s="251"/>
      <c r="F162" s="251"/>
      <c r="G162" s="251"/>
    </row>
    <row r="163" spans="2:11" ht="30" customHeight="1" x14ac:dyDescent="0.35">
      <c r="B163" s="51" t="s">
        <v>865</v>
      </c>
      <c r="C163" s="251" t="s">
        <v>1067</v>
      </c>
      <c r="D163" s="251"/>
      <c r="E163" s="251"/>
      <c r="F163" s="251"/>
      <c r="G163" s="251"/>
    </row>
    <row r="164" spans="2:11" ht="30" customHeight="1" x14ac:dyDescent="0.35">
      <c r="B164" s="52" t="s">
        <v>867</v>
      </c>
      <c r="C164" s="251" t="s">
        <v>1068</v>
      </c>
      <c r="D164" s="251"/>
      <c r="E164" s="251"/>
      <c r="F164" s="251"/>
      <c r="G164" s="251"/>
    </row>
    <row r="165" spans="2:11" ht="30" customHeight="1" x14ac:dyDescent="0.35">
      <c r="B165" s="51" t="s">
        <v>868</v>
      </c>
      <c r="C165" s="251" t="s">
        <v>1031</v>
      </c>
      <c r="D165" s="251"/>
      <c r="E165" s="251"/>
      <c r="F165" s="251"/>
      <c r="G165" s="251"/>
    </row>
    <row r="166" spans="2:11" ht="30" customHeight="1" x14ac:dyDescent="0.35">
      <c r="B166" s="52" t="s">
        <v>870</v>
      </c>
      <c r="C166" s="256" t="s">
        <v>871</v>
      </c>
      <c r="D166" s="257"/>
      <c r="E166" s="257"/>
      <c r="F166" s="257"/>
      <c r="G166" s="257"/>
    </row>
    <row r="167" spans="2:11" ht="30" customHeight="1" x14ac:dyDescent="0.35">
      <c r="B167" s="51" t="s">
        <v>872</v>
      </c>
      <c r="C167" s="251" t="s">
        <v>1032</v>
      </c>
      <c r="D167" s="251"/>
      <c r="E167" s="251"/>
      <c r="F167" s="251"/>
      <c r="G167" s="251"/>
    </row>
    <row r="169" spans="2:11" ht="22.5" customHeight="1" x14ac:dyDescent="0.35">
      <c r="B169" s="255" t="s">
        <v>874</v>
      </c>
      <c r="C169" s="255"/>
      <c r="D169" s="255"/>
      <c r="E169" s="255"/>
      <c r="F169" s="255"/>
      <c r="G169" s="255"/>
      <c r="H169" s="238"/>
      <c r="I169" s="124" t="s">
        <v>877</v>
      </c>
      <c r="J169" s="124" t="s">
        <v>878</v>
      </c>
      <c r="K169" s="124" t="s">
        <v>879</v>
      </c>
    </row>
    <row r="170" spans="2:11" ht="29.25" customHeight="1" x14ac:dyDescent="0.35">
      <c r="B170" s="92" t="s">
        <v>268</v>
      </c>
      <c r="C170" s="93"/>
      <c r="D170" s="92" t="s">
        <v>875</v>
      </c>
      <c r="E170" s="93"/>
      <c r="F170" s="92" t="s">
        <v>876</v>
      </c>
      <c r="G170" s="93"/>
      <c r="H170" s="238"/>
      <c r="I170" s="125" t="s">
        <v>881</v>
      </c>
      <c r="J170" s="114" t="s">
        <v>882</v>
      </c>
      <c r="K170" s="114" t="s">
        <v>883</v>
      </c>
    </row>
    <row r="171" spans="2:11" ht="26.5" x14ac:dyDescent="0.35">
      <c r="B171" s="94" t="s">
        <v>880</v>
      </c>
      <c r="C171" s="254"/>
      <c r="D171" s="254"/>
      <c r="E171" s="254"/>
      <c r="F171" s="254"/>
      <c r="G171" s="254"/>
      <c r="H171" s="238"/>
      <c r="I171" s="125" t="s">
        <v>885</v>
      </c>
      <c r="J171" s="114" t="s">
        <v>886</v>
      </c>
      <c r="K171" s="114" t="s">
        <v>887</v>
      </c>
    </row>
    <row r="172" spans="2:11" x14ac:dyDescent="0.35">
      <c r="B172" s="92" t="s">
        <v>884</v>
      </c>
      <c r="C172" s="254"/>
      <c r="D172" s="254"/>
      <c r="E172" s="254"/>
      <c r="F172" s="254"/>
      <c r="G172" s="254"/>
      <c r="H172" s="238"/>
      <c r="I172" s="125" t="s">
        <v>889</v>
      </c>
      <c r="J172" s="114" t="s">
        <v>890</v>
      </c>
      <c r="K172" s="114" t="s">
        <v>891</v>
      </c>
    </row>
    <row r="173" spans="2:11" ht="26.5" x14ac:dyDescent="0.35">
      <c r="B173" s="94" t="s">
        <v>888</v>
      </c>
      <c r="C173" s="254"/>
      <c r="D173" s="254"/>
      <c r="E173" s="254"/>
      <c r="F173" s="254"/>
      <c r="G173" s="254"/>
      <c r="H173" s="238"/>
      <c r="I173" s="125" t="s">
        <v>894</v>
      </c>
      <c r="J173" s="114" t="s">
        <v>895</v>
      </c>
      <c r="K173" s="114" t="s">
        <v>896</v>
      </c>
    </row>
    <row r="174" spans="2:11" ht="26.5" x14ac:dyDescent="0.35">
      <c r="B174" s="92" t="s">
        <v>892</v>
      </c>
      <c r="C174" s="256" t="s">
        <v>1051</v>
      </c>
      <c r="D174" s="257"/>
      <c r="E174" s="257"/>
      <c r="F174" s="257"/>
      <c r="G174" s="257"/>
      <c r="H174" s="238"/>
      <c r="I174" s="125" t="s">
        <v>898</v>
      </c>
      <c r="J174" s="114" t="s">
        <v>899</v>
      </c>
      <c r="K174" s="114" t="s">
        <v>900</v>
      </c>
    </row>
    <row r="175" spans="2:11" ht="26.5" x14ac:dyDescent="0.35">
      <c r="B175" s="92" t="s">
        <v>897</v>
      </c>
      <c r="C175" s="254"/>
      <c r="D175" s="254"/>
      <c r="E175" s="254"/>
      <c r="F175" s="254"/>
      <c r="G175" s="254"/>
      <c r="H175" s="238"/>
      <c r="I175" s="125" t="s">
        <v>904</v>
      </c>
      <c r="J175" s="114" t="s">
        <v>905</v>
      </c>
      <c r="K175" s="114" t="s">
        <v>906</v>
      </c>
    </row>
    <row r="176" spans="2:11" ht="27.75" customHeight="1" x14ac:dyDescent="0.35">
      <c r="B176" s="94" t="s">
        <v>901</v>
      </c>
      <c r="C176" s="93"/>
      <c r="D176" s="92" t="s">
        <v>902</v>
      </c>
      <c r="E176" s="93"/>
      <c r="F176" s="92" t="s">
        <v>903</v>
      </c>
      <c r="G176" s="93"/>
      <c r="H176" s="238"/>
      <c r="I176" s="125" t="s">
        <v>910</v>
      </c>
      <c r="J176" s="114" t="s">
        <v>911</v>
      </c>
      <c r="K176" s="114" t="s">
        <v>912</v>
      </c>
    </row>
    <row r="177" spans="2:11" ht="30.75" customHeight="1" x14ac:dyDescent="0.35">
      <c r="B177" s="92" t="s">
        <v>907</v>
      </c>
      <c r="C177" s="93"/>
      <c r="D177" s="92" t="s">
        <v>908</v>
      </c>
      <c r="E177" s="93"/>
      <c r="F177" s="92" t="s">
        <v>909</v>
      </c>
      <c r="G177" s="93"/>
      <c r="H177" s="238"/>
      <c r="I177" s="125" t="s">
        <v>916</v>
      </c>
      <c r="J177" s="114" t="s">
        <v>917</v>
      </c>
      <c r="K177" s="114" t="s">
        <v>918</v>
      </c>
    </row>
    <row r="178" spans="2:11" ht="15.75" customHeight="1" x14ac:dyDescent="0.35">
      <c r="B178" s="94" t="s">
        <v>913</v>
      </c>
      <c r="C178" s="93"/>
      <c r="D178" s="92" t="s">
        <v>914</v>
      </c>
      <c r="E178" s="93"/>
      <c r="F178" s="92" t="s">
        <v>915</v>
      </c>
      <c r="G178" s="93"/>
      <c r="H178" s="238"/>
    </row>
    <row r="179" spans="2:11" x14ac:dyDescent="0.35">
      <c r="B179" s="92" t="s">
        <v>919</v>
      </c>
      <c r="C179" s="254"/>
      <c r="D179" s="254"/>
      <c r="E179" s="254"/>
      <c r="F179" s="254"/>
      <c r="G179" s="254"/>
      <c r="H179" s="238"/>
      <c r="I179" s="238"/>
      <c r="J179" s="238"/>
      <c r="K179" s="238"/>
    </row>
    <row r="180" spans="2:11" x14ac:dyDescent="0.35">
      <c r="B180" s="94" t="s">
        <v>920</v>
      </c>
      <c r="C180" s="254"/>
      <c r="D180" s="254"/>
      <c r="E180" s="254"/>
      <c r="F180" s="254"/>
      <c r="G180" s="254"/>
      <c r="H180" s="238"/>
    </row>
    <row r="181" spans="2:11" ht="29" x14ac:dyDescent="0.35">
      <c r="B181" s="92" t="s">
        <v>921</v>
      </c>
      <c r="C181" s="254"/>
      <c r="D181" s="254"/>
      <c r="E181" s="254"/>
      <c r="F181" s="254"/>
      <c r="G181" s="254"/>
      <c r="H181" s="238"/>
    </row>
  </sheetData>
  <mergeCells count="51">
    <mergeCell ref="C165:G165"/>
    <mergeCell ref="C166:G166"/>
    <mergeCell ref="B2:G2"/>
    <mergeCell ref="B4:G4"/>
    <mergeCell ref="C5:E5"/>
    <mergeCell ref="C6:E6"/>
    <mergeCell ref="C7:E7"/>
    <mergeCell ref="C8:E8"/>
    <mergeCell ref="C9:E9"/>
    <mergeCell ref="C10:E10"/>
    <mergeCell ref="C11:E11"/>
    <mergeCell ref="B57:C57"/>
    <mergeCell ref="C17:E17"/>
    <mergeCell ref="C18:E18"/>
    <mergeCell ref="C21:E21"/>
    <mergeCell ref="C22:E22"/>
    <mergeCell ref="C23:E23"/>
    <mergeCell ref="B98:G98"/>
    <mergeCell ref="C24:E24"/>
    <mergeCell ref="B147:G147"/>
    <mergeCell ref="C26:E26"/>
    <mergeCell ref="C27:E27"/>
    <mergeCell ref="C28:E28"/>
    <mergeCell ref="C149:G149"/>
    <mergeCell ref="C150:G150"/>
    <mergeCell ref="C151:G151"/>
    <mergeCell ref="C161:G161"/>
    <mergeCell ref="C162:G162"/>
    <mergeCell ref="C163:G163"/>
    <mergeCell ref="C164:G164"/>
    <mergeCell ref="C152:G152"/>
    <mergeCell ref="C153:G153"/>
    <mergeCell ref="C154:G154"/>
    <mergeCell ref="C155:G155"/>
    <mergeCell ref="B157:G157"/>
    <mergeCell ref="C15:E15"/>
    <mergeCell ref="C19:E19"/>
    <mergeCell ref="C20:E20"/>
    <mergeCell ref="C181:G181"/>
    <mergeCell ref="B169:G169"/>
    <mergeCell ref="C171:G171"/>
    <mergeCell ref="C172:G172"/>
    <mergeCell ref="C173:G173"/>
    <mergeCell ref="C174:G174"/>
    <mergeCell ref="C159:G159"/>
    <mergeCell ref="B77:F77"/>
    <mergeCell ref="C175:G175"/>
    <mergeCell ref="C179:G179"/>
    <mergeCell ref="C180:G180"/>
    <mergeCell ref="C167:G167"/>
    <mergeCell ref="C160:G160"/>
  </mergeCells>
  <dataValidations count="7">
    <dataValidation type="list" allowBlank="1" sqref="F33:F37 F40:F46 F49:F51 F54:F55" xr:uid="{00000000-0002-0000-0700-000003000000}">
      <formula1>"Alta,Media,Baja,Sin mejora"</formula1>
      <formula2>0</formula2>
    </dataValidation>
    <dataValidation type="list" allowBlank="1" sqref="C100:C122" xr:uid="{00000000-0002-0000-0700-000004000000}">
      <formula1>"Sí,No,Parcial"</formula1>
      <formula2>0</formula2>
    </dataValidation>
    <dataValidation type="list" allowBlank="1" showInputMessage="1" showErrorMessage="1" promptTitle="Seleccione herramienta" prompt="Seleccione una opción de la lista o escriba otra herramienta si aplica." sqref="C145" xr:uid="{6D4247D4-8CC3-458C-BB70-70A6865AED06}">
      <formula1>"API REST,Power Automate,Zapier,Make,Azure Logic Apps,MuleSoft,Boomi,Workato,ServiceNow IntegrationHub,Jira Automation"</formula1>
    </dataValidation>
    <dataValidation type="list" allowBlank="1" showInputMessage="1" showErrorMessage="1" promptTitle="Seleccione herramienta" prompt="Seleccione una opción de la lista o escriba otra herramienta si aplica." sqref="C141" xr:uid="{95A81D3A-DB20-48F4-9F6E-7A051DA9635D}">
      <formula1>"Microsoft Teams Phone,Genesys Cloud,Avaya,3CX,Cisco Webex Contact Center,Amazon Connect,Twilio Flex,Five9,NICE CXone,Talkdesk"</formula1>
    </dataValidation>
    <dataValidation type="date" allowBlank="1" showInputMessage="1" showErrorMessage="1" sqref="C9:E9" xr:uid="{35524B86-9620-4200-ACB8-D8F05411F2AC}">
      <formula1>46174</formula1>
      <formula2>46368</formula2>
    </dataValidation>
    <dataValidation allowBlank="1" sqref="C15:E15" xr:uid="{0F992A03-094E-4BBF-8796-13D5C0E83D80}"/>
    <dataValidation allowBlank="1" showInputMessage="1" showErrorMessage="1" sqref="C7:E7" xr:uid="{D90A6661-8B68-4A12-AE81-13DCDCE9A260}"/>
  </dataValidations>
  <hyperlinks>
    <hyperlink ref="C23" r:id="rId1" xr:uid="{E1B2C5A2-CD39-498E-9BD8-06750D7D1D39}"/>
    <hyperlink ref="C5:E5" r:id="rId2" display="SURA" xr:uid="{ED0BCDAF-D9DE-48B7-9859-C6B190CA45AD}"/>
  </hyperlinks>
  <pageMargins left="0.75" right="0.75" top="1" bottom="1" header="0.511811023622047" footer="0.511811023622047"/>
  <pageSetup paperSize="9" orientation="portrait" horizontalDpi="300" verticalDpi="300"/>
  <legacyDrawing r:id="rId3"/>
  <extLst>
    <ext xmlns:x14="http://schemas.microsoft.com/office/spreadsheetml/2009/9/main" uri="{CCE6A557-97BC-4b89-ADB6-D9C93CAAB3DF}">
      <x14:dataValidations xmlns:xm="http://schemas.microsoft.com/office/excel/2006/main" count="23">
        <x14:dataValidation type="list" allowBlank="1" xr:uid="{1143165E-0A0B-4458-AACC-B7BF95C0A28E}">
          <x14:formula1>
            <xm:f>Listas!$D$5:$D$11</xm:f>
          </x14:formula1>
          <x14:formula2>
            <xm:f>0</xm:f>
          </x14:formula2>
          <xm:sqref>C13 C16</xm:sqref>
        </x14:dataValidation>
        <x14:dataValidation type="list" allowBlank="1" xr:uid="{00000000-0002-0000-0700-000002000000}">
          <x14:formula1>
            <xm:f>Listas!$B$5:$B$9</xm:f>
          </x14:formula1>
          <x14:formula2>
            <xm:f>0</xm:f>
          </x14:formula2>
          <xm:sqref>D33:D37 D40:D46 D49:D51 D54:D55</xm:sqref>
        </x14:dataValidation>
        <x14:dataValidation type="list" allowBlank="1" xr:uid="{00000000-0002-0000-0700-000005000000}">
          <x14:formula1>
            <xm:f>Listas!$F$5:$F$8</xm:f>
          </x14:formula1>
          <x14:formula2>
            <xm:f>0</xm:f>
          </x14:formula2>
          <xm:sqref>F100:F117</xm:sqref>
        </x14:dataValidation>
        <x14:dataValidation type="list" allowBlank="1" xr:uid="{00000000-0002-0000-0700-000006000000}">
          <x14:formula1>
            <xm:f>Listas!$L$5:$L$8</xm:f>
          </x14:formula1>
          <x14:formula2>
            <xm:f>0</xm:f>
          </x14:formula2>
          <xm:sqref>C163</xm:sqref>
        </x14:dataValidation>
        <x14:dataValidation type="list" allowBlank="1" showInputMessage="1" showErrorMessage="1" xr:uid="{3D69D855-DFF6-41EE-94F2-F2DDD5DFF17E}">
          <x14:formula1>
            <xm:f>Listas!$N$5:$N$11</xm:f>
          </x14:formula1>
          <xm:sqref>C5:E5</xm:sqref>
        </x14:dataValidation>
        <x14:dataValidation type="list" allowBlank="1" showInputMessage="1" showErrorMessage="1" xr:uid="{3A9B6E8C-9A4B-427C-AB9C-AD5393F1D6EB}">
          <x14:formula1>
            <xm:f>Listas!$P$5:$P$9</xm:f>
          </x14:formula1>
          <xm:sqref>F136:F145</xm:sqref>
        </x14:dataValidation>
        <x14:dataValidation type="list" allowBlank="1" showInputMessage="1" showErrorMessage="1" xr:uid="{F1838F98-B980-4B80-9367-AF4C85EA6660}">
          <x14:formula1>
            <xm:f>Listas!$R$5:$R$8</xm:f>
          </x14:formula1>
          <xm:sqref>D136:D145</xm:sqref>
        </x14:dataValidation>
        <x14:dataValidation type="list" allowBlank="1" showInputMessage="1" showErrorMessage="1" promptTitle="Seleccione herramienta" prompt="Seleccione una opción de la lista o escriba otra herramienta si aplica." xr:uid="{99DAB139-5967-4E21-A605-68C12AC3C0EC}">
          <x14:formula1>
            <xm:f>Listas!$J$21:$J$35</xm:f>
          </x14:formula1>
          <xm:sqref>C144</xm:sqref>
        </x14:dataValidation>
        <x14:dataValidation type="list" allowBlank="1" showInputMessage="1" showErrorMessage="1" promptTitle="Seleccione herramienta" prompt="Seleccione una opción de la lista o escriba otra herramienta si aplica." xr:uid="{32A5EAD7-7BE9-4F95-8449-339B0E9EF23A}">
          <x14:formula1>
            <xm:f>Listas!$L$21:$L$35</xm:f>
          </x14:formula1>
          <xm:sqref>C143</xm:sqref>
        </x14:dataValidation>
        <x14:dataValidation type="list" allowBlank="1" showInputMessage="1" showErrorMessage="1" promptTitle="Seleccione herramienta" prompt="Seleccione una opción de la lista o escriba otra herramienta si aplica." xr:uid="{A6403977-E9EA-4913-8F23-6BBD5F3F6B0B}">
          <x14:formula1>
            <xm:f>Listas!$H$21:$H$35</xm:f>
          </x14:formula1>
          <xm:sqref>C142</xm:sqref>
        </x14:dataValidation>
        <x14:dataValidation type="list" allowBlank="1" showInputMessage="1" showErrorMessage="1" promptTitle="Seleccione herramienta" prompt="Seleccione una opción de la lista o escriba otra herramienta si aplica." xr:uid="{10D894F6-3C2C-43C9-9A55-BBD9D17AAF9F}">
          <x14:formula1>
            <xm:f>Listas!$N$21:$N$35</xm:f>
          </x14:formula1>
          <xm:sqref>C140</xm:sqref>
        </x14:dataValidation>
        <x14:dataValidation type="list" allowBlank="1" showInputMessage="1" showErrorMessage="1" promptTitle="Seleccione herramienta" prompt="Seleccione una opción de la lista o escriba otra herramienta si aplica." xr:uid="{829FDC96-E52C-4442-8FC5-B78A2699C1B9}">
          <x14:formula1>
            <xm:f>Listas!$P$21:$P$35</xm:f>
          </x14:formula1>
          <xm:sqref>C139</xm:sqref>
        </x14:dataValidation>
        <x14:dataValidation type="list" allowBlank="1" showInputMessage="1" showErrorMessage="1" promptTitle="Seleccione herramienta" prompt="Seleccione una opción de la lista o escriba otra herramienta si aplica." xr:uid="{159706EE-85BE-46F6-A9DE-F56F5DCC127F}">
          <x14:formula1>
            <xm:f>Listas!$F$21:$F$35</xm:f>
          </x14:formula1>
          <xm:sqref>C138</xm:sqref>
        </x14:dataValidation>
        <x14:dataValidation type="list" allowBlank="1" showInputMessage="1" showErrorMessage="1" promptTitle="Seleccione herramienta" prompt="Seleccione una opción de la lista o escriba otra herramienta si aplica." xr:uid="{B2697653-5D7C-4064-980E-A0DB3A82A8C4}">
          <x14:formula1>
            <xm:f>Listas!$D$21:$D$35</xm:f>
          </x14:formula1>
          <xm:sqref>C137</xm:sqref>
        </x14:dataValidation>
        <x14:dataValidation type="list" allowBlank="1" showInputMessage="1" showErrorMessage="1" promptTitle="Seleccione herramienta" prompt="Seleccione una opción de la lista o escriba otra herramienta si aplica." xr:uid="{D81CD239-189D-4F54-B210-86356E0D36D5}">
          <x14:formula1>
            <xm:f>Listas!$B$21:$B$35</xm:f>
          </x14:formula1>
          <xm:sqref>C136</xm:sqref>
        </x14:dataValidation>
        <x14:dataValidation type="list" allowBlank="1" showInputMessage="1" showErrorMessage="1" xr:uid="{DF2E3B34-C6A3-403A-9349-E6904790E263}">
          <x14:formula1>
            <xm:f>Listas!$J$45:$J$49</xm:f>
          </x14:formula1>
          <xm:sqref>C96:D96</xm:sqref>
        </x14:dataValidation>
        <x14:dataValidation type="list" allowBlank="1" showInputMessage="1" showErrorMessage="1" xr:uid="{EB989175-B03C-4D3C-8F4B-69157D99EFF0}">
          <x14:formula1>
            <xm:f>Listas!$H$45:$H$48</xm:f>
          </x14:formula1>
          <xm:sqref>C95:D95</xm:sqref>
        </x14:dataValidation>
        <x14:dataValidation type="list" allowBlank="1" showInputMessage="1" showErrorMessage="1" xr:uid="{4140356E-FD1D-4967-AF3B-855A56F90B8A}">
          <x14:formula1>
            <xm:f>Listas!$F$45:$F$52</xm:f>
          </x14:formula1>
          <xm:sqref>C92:D92</xm:sqref>
        </x14:dataValidation>
        <x14:dataValidation type="list" allowBlank="1" showInputMessage="1" showErrorMessage="1" xr:uid="{B283D698-28D1-4E3F-99AF-B1667A396516}">
          <x14:formula1>
            <xm:f>Listas!$D$45:$D$49</xm:f>
          </x14:formula1>
          <xm:sqref>C91:D91</xm:sqref>
        </x14:dataValidation>
        <x14:dataValidation type="list" allowBlank="1" showInputMessage="1" showErrorMessage="1" xr:uid="{84F6D5C2-ECD7-4ED3-A83E-844EB6C22F47}">
          <x14:formula1>
            <xm:f>Listas!$B$45:$B$48</xm:f>
          </x14:formula1>
          <xm:sqref>C90:D90</xm:sqref>
        </x14:dataValidation>
        <x14:dataValidation type="list" allowBlank="1" showInputMessage="1" showErrorMessage="1" xr:uid="{FF8EE8FF-2F9E-470C-81BF-C4F632E38AA0}">
          <x14:formula1>
            <xm:f>Listas!$B$53:$B$58</xm:f>
          </x14:formula1>
          <xm:sqref>C131</xm:sqref>
        </x14:dataValidation>
        <x14:dataValidation type="list" allowBlank="1" showInputMessage="1" showErrorMessage="1" xr:uid="{0BD7411C-EDB0-4221-AD97-6BCE270A49A0}">
          <x14:formula1>
            <xm:f>Listas!$B$12:$B$17</xm:f>
          </x14:formula1>
          <xm:sqref>C14</xm:sqref>
        </x14:dataValidation>
        <x14:dataValidation type="list" allowBlank="1" xr:uid="{F5F6E615-6486-423A-8140-95E8296F4EE6}">
          <x14:formula1>
            <xm:f>Listas!$H$5:$H$10</xm:f>
          </x14:formula1>
          <x14:formula2>
            <xm:f>0</xm:f>
          </x14:formula2>
          <xm:sqref>C12</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F2E69-CF97-4854-A3B5-771797429A71}">
  <sheetPr>
    <tabColor rgb="FF1F7A4D"/>
  </sheetPr>
  <dimension ref="B1:K181"/>
  <sheetViews>
    <sheetView showGridLines="0" zoomScaleNormal="100" workbookViewId="0">
      <pane xSplit="2" ySplit="2" topLeftCell="C8" activePane="bottomRight" state="frozen"/>
      <selection pane="topRight" activeCell="C1" sqref="C1"/>
      <selection pane="bottomLeft" activeCell="A3" sqref="A3"/>
      <selection pane="bottomRight" activeCell="D101" sqref="D101"/>
    </sheetView>
  </sheetViews>
  <sheetFormatPr baseColWidth="10" defaultColWidth="8.54296875" defaultRowHeight="14.5" x14ac:dyDescent="0.35"/>
  <cols>
    <col min="1" max="1" width="3" style="1" customWidth="1"/>
    <col min="2" max="2" width="38.81640625" style="1" customWidth="1"/>
    <col min="3" max="3" width="47.453125" style="1" customWidth="1"/>
    <col min="4" max="4" width="33.54296875" style="1" customWidth="1"/>
    <col min="5" max="5" width="40" style="1" customWidth="1"/>
    <col min="6" max="6" width="26.453125" style="1" customWidth="1"/>
    <col min="7" max="7" width="27.26953125" style="1" customWidth="1"/>
    <col min="8" max="8" width="8.54296875" style="1"/>
    <col min="9" max="9" width="12.453125" style="1" customWidth="1"/>
    <col min="10" max="10" width="30.7265625" style="1" customWidth="1"/>
    <col min="11" max="11" width="40.453125" style="1" customWidth="1"/>
    <col min="12" max="16384" width="8.54296875" style="1"/>
  </cols>
  <sheetData>
    <row r="1" spans="2:11" ht="7.5" customHeight="1" x14ac:dyDescent="0.35"/>
    <row r="2" spans="2:11" ht="30" customHeight="1" x14ac:dyDescent="0.35">
      <c r="B2" s="369" t="s">
        <v>1069</v>
      </c>
      <c r="C2" s="369"/>
      <c r="D2" s="369"/>
      <c r="E2" s="369"/>
      <c r="F2" s="369"/>
      <c r="G2" s="369"/>
    </row>
    <row r="3" spans="2:11" ht="15.5" x14ac:dyDescent="0.35">
      <c r="I3" s="62" t="s">
        <v>60</v>
      </c>
      <c r="J3" s="62"/>
      <c r="K3" s="62"/>
    </row>
    <row r="4" spans="2:11" ht="24" customHeight="1" x14ac:dyDescent="0.35">
      <c r="B4" s="384" t="s">
        <v>647</v>
      </c>
      <c r="C4" s="384"/>
      <c r="D4" s="384"/>
      <c r="E4" s="384"/>
      <c r="F4" s="258"/>
      <c r="G4" s="258"/>
      <c r="I4" s="6" t="s">
        <v>61</v>
      </c>
      <c r="J4" s="6" t="s">
        <v>62</v>
      </c>
      <c r="K4" s="6" t="s">
        <v>22</v>
      </c>
    </row>
    <row r="5" spans="2:11" ht="17" x14ac:dyDescent="0.35">
      <c r="B5" s="37" t="s">
        <v>648</v>
      </c>
      <c r="C5" s="371" t="s">
        <v>248</v>
      </c>
      <c r="D5" s="371"/>
      <c r="E5" s="371"/>
      <c r="F5" s="91"/>
      <c r="G5" s="91"/>
      <c r="I5" s="17" t="s">
        <v>63</v>
      </c>
      <c r="J5" s="18" t="s">
        <v>64</v>
      </c>
      <c r="K5" s="63" t="s">
        <v>65</v>
      </c>
    </row>
    <row r="6" spans="2:11" ht="15" customHeight="1" x14ac:dyDescent="0.35">
      <c r="B6" s="37" t="s">
        <v>649</v>
      </c>
      <c r="C6" s="252" t="s">
        <v>1070</v>
      </c>
      <c r="D6" s="252"/>
      <c r="E6" s="390"/>
      <c r="F6" s="91"/>
      <c r="G6" s="91"/>
      <c r="I6" s="19" t="s">
        <v>66</v>
      </c>
      <c r="J6" s="122" t="s">
        <v>67</v>
      </c>
      <c r="K6" s="63" t="s">
        <v>68</v>
      </c>
    </row>
    <row r="7" spans="2:11" ht="15" customHeight="1" x14ac:dyDescent="0.35">
      <c r="B7" s="37" t="s">
        <v>651</v>
      </c>
      <c r="C7" s="386" t="s">
        <v>1071</v>
      </c>
      <c r="D7" s="386"/>
      <c r="E7" s="387"/>
      <c r="F7" s="91"/>
      <c r="G7" s="91"/>
      <c r="I7" s="20" t="s">
        <v>69</v>
      </c>
      <c r="J7" s="122" t="s">
        <v>70</v>
      </c>
      <c r="K7" s="63" t="s">
        <v>71</v>
      </c>
    </row>
    <row r="8" spans="2:11" ht="15" customHeight="1" x14ac:dyDescent="0.35">
      <c r="B8" s="37" t="s">
        <v>653</v>
      </c>
      <c r="C8" s="252" t="s">
        <v>926</v>
      </c>
      <c r="D8" s="252"/>
      <c r="E8" s="390"/>
      <c r="F8" s="91"/>
      <c r="G8" s="91"/>
      <c r="I8" s="21" t="s">
        <v>72</v>
      </c>
      <c r="J8" s="122" t="s">
        <v>73</v>
      </c>
      <c r="K8" s="63" t="s">
        <v>74</v>
      </c>
    </row>
    <row r="9" spans="2:11" ht="15" customHeight="1" x14ac:dyDescent="0.35">
      <c r="B9" s="37" t="s">
        <v>655</v>
      </c>
      <c r="C9" s="263">
        <v>46211</v>
      </c>
      <c r="D9" s="264"/>
      <c r="E9" s="264"/>
      <c r="F9" s="91"/>
      <c r="G9" s="91"/>
      <c r="I9" s="22" t="s">
        <v>75</v>
      </c>
      <c r="J9" s="122" t="s">
        <v>76</v>
      </c>
      <c r="K9" s="63" t="s">
        <v>77</v>
      </c>
    </row>
    <row r="10" spans="2:11" x14ac:dyDescent="0.35">
      <c r="B10" s="37" t="s">
        <v>656</v>
      </c>
      <c r="C10" s="386" t="s">
        <v>657</v>
      </c>
      <c r="D10" s="386"/>
      <c r="E10" s="387"/>
      <c r="F10" s="91"/>
      <c r="G10" s="91"/>
    </row>
    <row r="11" spans="2:11" x14ac:dyDescent="0.35">
      <c r="B11" s="37" t="s">
        <v>658</v>
      </c>
      <c r="C11" s="252">
        <v>1</v>
      </c>
      <c r="D11" s="252"/>
      <c r="E11" s="390"/>
      <c r="F11" s="91"/>
      <c r="G11" s="91"/>
      <c r="I11" s="6" t="s">
        <v>659</v>
      </c>
      <c r="J11" s="6" t="s">
        <v>292</v>
      </c>
      <c r="K11" s="6" t="s">
        <v>660</v>
      </c>
    </row>
    <row r="12" spans="2:11" ht="15.75" customHeight="1" x14ac:dyDescent="0.35">
      <c r="B12" s="133" t="s">
        <v>661</v>
      </c>
      <c r="C12" s="126" t="s">
        <v>272</v>
      </c>
      <c r="D12" s="127"/>
      <c r="E12" s="127"/>
      <c r="F12" s="91"/>
      <c r="G12" s="91"/>
      <c r="I12" s="18" t="s">
        <v>662</v>
      </c>
      <c r="J12" s="63" t="s">
        <v>663</v>
      </c>
      <c r="K12" s="63" t="s">
        <v>664</v>
      </c>
    </row>
    <row r="13" spans="2:11" ht="15.75" customHeight="1" x14ac:dyDescent="0.35">
      <c r="B13" s="37" t="s">
        <v>665</v>
      </c>
      <c r="C13" s="140" t="s">
        <v>69</v>
      </c>
      <c r="D13" s="141" t="s">
        <v>666</v>
      </c>
      <c r="E13" s="70"/>
      <c r="F13" s="91"/>
      <c r="G13" s="91"/>
      <c r="I13" s="122" t="s">
        <v>667</v>
      </c>
      <c r="J13" s="63" t="s">
        <v>668</v>
      </c>
      <c r="K13" s="63" t="s">
        <v>669</v>
      </c>
    </row>
    <row r="14" spans="2:11" ht="15.75" customHeight="1" x14ac:dyDescent="0.35">
      <c r="B14" s="133" t="s">
        <v>670</v>
      </c>
      <c r="C14" s="198" t="s">
        <v>295</v>
      </c>
      <c r="D14" s="141"/>
      <c r="E14" s="70"/>
      <c r="F14" s="91"/>
      <c r="G14" s="91"/>
      <c r="I14" s="122" t="s">
        <v>672</v>
      </c>
      <c r="J14" s="63" t="s">
        <v>673</v>
      </c>
      <c r="K14" s="63" t="s">
        <v>674</v>
      </c>
    </row>
    <row r="15" spans="2:11" x14ac:dyDescent="0.35">
      <c r="B15" s="37" t="s">
        <v>675</v>
      </c>
      <c r="C15" s="388"/>
      <c r="D15" s="389" t="s">
        <v>666</v>
      </c>
      <c r="E15" s="389"/>
      <c r="F15" s="91"/>
      <c r="G15" s="91"/>
    </row>
    <row r="16" spans="2:11" ht="18.5" x14ac:dyDescent="0.35">
      <c r="B16" s="37" t="s">
        <v>677</v>
      </c>
      <c r="C16" s="38" t="s">
        <v>432</v>
      </c>
      <c r="D16" s="134"/>
      <c r="F16" s="91"/>
      <c r="G16" s="91"/>
    </row>
    <row r="17" spans="2:7" x14ac:dyDescent="0.35">
      <c r="B17" s="37" t="s">
        <v>678</v>
      </c>
      <c r="C17" s="252" t="s">
        <v>679</v>
      </c>
      <c r="D17" s="252"/>
      <c r="E17" s="390"/>
      <c r="F17" s="91"/>
      <c r="G17" s="91"/>
    </row>
    <row r="18" spans="2:7" ht="44.25" customHeight="1" x14ac:dyDescent="0.35">
      <c r="B18" s="37" t="s">
        <v>680</v>
      </c>
      <c r="C18" s="252" t="s">
        <v>1072</v>
      </c>
      <c r="D18" s="252"/>
      <c r="E18" s="390"/>
      <c r="F18" s="91"/>
      <c r="G18" s="91"/>
    </row>
    <row r="19" spans="2:7" x14ac:dyDescent="0.35">
      <c r="B19" s="37" t="s">
        <v>682</v>
      </c>
      <c r="C19" s="252" t="s">
        <v>1056</v>
      </c>
      <c r="D19" s="252"/>
      <c r="E19" s="390"/>
      <c r="F19" s="91"/>
      <c r="G19" s="91"/>
    </row>
    <row r="20" spans="2:7" x14ac:dyDescent="0.35">
      <c r="B20" s="37" t="s">
        <v>684</v>
      </c>
      <c r="C20" s="252" t="s">
        <v>1040</v>
      </c>
      <c r="D20" s="252"/>
      <c r="E20" s="390"/>
      <c r="F20" s="91"/>
      <c r="G20" s="91"/>
    </row>
    <row r="21" spans="2:7" ht="15" x14ac:dyDescent="0.35">
      <c r="B21" s="37" t="s">
        <v>686</v>
      </c>
      <c r="C21" s="252" t="s">
        <v>1041</v>
      </c>
      <c r="D21" s="252"/>
      <c r="E21" s="390"/>
      <c r="F21" s="91"/>
      <c r="G21" s="91"/>
    </row>
    <row r="22" spans="2:7" x14ac:dyDescent="0.35">
      <c r="B22" s="37" t="s">
        <v>688</v>
      </c>
      <c r="C22" s="252"/>
      <c r="D22" s="252"/>
      <c r="E22" s="390"/>
      <c r="F22" s="91"/>
      <c r="G22" s="91"/>
    </row>
    <row r="23" spans="2:7" x14ac:dyDescent="0.35">
      <c r="B23" s="37" t="s">
        <v>690</v>
      </c>
      <c r="C23" s="351" t="s">
        <v>933</v>
      </c>
      <c r="D23" s="252"/>
      <c r="E23" s="390"/>
      <c r="F23" s="91"/>
      <c r="G23" s="91"/>
    </row>
    <row r="24" spans="2:7" ht="15" x14ac:dyDescent="0.35">
      <c r="B24" s="37" t="s">
        <v>692</v>
      </c>
      <c r="C24" s="391" t="s">
        <v>934</v>
      </c>
      <c r="D24" s="392"/>
      <c r="E24" s="393"/>
      <c r="F24" s="91"/>
      <c r="G24" s="91"/>
    </row>
    <row r="25" spans="2:7" x14ac:dyDescent="0.35">
      <c r="B25" s="37" t="s">
        <v>935</v>
      </c>
      <c r="C25" s="174"/>
      <c r="D25" s="174"/>
      <c r="E25" s="174"/>
      <c r="F25" s="91"/>
      <c r="G25" s="91"/>
    </row>
    <row r="26" spans="2:7" x14ac:dyDescent="0.35">
      <c r="B26" s="37" t="s">
        <v>936</v>
      </c>
      <c r="C26" s="252" t="s">
        <v>937</v>
      </c>
      <c r="D26" s="252"/>
      <c r="E26" s="253"/>
      <c r="F26" s="91"/>
      <c r="G26" s="91"/>
    </row>
    <row r="27" spans="2:7" x14ac:dyDescent="0.35">
      <c r="B27" s="37" t="s">
        <v>938</v>
      </c>
      <c r="C27" s="252"/>
      <c r="D27" s="252"/>
      <c r="E27" s="253"/>
      <c r="F27" s="91"/>
      <c r="G27" s="91"/>
    </row>
    <row r="28" spans="2:7" x14ac:dyDescent="0.35">
      <c r="B28" s="199" t="s">
        <v>698</v>
      </c>
      <c r="C28" s="252"/>
      <c r="D28" s="252"/>
      <c r="E28" s="253"/>
      <c r="F28" s="91"/>
      <c r="G28" s="91"/>
    </row>
    <row r="30" spans="2:7" ht="24" customHeight="1" x14ac:dyDescent="0.35">
      <c r="B30" s="100" t="s">
        <v>699</v>
      </c>
      <c r="C30" s="100"/>
      <c r="D30" s="100"/>
      <c r="E30" s="100"/>
      <c r="F30" s="100"/>
    </row>
    <row r="31" spans="2:7" ht="27.75" customHeight="1" x14ac:dyDescent="0.35">
      <c r="B31" s="6" t="s">
        <v>19</v>
      </c>
      <c r="C31" s="6" t="s">
        <v>700</v>
      </c>
      <c r="D31" s="6" t="s">
        <v>701</v>
      </c>
      <c r="E31" s="6" t="s">
        <v>702</v>
      </c>
      <c r="F31" s="6" t="s">
        <v>703</v>
      </c>
    </row>
    <row r="32" spans="2:7" ht="21.75" customHeight="1" x14ac:dyDescent="0.35">
      <c r="B32" s="170" t="s">
        <v>704</v>
      </c>
      <c r="C32" s="170"/>
      <c r="D32" s="170"/>
      <c r="E32" s="170"/>
      <c r="F32" s="170"/>
    </row>
    <row r="33" spans="2:6" ht="27.75" customHeight="1" x14ac:dyDescent="0.35">
      <c r="B33" s="40" t="s">
        <v>939</v>
      </c>
      <c r="C33" s="65" t="s">
        <v>705</v>
      </c>
      <c r="D33" s="26" t="s">
        <v>89</v>
      </c>
      <c r="E33" s="5" t="s">
        <v>940</v>
      </c>
      <c r="F33" s="36" t="s">
        <v>277</v>
      </c>
    </row>
    <row r="34" spans="2:6" ht="27.75" customHeight="1" x14ac:dyDescent="0.35">
      <c r="B34" s="41" t="s">
        <v>941</v>
      </c>
      <c r="C34" s="66" t="s">
        <v>706</v>
      </c>
      <c r="D34" s="26" t="s">
        <v>89</v>
      </c>
      <c r="E34" s="5" t="s">
        <v>942</v>
      </c>
      <c r="F34" s="36" t="s">
        <v>271</v>
      </c>
    </row>
    <row r="35" spans="2:6" ht="27.75" customHeight="1" x14ac:dyDescent="0.35">
      <c r="B35" s="40" t="s">
        <v>943</v>
      </c>
      <c r="C35" s="65" t="s">
        <v>707</v>
      </c>
      <c r="D35" s="26" t="s">
        <v>93</v>
      </c>
      <c r="E35" s="5" t="s">
        <v>944</v>
      </c>
      <c r="F35" s="36" t="s">
        <v>277</v>
      </c>
    </row>
    <row r="36" spans="2:6" ht="27.75" customHeight="1" x14ac:dyDescent="0.35">
      <c r="B36" s="41" t="s">
        <v>945</v>
      </c>
      <c r="C36" s="66" t="s">
        <v>708</v>
      </c>
      <c r="D36" s="26" t="s">
        <v>89</v>
      </c>
      <c r="E36" s="5" t="s">
        <v>946</v>
      </c>
      <c r="F36" s="36" t="s">
        <v>277</v>
      </c>
    </row>
    <row r="37" spans="2:6" ht="27.75" customHeight="1" x14ac:dyDescent="0.35">
      <c r="B37" s="40" t="s">
        <v>947</v>
      </c>
      <c r="C37" s="65" t="s">
        <v>709</v>
      </c>
      <c r="D37" s="26" t="s">
        <v>89</v>
      </c>
      <c r="E37" s="5" t="s">
        <v>948</v>
      </c>
      <c r="F37" s="36" t="s">
        <v>277</v>
      </c>
    </row>
    <row r="39" spans="2:6" ht="21.75" customHeight="1" x14ac:dyDescent="0.35">
      <c r="B39" s="129" t="s">
        <v>711</v>
      </c>
      <c r="C39" s="129"/>
      <c r="D39" s="129"/>
      <c r="E39" s="129"/>
      <c r="F39" s="129"/>
    </row>
    <row r="40" spans="2:6" ht="27.75" customHeight="1" x14ac:dyDescent="0.35">
      <c r="B40" s="41" t="s">
        <v>949</v>
      </c>
      <c r="C40" s="66" t="s">
        <v>712</v>
      </c>
      <c r="D40" s="26" t="s">
        <v>86</v>
      </c>
      <c r="E40" s="5" t="s">
        <v>950</v>
      </c>
      <c r="F40" s="36" t="s">
        <v>277</v>
      </c>
    </row>
    <row r="41" spans="2:6" ht="27.75" customHeight="1" x14ac:dyDescent="0.35">
      <c r="B41" s="40" t="s">
        <v>951</v>
      </c>
      <c r="C41" s="65" t="s">
        <v>714</v>
      </c>
      <c r="D41" s="26" t="s">
        <v>86</v>
      </c>
      <c r="E41" s="5" t="s">
        <v>952</v>
      </c>
      <c r="F41" s="36" t="s">
        <v>277</v>
      </c>
    </row>
    <row r="42" spans="2:6" ht="27.75" customHeight="1" x14ac:dyDescent="0.35">
      <c r="B42" s="41" t="s">
        <v>953</v>
      </c>
      <c r="C42" s="66" t="s">
        <v>716</v>
      </c>
      <c r="D42" s="26" t="s">
        <v>86</v>
      </c>
      <c r="E42" s="5" t="s">
        <v>954</v>
      </c>
      <c r="F42" s="36" t="s">
        <v>271</v>
      </c>
    </row>
    <row r="43" spans="2:6" ht="27.75" customHeight="1" x14ac:dyDescent="0.35">
      <c r="B43" s="40" t="s">
        <v>955</v>
      </c>
      <c r="C43" s="65" t="s">
        <v>718</v>
      </c>
      <c r="D43" s="26" t="s">
        <v>89</v>
      </c>
      <c r="E43" s="5" t="s">
        <v>956</v>
      </c>
      <c r="F43" s="36" t="s">
        <v>277</v>
      </c>
    </row>
    <row r="44" spans="2:6" ht="43.5" x14ac:dyDescent="0.35">
      <c r="B44" s="41" t="s">
        <v>957</v>
      </c>
      <c r="C44" s="66" t="s">
        <v>719</v>
      </c>
      <c r="D44" s="26" t="s">
        <v>93</v>
      </c>
      <c r="E44" s="5"/>
      <c r="F44" s="36" t="s">
        <v>277</v>
      </c>
    </row>
    <row r="45" spans="2:6" ht="27.75" customHeight="1" x14ac:dyDescent="0.35">
      <c r="B45" s="40" t="s">
        <v>958</v>
      </c>
      <c r="C45" s="65" t="s">
        <v>721</v>
      </c>
      <c r="D45" s="26" t="s">
        <v>89</v>
      </c>
      <c r="E45" s="5" t="s">
        <v>1073</v>
      </c>
      <c r="F45" s="36" t="s">
        <v>277</v>
      </c>
    </row>
    <row r="46" spans="2:6" ht="27.75" customHeight="1" x14ac:dyDescent="0.35">
      <c r="B46" s="41" t="s">
        <v>959</v>
      </c>
      <c r="C46" s="66" t="s">
        <v>722</v>
      </c>
      <c r="D46" s="26" t="s">
        <v>89</v>
      </c>
      <c r="E46" s="5" t="s">
        <v>960</v>
      </c>
      <c r="F46" s="36" t="s">
        <v>271</v>
      </c>
    </row>
    <row r="48" spans="2:6" ht="21.75" customHeight="1" x14ac:dyDescent="0.35">
      <c r="B48" s="129" t="s">
        <v>723</v>
      </c>
      <c r="C48" s="129"/>
      <c r="D48" s="129"/>
      <c r="E48" s="129"/>
      <c r="F48" s="129"/>
    </row>
    <row r="49" spans="2:6" ht="27.75" customHeight="1" x14ac:dyDescent="0.35">
      <c r="B49" s="40" t="s">
        <v>961</v>
      </c>
      <c r="C49" s="65" t="s">
        <v>724</v>
      </c>
      <c r="D49" s="26" t="s">
        <v>86</v>
      </c>
      <c r="E49" s="5" t="s">
        <v>962</v>
      </c>
      <c r="F49" s="36" t="s">
        <v>277</v>
      </c>
    </row>
    <row r="50" spans="2:6" ht="43.5" x14ac:dyDescent="0.35">
      <c r="B50" s="41" t="s">
        <v>963</v>
      </c>
      <c r="C50" s="66" t="s">
        <v>726</v>
      </c>
      <c r="D50" s="26" t="s">
        <v>86</v>
      </c>
      <c r="E50" s="5" t="s">
        <v>964</v>
      </c>
      <c r="F50" s="36" t="s">
        <v>271</v>
      </c>
    </row>
    <row r="51" spans="2:6" ht="27.75" customHeight="1" x14ac:dyDescent="0.35">
      <c r="B51" s="40" t="s">
        <v>965</v>
      </c>
      <c r="C51" s="65" t="s">
        <v>727</v>
      </c>
      <c r="D51" s="26" t="s">
        <v>89</v>
      </c>
      <c r="E51" s="5" t="s">
        <v>1074</v>
      </c>
      <c r="F51" s="36" t="s">
        <v>271</v>
      </c>
    </row>
    <row r="53" spans="2:6" ht="21.75" customHeight="1" x14ac:dyDescent="0.35">
      <c r="B53" s="129" t="s">
        <v>728</v>
      </c>
      <c r="C53" s="129"/>
      <c r="D53" s="129"/>
      <c r="E53" s="129"/>
      <c r="F53" s="129"/>
    </row>
    <row r="54" spans="2:6" ht="27.75" customHeight="1" x14ac:dyDescent="0.35">
      <c r="B54" s="41" t="s">
        <v>967</v>
      </c>
      <c r="C54" s="66" t="s">
        <v>729</v>
      </c>
      <c r="D54" s="26" t="s">
        <v>89</v>
      </c>
      <c r="E54" s="5" t="s">
        <v>968</v>
      </c>
      <c r="F54" s="36" t="s">
        <v>271</v>
      </c>
    </row>
    <row r="55" spans="2:6" ht="27.75" customHeight="1" x14ac:dyDescent="0.35">
      <c r="B55" s="40" t="s">
        <v>969</v>
      </c>
      <c r="C55" s="65" t="s">
        <v>731</v>
      </c>
      <c r="D55" s="26" t="s">
        <v>89</v>
      </c>
      <c r="E55" s="5" t="s">
        <v>970</v>
      </c>
      <c r="F55" s="36" t="s">
        <v>271</v>
      </c>
    </row>
    <row r="57" spans="2:6" ht="27.75" customHeight="1" x14ac:dyDescent="0.35">
      <c r="B57" s="260" t="s">
        <v>732</v>
      </c>
      <c r="C57" s="260"/>
      <c r="D57" s="42">
        <f>IF(D33="Sí",1,IF(D33="Parcial",0.5,0))+IF(D34="Sí",1,IF(D34="Parcial",0.5,0))+IF(D35="Sí",1,IF(D35="Parcial",0.5,0))+IF(D36="Sí",1,IF(D36="Parcial",0.5,0))+IF(D37="Sí",1,IF(D37="Parcial",0.5,0))+IF(D40="Sí",1,IF(D40="Parcial",0.5,0))+IF(D41="Sí",1,IF(D41="Parcial",0.5,0))+IF(D42="Sí",1,IF(D42="Parcial",0.5,0))+IF(D43="Sí",1,IF(D43="Parcial",0.5,0))+IF(D44="Sí",1,IF(D44="Parcial",0.5,0))+IF(D45="Sí",1,IF(D45="Parcial",0.5,0))+IF(D46="Sí",1,IF(D46="Parcial",0.5,0))+IF(D49="Sí",1,IF(D49="Parcial",0.5,0))+IF(D50="Sí",1,IF(D50="Parcial",0.5,0))+IF(D51="Sí",1,IF(D51="Parcial",0.5,0))+IF(D54="Sí",1,IF(D54="Parcial",0.5,0))+IF(D55="Sí",1,IF(D55="Parcial",0.5,0))</f>
        <v>10</v>
      </c>
      <c r="E57" s="43">
        <f>D57/17</f>
        <v>0.58823529411764708</v>
      </c>
    </row>
    <row r="59" spans="2:6" ht="24" customHeight="1" x14ac:dyDescent="0.35">
      <c r="B59" s="100" t="s">
        <v>733</v>
      </c>
      <c r="C59" s="100"/>
      <c r="D59" s="100"/>
      <c r="E59" s="100"/>
      <c r="F59" s="100"/>
    </row>
    <row r="60" spans="2:6" ht="21.75" customHeight="1" x14ac:dyDescent="0.35">
      <c r="B60" s="6" t="s">
        <v>464</v>
      </c>
      <c r="C60" s="6" t="s">
        <v>466</v>
      </c>
      <c r="D60" s="6" t="s">
        <v>734</v>
      </c>
      <c r="E60" s="6" t="s">
        <v>735</v>
      </c>
      <c r="F60" s="6" t="s">
        <v>736</v>
      </c>
    </row>
    <row r="61" spans="2:6" ht="21.75" customHeight="1" x14ac:dyDescent="0.35">
      <c r="B61" s="44" t="s">
        <v>467</v>
      </c>
      <c r="C61" s="200">
        <v>171</v>
      </c>
      <c r="D61" s="45"/>
      <c r="E61" s="45" t="s">
        <v>1075</v>
      </c>
      <c r="F61" s="121"/>
    </row>
    <row r="62" spans="2:6" ht="21.75" customHeight="1" x14ac:dyDescent="0.35">
      <c r="B62" s="210" t="s">
        <v>972</v>
      </c>
      <c r="C62" s="200"/>
      <c r="D62" s="45"/>
      <c r="E62" s="45"/>
      <c r="F62" s="121"/>
    </row>
    <row r="63" spans="2:6" ht="21.75" customHeight="1" x14ac:dyDescent="0.35">
      <c r="B63" s="210" t="s">
        <v>973</v>
      </c>
      <c r="C63" s="200"/>
      <c r="D63" s="45"/>
      <c r="E63" s="45"/>
      <c r="F63" s="121"/>
    </row>
    <row r="64" spans="2:6" ht="21.75" customHeight="1" x14ac:dyDescent="0.35">
      <c r="B64" s="46" t="s">
        <v>470</v>
      </c>
      <c r="C64" s="201">
        <v>163</v>
      </c>
      <c r="D64" s="47"/>
      <c r="E64" s="47" t="s">
        <v>1075</v>
      </c>
      <c r="F64" s="121"/>
    </row>
    <row r="65" spans="2:6" ht="21.75" customHeight="1" x14ac:dyDescent="0.35">
      <c r="B65" s="44" t="s">
        <v>472</v>
      </c>
      <c r="C65" s="200">
        <v>8</v>
      </c>
      <c r="D65" s="45"/>
      <c r="E65" s="45" t="s">
        <v>1075</v>
      </c>
      <c r="F65" s="121"/>
    </row>
    <row r="66" spans="2:6" ht="21.75" customHeight="1" x14ac:dyDescent="0.35">
      <c r="B66" s="46" t="s">
        <v>737</v>
      </c>
      <c r="C66" s="201"/>
      <c r="D66" s="47" t="s">
        <v>97</v>
      </c>
      <c r="E66" s="47" t="s">
        <v>1075</v>
      </c>
      <c r="F66" s="121"/>
    </row>
    <row r="67" spans="2:6" ht="21.75" customHeight="1" x14ac:dyDescent="0.35">
      <c r="B67" s="44" t="s">
        <v>475</v>
      </c>
      <c r="C67" s="202"/>
      <c r="D67" s="45" t="s">
        <v>496</v>
      </c>
      <c r="E67" s="45" t="s">
        <v>1075</v>
      </c>
      <c r="F67" s="121"/>
    </row>
    <row r="68" spans="2:6" ht="21.75" customHeight="1" x14ac:dyDescent="0.35">
      <c r="B68" s="46" t="s">
        <v>477</v>
      </c>
      <c r="C68" s="201">
        <v>17.920000000000002</v>
      </c>
      <c r="D68" s="47" t="s">
        <v>974</v>
      </c>
      <c r="E68" s="47" t="s">
        <v>1075</v>
      </c>
      <c r="F68" s="121"/>
    </row>
    <row r="69" spans="2:6" ht="21.75" customHeight="1" x14ac:dyDescent="0.35">
      <c r="B69" s="44" t="s">
        <v>257</v>
      </c>
      <c r="C69" s="202">
        <v>0.72</v>
      </c>
      <c r="D69" s="189">
        <v>0.92</v>
      </c>
      <c r="E69" s="45" t="s">
        <v>1075</v>
      </c>
      <c r="F69" s="121"/>
    </row>
    <row r="70" spans="2:6" ht="21.75" customHeight="1" x14ac:dyDescent="0.35">
      <c r="B70" s="46" t="s">
        <v>480</v>
      </c>
      <c r="C70" s="201">
        <v>11</v>
      </c>
      <c r="D70" s="47"/>
      <c r="E70" s="47" t="s">
        <v>1075</v>
      </c>
      <c r="F70" s="121"/>
    </row>
    <row r="71" spans="2:6" ht="21.75" customHeight="1" x14ac:dyDescent="0.35">
      <c r="B71" s="44" t="s">
        <v>482</v>
      </c>
      <c r="C71" s="200">
        <v>142</v>
      </c>
      <c r="D71" s="45"/>
      <c r="E71" s="45" t="s">
        <v>1075</v>
      </c>
      <c r="F71" s="121"/>
    </row>
    <row r="72" spans="2:6" ht="21.75" customHeight="1" x14ac:dyDescent="0.35">
      <c r="B72" s="46" t="s">
        <v>484</v>
      </c>
      <c r="C72" s="201" t="s">
        <v>496</v>
      </c>
      <c r="D72" s="47" t="s">
        <v>496</v>
      </c>
      <c r="E72" s="47" t="s">
        <v>1075</v>
      </c>
      <c r="F72" s="121"/>
    </row>
    <row r="73" spans="2:6" ht="21.75" customHeight="1" x14ac:dyDescent="0.35">
      <c r="B73" s="44" t="s">
        <v>486</v>
      </c>
      <c r="C73" s="200">
        <v>1</v>
      </c>
      <c r="D73" s="45"/>
      <c r="E73" s="45" t="s">
        <v>1075</v>
      </c>
      <c r="F73" s="121"/>
    </row>
    <row r="74" spans="2:6" ht="21.75" customHeight="1" x14ac:dyDescent="0.35">
      <c r="B74" s="46" t="s">
        <v>488</v>
      </c>
      <c r="C74" s="203">
        <v>0</v>
      </c>
      <c r="D74" s="188">
        <v>0</v>
      </c>
      <c r="E74" s="47" t="s">
        <v>1075</v>
      </c>
      <c r="F74" s="121"/>
    </row>
    <row r="76" spans="2:6" ht="24" customHeight="1" x14ac:dyDescent="0.35">
      <c r="B76" s="100" t="s">
        <v>37</v>
      </c>
      <c r="C76" s="100"/>
      <c r="D76" s="100"/>
      <c r="E76" s="100"/>
      <c r="F76" s="100"/>
    </row>
    <row r="77" spans="2:6" ht="24" customHeight="1" x14ac:dyDescent="0.35">
      <c r="B77" s="266" t="s">
        <v>739</v>
      </c>
      <c r="C77" s="266"/>
      <c r="D77" s="266"/>
      <c r="E77" s="266"/>
      <c r="F77" s="266"/>
    </row>
    <row r="78" spans="2:6" ht="21.75" customHeight="1" x14ac:dyDescent="0.35">
      <c r="B78" s="6" t="s">
        <v>740</v>
      </c>
      <c r="C78" s="6" t="s">
        <v>741</v>
      </c>
      <c r="D78" s="6" t="s">
        <v>742</v>
      </c>
      <c r="E78" s="6" t="s">
        <v>743</v>
      </c>
      <c r="F78" s="6" t="s">
        <v>744</v>
      </c>
    </row>
    <row r="79" spans="2:6" ht="19.5" customHeight="1" x14ac:dyDescent="0.35">
      <c r="B79" s="44" t="s">
        <v>745</v>
      </c>
      <c r="C79" s="45"/>
      <c r="D79" s="45"/>
      <c r="E79" s="45"/>
      <c r="F79" s="45"/>
    </row>
    <row r="80" spans="2:6" ht="19.5" customHeight="1" x14ac:dyDescent="0.35">
      <c r="B80" s="46" t="s">
        <v>746</v>
      </c>
      <c r="C80" s="47"/>
      <c r="D80" s="47"/>
      <c r="E80" s="47"/>
      <c r="F80" s="47"/>
    </row>
    <row r="81" spans="2:6" ht="33" customHeight="1" x14ac:dyDescent="0.35">
      <c r="B81" s="44" t="s">
        <v>748</v>
      </c>
      <c r="C81" s="45">
        <v>171</v>
      </c>
      <c r="D81" s="189">
        <v>1</v>
      </c>
      <c r="E81" s="45">
        <v>17.920000000000002</v>
      </c>
      <c r="F81" s="149" t="s">
        <v>1076</v>
      </c>
    </row>
    <row r="82" spans="2:6" ht="19.5" customHeight="1" x14ac:dyDescent="0.35">
      <c r="B82" s="46" t="s">
        <v>749</v>
      </c>
      <c r="C82" s="47"/>
      <c r="D82" s="47"/>
      <c r="E82" s="47"/>
      <c r="F82" s="47"/>
    </row>
    <row r="83" spans="2:6" ht="19.5" customHeight="1" x14ac:dyDescent="0.35">
      <c r="B83" s="44" t="s">
        <v>751</v>
      </c>
      <c r="C83" s="45"/>
      <c r="D83" s="45"/>
      <c r="E83" s="45"/>
      <c r="F83" s="45"/>
    </row>
    <row r="84" spans="2:6" ht="19.5" customHeight="1" x14ac:dyDescent="0.35">
      <c r="B84" s="46" t="s">
        <v>752</v>
      </c>
      <c r="C84" s="47"/>
      <c r="D84" s="47"/>
      <c r="E84" s="47"/>
      <c r="F84" s="47"/>
    </row>
    <row r="85" spans="2:6" ht="19.5" customHeight="1" x14ac:dyDescent="0.35">
      <c r="B85" s="44" t="s">
        <v>753</v>
      </c>
      <c r="C85" s="45"/>
      <c r="D85" s="45"/>
      <c r="E85" s="45"/>
      <c r="F85" s="45"/>
    </row>
    <row r="86" spans="2:6" ht="19.5" customHeight="1" x14ac:dyDescent="0.35">
      <c r="B86" s="46" t="s">
        <v>755</v>
      </c>
      <c r="C86" s="47"/>
      <c r="D86" s="47"/>
      <c r="E86" s="47"/>
      <c r="F86" s="47"/>
    </row>
    <row r="87" spans="2:6" ht="14.5" customHeight="1" x14ac:dyDescent="0.35"/>
    <row r="88" spans="2:6" ht="24" customHeight="1" x14ac:dyDescent="0.35">
      <c r="B88" s="100" t="s">
        <v>757</v>
      </c>
      <c r="C88" s="100"/>
      <c r="D88" s="100"/>
      <c r="E88" s="100"/>
      <c r="F88" s="100"/>
    </row>
    <row r="89" spans="2:6" ht="21.75" customHeight="1" x14ac:dyDescent="0.35">
      <c r="B89" s="6" t="s">
        <v>758</v>
      </c>
      <c r="C89" s="6" t="s">
        <v>466</v>
      </c>
      <c r="D89" s="6" t="s">
        <v>201</v>
      </c>
      <c r="E89" s="6" t="s">
        <v>759</v>
      </c>
      <c r="F89" s="6" t="s">
        <v>744</v>
      </c>
    </row>
    <row r="90" spans="2:6" ht="21.75" customHeight="1" x14ac:dyDescent="0.35">
      <c r="B90" s="14" t="s">
        <v>760</v>
      </c>
      <c r="C90" s="45"/>
      <c r="D90" s="45"/>
      <c r="E90" s="45"/>
      <c r="F90" s="45"/>
    </row>
    <row r="91" spans="2:6" x14ac:dyDescent="0.35">
      <c r="B91" s="16" t="s">
        <v>428</v>
      </c>
      <c r="C91" s="36"/>
      <c r="D91" s="36"/>
      <c r="E91" s="47"/>
      <c r="F91" s="45"/>
    </row>
    <row r="92" spans="2:6" ht="21.75" customHeight="1" x14ac:dyDescent="0.35">
      <c r="B92" s="14" t="s">
        <v>429</v>
      </c>
      <c r="C92" s="45"/>
      <c r="D92" s="45"/>
      <c r="E92" s="45"/>
      <c r="F92" s="45"/>
    </row>
    <row r="93" spans="2:6" x14ac:dyDescent="0.35">
      <c r="B93" s="16" t="s">
        <v>761</v>
      </c>
      <c r="C93" s="47"/>
      <c r="D93" s="47"/>
      <c r="E93" s="47"/>
      <c r="F93" s="47"/>
    </row>
    <row r="94" spans="2:6" ht="29" x14ac:dyDescent="0.35">
      <c r="B94" s="14" t="s">
        <v>762</v>
      </c>
      <c r="C94" s="45"/>
      <c r="D94" s="45"/>
      <c r="E94" s="45"/>
      <c r="F94" s="45"/>
    </row>
    <row r="95" spans="2:6" ht="21.75" customHeight="1" x14ac:dyDescent="0.35">
      <c r="B95" s="16" t="s">
        <v>430</v>
      </c>
      <c r="C95" s="47"/>
      <c r="D95" s="47"/>
      <c r="E95" s="47"/>
      <c r="F95" s="47"/>
    </row>
    <row r="96" spans="2:6" ht="29" x14ac:dyDescent="0.35">
      <c r="B96" s="14" t="s">
        <v>431</v>
      </c>
      <c r="C96" s="45"/>
      <c r="D96" s="45"/>
      <c r="E96" s="45"/>
      <c r="F96" s="45"/>
    </row>
    <row r="98" spans="2:7" ht="24" customHeight="1" x14ac:dyDescent="0.35">
      <c r="B98" s="258" t="s">
        <v>763</v>
      </c>
      <c r="C98" s="258"/>
      <c r="D98" s="258"/>
      <c r="E98" s="258"/>
      <c r="F98" s="258"/>
      <c r="G98" s="258"/>
    </row>
    <row r="99" spans="2:7" ht="27.75" customHeight="1" x14ac:dyDescent="0.35">
      <c r="B99" s="6" t="s">
        <v>142</v>
      </c>
      <c r="C99" s="6" t="s">
        <v>764</v>
      </c>
      <c r="D99" s="6" t="s">
        <v>765</v>
      </c>
      <c r="E99" s="6" t="s">
        <v>766</v>
      </c>
      <c r="F99" s="6" t="s">
        <v>767</v>
      </c>
      <c r="G99" s="6" t="s">
        <v>768</v>
      </c>
    </row>
    <row r="100" spans="2:7" ht="25.5" customHeight="1" x14ac:dyDescent="0.35">
      <c r="B100" s="48" t="s">
        <v>153</v>
      </c>
      <c r="C100" s="26" t="s">
        <v>89</v>
      </c>
      <c r="D100" s="69" t="s">
        <v>769</v>
      </c>
      <c r="E100" s="49">
        <v>3</v>
      </c>
      <c r="F100" s="36" t="s">
        <v>277</v>
      </c>
      <c r="G100" s="5" t="s">
        <v>976</v>
      </c>
    </row>
    <row r="101" spans="2:7" ht="25.5" customHeight="1" x14ac:dyDescent="0.35">
      <c r="B101" s="50" t="s">
        <v>154</v>
      </c>
      <c r="C101" s="26" t="s">
        <v>86</v>
      </c>
      <c r="D101" s="68" t="s">
        <v>771</v>
      </c>
      <c r="E101" s="49">
        <v>5</v>
      </c>
      <c r="F101" s="36" t="s">
        <v>271</v>
      </c>
      <c r="G101" s="5" t="s">
        <v>977</v>
      </c>
    </row>
    <row r="102" spans="2:7" ht="25.5" customHeight="1" x14ac:dyDescent="0.35">
      <c r="B102" s="48" t="s">
        <v>155</v>
      </c>
      <c r="C102" s="26" t="s">
        <v>86</v>
      </c>
      <c r="D102" s="69" t="s">
        <v>773</v>
      </c>
      <c r="E102" s="49">
        <v>4</v>
      </c>
      <c r="F102" s="36" t="s">
        <v>271</v>
      </c>
      <c r="G102" s="5" t="s">
        <v>978</v>
      </c>
    </row>
    <row r="103" spans="2:7" ht="25.5" customHeight="1" x14ac:dyDescent="0.35">
      <c r="B103" s="50" t="s">
        <v>156</v>
      </c>
      <c r="C103" s="26" t="s">
        <v>89</v>
      </c>
      <c r="D103" s="68" t="s">
        <v>775</v>
      </c>
      <c r="E103" s="49">
        <v>3</v>
      </c>
      <c r="F103" s="36" t="s">
        <v>277</v>
      </c>
      <c r="G103" s="5" t="s">
        <v>979</v>
      </c>
    </row>
    <row r="104" spans="2:7" ht="25.5" customHeight="1" x14ac:dyDescent="0.35">
      <c r="B104" s="48" t="s">
        <v>157</v>
      </c>
      <c r="C104" s="26" t="s">
        <v>93</v>
      </c>
      <c r="D104" s="67" t="s">
        <v>777</v>
      </c>
      <c r="E104" s="49">
        <v>2</v>
      </c>
      <c r="F104" s="36" t="s">
        <v>282</v>
      </c>
      <c r="G104" s="5" t="s">
        <v>980</v>
      </c>
    </row>
    <row r="105" spans="2:7" ht="25.5" customHeight="1" x14ac:dyDescent="0.35">
      <c r="B105" s="50" t="s">
        <v>158</v>
      </c>
      <c r="C105" s="26" t="s">
        <v>89</v>
      </c>
      <c r="D105" s="68" t="s">
        <v>779</v>
      </c>
      <c r="E105" s="49">
        <v>3</v>
      </c>
      <c r="F105" s="36" t="s">
        <v>277</v>
      </c>
      <c r="G105" s="5" t="s">
        <v>981</v>
      </c>
    </row>
    <row r="106" spans="2:7" ht="25.5" customHeight="1" x14ac:dyDescent="0.35">
      <c r="B106" s="48" t="s">
        <v>159</v>
      </c>
      <c r="C106" s="26" t="s">
        <v>89</v>
      </c>
      <c r="D106" s="67" t="s">
        <v>781</v>
      </c>
      <c r="E106" s="49">
        <v>3</v>
      </c>
      <c r="F106" s="36" t="s">
        <v>277</v>
      </c>
      <c r="G106" s="5" t="s">
        <v>983</v>
      </c>
    </row>
    <row r="107" spans="2:7" ht="25.5" customHeight="1" x14ac:dyDescent="0.35">
      <c r="B107" s="50" t="s">
        <v>160</v>
      </c>
      <c r="C107" s="26" t="s">
        <v>89</v>
      </c>
      <c r="D107" s="74" t="s">
        <v>783</v>
      </c>
      <c r="E107" s="49">
        <v>3</v>
      </c>
      <c r="F107" s="36" t="s">
        <v>277</v>
      </c>
      <c r="G107" s="5" t="s">
        <v>984</v>
      </c>
    </row>
    <row r="108" spans="2:7" ht="25.5" customHeight="1" x14ac:dyDescent="0.35">
      <c r="B108" s="48" t="s">
        <v>161</v>
      </c>
      <c r="C108" s="26" t="s">
        <v>86</v>
      </c>
      <c r="D108" s="69" t="s">
        <v>785</v>
      </c>
      <c r="E108" s="49">
        <v>4</v>
      </c>
      <c r="F108" s="36" t="s">
        <v>271</v>
      </c>
      <c r="G108" s="5" t="s">
        <v>985</v>
      </c>
    </row>
    <row r="109" spans="2:7" ht="58" x14ac:dyDescent="0.35">
      <c r="B109" s="50" t="s">
        <v>162</v>
      </c>
      <c r="C109" s="26" t="s">
        <v>89</v>
      </c>
      <c r="D109" s="74" t="s">
        <v>787</v>
      </c>
      <c r="E109" s="49">
        <v>3</v>
      </c>
      <c r="F109" s="36" t="s">
        <v>277</v>
      </c>
      <c r="G109" s="5" t="s">
        <v>987</v>
      </c>
    </row>
    <row r="110" spans="2:7" ht="25.5" customHeight="1" x14ac:dyDescent="0.35">
      <c r="B110" s="48" t="s">
        <v>163</v>
      </c>
      <c r="C110" s="26" t="s">
        <v>89</v>
      </c>
      <c r="D110" s="67" t="s">
        <v>789</v>
      </c>
      <c r="E110" s="49">
        <v>3</v>
      </c>
      <c r="F110" s="36" t="s">
        <v>277</v>
      </c>
      <c r="G110" s="5" t="s">
        <v>988</v>
      </c>
    </row>
    <row r="111" spans="2:7" ht="25.5" customHeight="1" x14ac:dyDescent="0.35">
      <c r="B111" s="50" t="s">
        <v>164</v>
      </c>
      <c r="C111" s="26" t="s">
        <v>89</v>
      </c>
      <c r="D111" s="74" t="s">
        <v>791</v>
      </c>
      <c r="E111" s="49">
        <v>3</v>
      </c>
      <c r="F111" s="36" t="s">
        <v>277</v>
      </c>
      <c r="G111" s="5" t="s">
        <v>989</v>
      </c>
    </row>
    <row r="112" spans="2:7" ht="25.5" customHeight="1" x14ac:dyDescent="0.35">
      <c r="B112" s="48" t="s">
        <v>165</v>
      </c>
      <c r="C112" s="26" t="s">
        <v>86</v>
      </c>
      <c r="D112" s="69" t="s">
        <v>793</v>
      </c>
      <c r="E112" s="49">
        <v>4</v>
      </c>
      <c r="F112" s="36" t="s">
        <v>271</v>
      </c>
      <c r="G112" s="5" t="s">
        <v>990</v>
      </c>
    </row>
    <row r="113" spans="2:7" ht="25.5" customHeight="1" x14ac:dyDescent="0.35">
      <c r="B113" s="50" t="s">
        <v>166</v>
      </c>
      <c r="C113" s="26" t="s">
        <v>86</v>
      </c>
      <c r="D113" s="74" t="s">
        <v>795</v>
      </c>
      <c r="E113" s="49">
        <v>4</v>
      </c>
      <c r="F113" s="36" t="s">
        <v>271</v>
      </c>
      <c r="G113" s="5" t="s">
        <v>991</v>
      </c>
    </row>
    <row r="114" spans="2:7" ht="25.5" customHeight="1" x14ac:dyDescent="0.35">
      <c r="B114" s="48" t="s">
        <v>167</v>
      </c>
      <c r="C114" s="26" t="s">
        <v>89</v>
      </c>
      <c r="D114" s="69" t="s">
        <v>797</v>
      </c>
      <c r="E114" s="49">
        <v>3</v>
      </c>
      <c r="F114" s="36" t="s">
        <v>277</v>
      </c>
      <c r="G114" s="5" t="s">
        <v>992</v>
      </c>
    </row>
    <row r="115" spans="2:7" ht="25.5" customHeight="1" x14ac:dyDescent="0.35">
      <c r="B115" s="50" t="s">
        <v>168</v>
      </c>
      <c r="C115" s="26" t="s">
        <v>86</v>
      </c>
      <c r="D115" s="74" t="s">
        <v>799</v>
      </c>
      <c r="E115" s="49">
        <v>4</v>
      </c>
      <c r="F115" s="36" t="s">
        <v>271</v>
      </c>
      <c r="G115" s="5" t="s">
        <v>994</v>
      </c>
    </row>
    <row r="116" spans="2:7" ht="25.5" customHeight="1" x14ac:dyDescent="0.35">
      <c r="B116" s="48" t="s">
        <v>169</v>
      </c>
      <c r="C116" s="26" t="s">
        <v>86</v>
      </c>
      <c r="D116" s="69" t="s">
        <v>801</v>
      </c>
      <c r="E116" s="49">
        <v>4</v>
      </c>
      <c r="F116" s="36" t="s">
        <v>271</v>
      </c>
      <c r="G116" s="5" t="s">
        <v>1077</v>
      </c>
    </row>
    <row r="117" spans="2:7" ht="25.5" customHeight="1" x14ac:dyDescent="0.35">
      <c r="B117" s="50" t="s">
        <v>170</v>
      </c>
      <c r="C117" s="26" t="s">
        <v>89</v>
      </c>
      <c r="D117" s="74" t="s">
        <v>803</v>
      </c>
      <c r="E117" s="49">
        <v>3</v>
      </c>
      <c r="F117" s="36" t="s">
        <v>277</v>
      </c>
      <c r="G117" s="5" t="s">
        <v>996</v>
      </c>
    </row>
    <row r="118" spans="2:7" ht="25.5" customHeight="1" x14ac:dyDescent="0.35">
      <c r="B118" s="50" t="s">
        <v>172</v>
      </c>
      <c r="C118" s="26" t="s">
        <v>86</v>
      </c>
      <c r="D118" s="74" t="s">
        <v>805</v>
      </c>
      <c r="E118" s="49"/>
      <c r="F118" s="36"/>
      <c r="G118" s="5" t="s">
        <v>806</v>
      </c>
    </row>
    <row r="119" spans="2:7" ht="25.5" customHeight="1" x14ac:dyDescent="0.35">
      <c r="B119" s="50" t="s">
        <v>173</v>
      </c>
      <c r="C119" s="26"/>
      <c r="D119" s="74" t="s">
        <v>807</v>
      </c>
      <c r="E119" s="49"/>
      <c r="F119" s="36"/>
      <c r="G119" s="5"/>
    </row>
    <row r="120" spans="2:7" ht="25.5" customHeight="1" x14ac:dyDescent="0.35">
      <c r="B120" s="50" t="s">
        <v>174</v>
      </c>
      <c r="C120" s="26"/>
      <c r="D120" s="74" t="s">
        <v>808</v>
      </c>
      <c r="E120" s="49"/>
      <c r="F120" s="36"/>
      <c r="G120" s="5"/>
    </row>
    <row r="121" spans="2:7" ht="25.5" customHeight="1" x14ac:dyDescent="0.35">
      <c r="B121" s="216" t="s">
        <v>175</v>
      </c>
      <c r="C121" s="26"/>
      <c r="D121" s="218" t="s">
        <v>809</v>
      </c>
      <c r="E121" s="49"/>
      <c r="F121" s="36"/>
      <c r="G121" s="5"/>
    </row>
    <row r="123" spans="2:7" ht="24" customHeight="1" x14ac:dyDescent="0.35">
      <c r="B123" s="100" t="s">
        <v>810</v>
      </c>
      <c r="C123" s="100"/>
      <c r="D123" s="100"/>
    </row>
    <row r="124" spans="2:7" ht="21.75" customHeight="1" x14ac:dyDescent="0.35">
      <c r="B124" s="6" t="s">
        <v>811</v>
      </c>
      <c r="C124" s="6" t="s">
        <v>812</v>
      </c>
      <c r="D124" s="6" t="s">
        <v>736</v>
      </c>
    </row>
    <row r="125" spans="2:7" ht="28.5" customHeight="1" x14ac:dyDescent="0.35">
      <c r="B125" s="13" t="s">
        <v>813</v>
      </c>
      <c r="C125" s="64" t="s">
        <v>1046</v>
      </c>
      <c r="D125" s="64" t="s">
        <v>1047</v>
      </c>
    </row>
    <row r="126" spans="2:7" ht="28.5" customHeight="1" x14ac:dyDescent="0.35">
      <c r="B126" s="15" t="s">
        <v>814</v>
      </c>
      <c r="C126" s="64" t="s">
        <v>1078</v>
      </c>
      <c r="D126" s="64" t="s">
        <v>1000</v>
      </c>
    </row>
    <row r="127" spans="2:7" ht="28.5" customHeight="1" x14ac:dyDescent="0.35">
      <c r="B127" s="13" t="s">
        <v>817</v>
      </c>
      <c r="C127" s="64"/>
      <c r="D127" s="64" t="s">
        <v>1001</v>
      </c>
    </row>
    <row r="128" spans="2:7" ht="28.5" customHeight="1" x14ac:dyDescent="0.35">
      <c r="B128" s="15" t="s">
        <v>818</v>
      </c>
      <c r="C128" s="64"/>
      <c r="D128" s="64" t="s">
        <v>1002</v>
      </c>
    </row>
    <row r="129" spans="2:6" ht="28.5" customHeight="1" x14ac:dyDescent="0.35">
      <c r="B129" s="13" t="s">
        <v>819</v>
      </c>
      <c r="C129" s="64"/>
      <c r="D129" s="64" t="s">
        <v>1048</v>
      </c>
    </row>
    <row r="130" spans="2:6" ht="28.5" customHeight="1" x14ac:dyDescent="0.35">
      <c r="B130" s="15" t="s">
        <v>820</v>
      </c>
      <c r="C130" s="64" t="s">
        <v>1003</v>
      </c>
      <c r="D130" s="64" t="s">
        <v>1004</v>
      </c>
    </row>
    <row r="131" spans="2:6" ht="28.5" customHeight="1" x14ac:dyDescent="0.35">
      <c r="B131" s="122" t="s">
        <v>821</v>
      </c>
      <c r="C131" s="64" t="s">
        <v>459</v>
      </c>
      <c r="D131" s="64" t="s">
        <v>1079</v>
      </c>
    </row>
    <row r="132" spans="2:6" ht="28.5" customHeight="1" x14ac:dyDescent="0.35">
      <c r="B132" s="123" t="s">
        <v>822</v>
      </c>
      <c r="C132" s="109"/>
      <c r="D132" s="64" t="s">
        <v>1080</v>
      </c>
    </row>
    <row r="134" spans="2:6" ht="24" customHeight="1" x14ac:dyDescent="0.35">
      <c r="B134" s="100" t="s">
        <v>823</v>
      </c>
      <c r="C134" s="100"/>
      <c r="D134" s="100"/>
      <c r="E134" s="100"/>
      <c r="F134" s="100"/>
    </row>
    <row r="135" spans="2:6" ht="21.75" customHeight="1" x14ac:dyDescent="0.35">
      <c r="B135" s="6" t="s">
        <v>824</v>
      </c>
      <c r="C135" s="6" t="s">
        <v>825</v>
      </c>
      <c r="D135" s="6" t="s">
        <v>826</v>
      </c>
      <c r="E135" s="6" t="s">
        <v>827</v>
      </c>
      <c r="F135" s="6" t="s">
        <v>269</v>
      </c>
    </row>
    <row r="136" spans="2:6" ht="21.75" customHeight="1" x14ac:dyDescent="0.35">
      <c r="B136" s="44" t="s">
        <v>828</v>
      </c>
      <c r="C136" s="45" t="s">
        <v>1006</v>
      </c>
      <c r="D136" s="45" t="s">
        <v>86</v>
      </c>
      <c r="E136" s="14" t="s">
        <v>1007</v>
      </c>
      <c r="F136" s="45" t="s">
        <v>277</v>
      </c>
    </row>
    <row r="137" spans="2:6" ht="21.75" customHeight="1" x14ac:dyDescent="0.35">
      <c r="B137" s="46" t="s">
        <v>830</v>
      </c>
      <c r="C137" s="47"/>
      <c r="D137" s="45" t="s">
        <v>93</v>
      </c>
      <c r="E137" s="16" t="s">
        <v>1008</v>
      </c>
      <c r="F137" s="45" t="s">
        <v>277</v>
      </c>
    </row>
    <row r="138" spans="2:6" ht="21.75" customHeight="1" x14ac:dyDescent="0.35">
      <c r="B138" s="44" t="s">
        <v>831</v>
      </c>
      <c r="C138" s="45" t="s">
        <v>1081</v>
      </c>
      <c r="D138" s="45" t="s">
        <v>89</v>
      </c>
      <c r="E138" s="14" t="s">
        <v>1082</v>
      </c>
      <c r="F138" s="45" t="s">
        <v>271</v>
      </c>
    </row>
    <row r="139" spans="2:6" ht="21.75" customHeight="1" x14ac:dyDescent="0.35">
      <c r="B139" s="46" t="s">
        <v>832</v>
      </c>
      <c r="C139" s="47"/>
      <c r="D139" s="45" t="s">
        <v>93</v>
      </c>
      <c r="E139" s="16" t="s">
        <v>1010</v>
      </c>
      <c r="F139" s="45" t="s">
        <v>271</v>
      </c>
    </row>
    <row r="140" spans="2:6" ht="33" customHeight="1" x14ac:dyDescent="0.35">
      <c r="B140" s="14" t="s">
        <v>833</v>
      </c>
      <c r="C140" s="45"/>
      <c r="D140" s="45" t="s">
        <v>93</v>
      </c>
      <c r="E140" s="14" t="s">
        <v>1011</v>
      </c>
      <c r="F140" s="45" t="s">
        <v>277</v>
      </c>
    </row>
    <row r="141" spans="2:6" ht="27.75" customHeight="1" x14ac:dyDescent="0.35">
      <c r="B141" s="16" t="s">
        <v>834</v>
      </c>
      <c r="C141" s="47"/>
      <c r="D141" s="45" t="s">
        <v>93</v>
      </c>
      <c r="E141" s="16" t="s">
        <v>1012</v>
      </c>
      <c r="F141" s="45" t="s">
        <v>282</v>
      </c>
    </row>
    <row r="142" spans="2:6" ht="21.75" customHeight="1" x14ac:dyDescent="0.35">
      <c r="B142" s="44" t="s">
        <v>835</v>
      </c>
      <c r="C142" s="45" t="s">
        <v>1013</v>
      </c>
      <c r="D142" s="45" t="s">
        <v>286</v>
      </c>
      <c r="E142" s="14" t="s">
        <v>1014</v>
      </c>
      <c r="F142" s="45" t="s">
        <v>271</v>
      </c>
    </row>
    <row r="143" spans="2:6" ht="21.75" customHeight="1" x14ac:dyDescent="0.35">
      <c r="B143" s="46" t="s">
        <v>836</v>
      </c>
      <c r="C143" s="47"/>
      <c r="D143" s="45" t="s">
        <v>93</v>
      </c>
      <c r="E143" s="16" t="s">
        <v>1015</v>
      </c>
      <c r="F143" s="45" t="s">
        <v>282</v>
      </c>
    </row>
    <row r="144" spans="2:6" ht="21.75" customHeight="1" x14ac:dyDescent="0.35">
      <c r="B144" s="44" t="s">
        <v>837</v>
      </c>
      <c r="C144" s="45" t="s">
        <v>1016</v>
      </c>
      <c r="D144" s="45" t="s">
        <v>89</v>
      </c>
      <c r="E144" s="14" t="s">
        <v>1083</v>
      </c>
      <c r="F144" s="45" t="s">
        <v>277</v>
      </c>
    </row>
    <row r="145" spans="2:7" ht="21.75" customHeight="1" x14ac:dyDescent="0.35">
      <c r="B145" s="46" t="s">
        <v>838</v>
      </c>
      <c r="C145" s="47" t="s">
        <v>1018</v>
      </c>
      <c r="D145" s="45" t="s">
        <v>89</v>
      </c>
      <c r="E145" s="16" t="s">
        <v>1084</v>
      </c>
      <c r="F145" s="45" t="s">
        <v>271</v>
      </c>
    </row>
    <row r="147" spans="2:7" ht="24" customHeight="1" x14ac:dyDescent="0.35">
      <c r="B147" s="258" t="s">
        <v>841</v>
      </c>
      <c r="C147" s="258"/>
      <c r="D147" s="258"/>
      <c r="E147" s="258"/>
      <c r="F147" s="258"/>
      <c r="G147" s="258"/>
    </row>
    <row r="148" spans="2:7" ht="21.75" customHeight="1" x14ac:dyDescent="0.35">
      <c r="B148" s="6" t="s">
        <v>842</v>
      </c>
      <c r="C148" s="6" t="s">
        <v>843</v>
      </c>
    </row>
    <row r="149" spans="2:7" ht="21.75" customHeight="1" x14ac:dyDescent="0.35">
      <c r="B149" s="13" t="s">
        <v>844</v>
      </c>
      <c r="C149" s="251" t="s">
        <v>1020</v>
      </c>
      <c r="D149" s="251"/>
      <c r="E149" s="251"/>
      <c r="F149" s="251"/>
      <c r="G149" s="251"/>
    </row>
    <row r="150" spans="2:7" ht="21.75" customHeight="1" x14ac:dyDescent="0.35">
      <c r="B150" s="15" t="s">
        <v>846</v>
      </c>
      <c r="C150" s="251" t="s">
        <v>496</v>
      </c>
      <c r="D150" s="251"/>
      <c r="E150" s="251"/>
      <c r="F150" s="251"/>
      <c r="G150" s="251"/>
    </row>
    <row r="151" spans="2:7" ht="21.75" customHeight="1" x14ac:dyDescent="0.35">
      <c r="B151" s="13" t="s">
        <v>847</v>
      </c>
      <c r="C151" s="251" t="s">
        <v>496</v>
      </c>
      <c r="D151" s="251"/>
      <c r="E151" s="251"/>
      <c r="F151" s="251"/>
      <c r="G151" s="251"/>
    </row>
    <row r="152" spans="2:7" ht="21.75" customHeight="1" x14ac:dyDescent="0.35">
      <c r="B152" s="15" t="s">
        <v>848</v>
      </c>
      <c r="C152" s="251" t="s">
        <v>496</v>
      </c>
      <c r="D152" s="251"/>
      <c r="E152" s="251"/>
      <c r="F152" s="251"/>
      <c r="G152" s="251"/>
    </row>
    <row r="153" spans="2:7" ht="21.75" customHeight="1" x14ac:dyDescent="0.35">
      <c r="B153" s="13" t="s">
        <v>849</v>
      </c>
      <c r="C153" s="251" t="s">
        <v>1021</v>
      </c>
      <c r="D153" s="251"/>
      <c r="E153" s="251"/>
      <c r="F153" s="251"/>
      <c r="G153" s="251"/>
    </row>
    <row r="154" spans="2:7" ht="21.75" customHeight="1" x14ac:dyDescent="0.35">
      <c r="B154" s="15" t="s">
        <v>850</v>
      </c>
      <c r="C154" s="251" t="s">
        <v>1022</v>
      </c>
      <c r="D154" s="251"/>
      <c r="E154" s="251"/>
      <c r="F154" s="251"/>
      <c r="G154" s="251"/>
    </row>
    <row r="155" spans="2:7" ht="21.75" customHeight="1" x14ac:dyDescent="0.35">
      <c r="B155" s="13" t="s">
        <v>852</v>
      </c>
      <c r="C155" s="251" t="s">
        <v>1023</v>
      </c>
      <c r="D155" s="251"/>
      <c r="E155" s="251"/>
      <c r="F155" s="251"/>
      <c r="G155" s="251"/>
    </row>
    <row r="157" spans="2:7" ht="24" customHeight="1" x14ac:dyDescent="0.35">
      <c r="B157" s="258" t="s">
        <v>854</v>
      </c>
      <c r="C157" s="258"/>
      <c r="D157" s="258"/>
      <c r="E157" s="258"/>
      <c r="F157" s="258"/>
      <c r="G157" s="258"/>
    </row>
    <row r="158" spans="2:7" ht="21.75" customHeight="1" x14ac:dyDescent="0.35">
      <c r="B158" s="6" t="s">
        <v>855</v>
      </c>
      <c r="C158" s="6" t="s">
        <v>856</v>
      </c>
    </row>
    <row r="159" spans="2:7" ht="30" customHeight="1" x14ac:dyDescent="0.35">
      <c r="B159" s="51" t="s">
        <v>857</v>
      </c>
      <c r="C159" s="251" t="s">
        <v>1025</v>
      </c>
      <c r="D159" s="251"/>
      <c r="E159" s="251"/>
      <c r="F159" s="251"/>
      <c r="G159" s="251"/>
    </row>
    <row r="160" spans="2:7" ht="30" customHeight="1" x14ac:dyDescent="0.35">
      <c r="B160" s="52" t="s">
        <v>859</v>
      </c>
      <c r="C160" s="251" t="s">
        <v>1085</v>
      </c>
      <c r="D160" s="251"/>
      <c r="E160" s="251"/>
      <c r="F160" s="251"/>
      <c r="G160" s="251"/>
    </row>
    <row r="161" spans="2:11" ht="30" customHeight="1" x14ac:dyDescent="0.35">
      <c r="B161" s="51" t="s">
        <v>861</v>
      </c>
      <c r="C161" s="251" t="s">
        <v>1027</v>
      </c>
      <c r="D161" s="251"/>
      <c r="E161" s="251"/>
      <c r="F161" s="251"/>
      <c r="G161" s="251"/>
    </row>
    <row r="162" spans="2:11" ht="30" customHeight="1" x14ac:dyDescent="0.35">
      <c r="B162" s="52" t="s">
        <v>863</v>
      </c>
      <c r="C162" s="251" t="s">
        <v>1028</v>
      </c>
      <c r="D162" s="251"/>
      <c r="E162" s="251"/>
      <c r="F162" s="251"/>
      <c r="G162" s="251"/>
    </row>
    <row r="163" spans="2:11" ht="30" customHeight="1" x14ac:dyDescent="0.35">
      <c r="B163" s="51" t="s">
        <v>865</v>
      </c>
      <c r="C163" s="251" t="s">
        <v>1086</v>
      </c>
      <c r="D163" s="251"/>
      <c r="E163" s="251"/>
      <c r="F163" s="251"/>
      <c r="G163" s="251"/>
    </row>
    <row r="164" spans="2:11" ht="30" customHeight="1" x14ac:dyDescent="0.35">
      <c r="B164" s="52" t="s">
        <v>867</v>
      </c>
      <c r="C164" s="251" t="s">
        <v>1087</v>
      </c>
      <c r="D164" s="251"/>
      <c r="E164" s="251"/>
      <c r="F164" s="251"/>
      <c r="G164" s="251"/>
    </row>
    <row r="165" spans="2:11" ht="30" customHeight="1" x14ac:dyDescent="0.35">
      <c r="B165" s="51" t="s">
        <v>868</v>
      </c>
      <c r="C165" s="251" t="s">
        <v>1031</v>
      </c>
      <c r="D165" s="251"/>
      <c r="E165" s="251"/>
      <c r="F165" s="251"/>
      <c r="G165" s="251"/>
    </row>
    <row r="166" spans="2:11" ht="30" customHeight="1" x14ac:dyDescent="0.35">
      <c r="B166" s="52" t="s">
        <v>870</v>
      </c>
      <c r="C166" s="256" t="s">
        <v>871</v>
      </c>
      <c r="D166" s="257"/>
      <c r="E166" s="257"/>
      <c r="F166" s="257"/>
      <c r="G166" s="257"/>
    </row>
    <row r="167" spans="2:11" ht="30" customHeight="1" x14ac:dyDescent="0.35">
      <c r="B167" s="51" t="s">
        <v>872</v>
      </c>
      <c r="C167" s="251" t="s">
        <v>1032</v>
      </c>
      <c r="D167" s="251"/>
      <c r="E167" s="251"/>
      <c r="F167" s="251"/>
      <c r="G167" s="251"/>
    </row>
    <row r="169" spans="2:11" ht="23.25" customHeight="1" x14ac:dyDescent="0.35">
      <c r="B169" s="255" t="s">
        <v>874</v>
      </c>
      <c r="C169" s="255"/>
      <c r="D169" s="255"/>
      <c r="E169" s="255"/>
      <c r="F169" s="255"/>
      <c r="G169" s="255"/>
      <c r="H169" s="238"/>
      <c r="I169" s="124" t="s">
        <v>877</v>
      </c>
      <c r="J169" s="124" t="s">
        <v>878</v>
      </c>
      <c r="K169" s="124" t="s">
        <v>879</v>
      </c>
    </row>
    <row r="170" spans="2:11" ht="26.5" x14ac:dyDescent="0.35">
      <c r="B170" s="92" t="s">
        <v>268</v>
      </c>
      <c r="C170" s="93"/>
      <c r="D170" s="92" t="s">
        <v>875</v>
      </c>
      <c r="E170" s="93"/>
      <c r="F170" s="92" t="s">
        <v>876</v>
      </c>
      <c r="G170" s="93"/>
      <c r="H170" s="238"/>
      <c r="I170" s="125" t="s">
        <v>881</v>
      </c>
      <c r="J170" s="114" t="s">
        <v>882</v>
      </c>
      <c r="K170" s="114" t="s">
        <v>883</v>
      </c>
    </row>
    <row r="171" spans="2:11" ht="26.5" x14ac:dyDescent="0.35">
      <c r="B171" s="94" t="s">
        <v>880</v>
      </c>
      <c r="C171" s="254"/>
      <c r="D171" s="254"/>
      <c r="E171" s="254"/>
      <c r="F171" s="254"/>
      <c r="G171" s="254"/>
      <c r="H171" s="238"/>
      <c r="I171" s="125" t="s">
        <v>885</v>
      </c>
      <c r="J171" s="114" t="s">
        <v>886</v>
      </c>
      <c r="K171" s="114" t="s">
        <v>887</v>
      </c>
    </row>
    <row r="172" spans="2:11" x14ac:dyDescent="0.35">
      <c r="B172" s="92" t="s">
        <v>884</v>
      </c>
      <c r="C172" s="254"/>
      <c r="D172" s="254"/>
      <c r="E172" s="254"/>
      <c r="F172" s="254"/>
      <c r="G172" s="254"/>
      <c r="H172" s="238"/>
      <c r="I172" s="125" t="s">
        <v>889</v>
      </c>
      <c r="J172" s="114" t="s">
        <v>890</v>
      </c>
      <c r="K172" s="114" t="s">
        <v>891</v>
      </c>
    </row>
    <row r="173" spans="2:11" ht="26.5" x14ac:dyDescent="0.35">
      <c r="B173" s="94" t="s">
        <v>888</v>
      </c>
      <c r="C173" s="254"/>
      <c r="D173" s="254"/>
      <c r="E173" s="254"/>
      <c r="F173" s="254"/>
      <c r="G173" s="254"/>
      <c r="H173" s="238"/>
      <c r="I173" s="125" t="s">
        <v>894</v>
      </c>
      <c r="J173" s="114" t="s">
        <v>895</v>
      </c>
      <c r="K173" s="114" t="s">
        <v>896</v>
      </c>
    </row>
    <row r="174" spans="2:11" ht="26.5" x14ac:dyDescent="0.35">
      <c r="B174" s="92" t="s">
        <v>892</v>
      </c>
      <c r="C174" s="256" t="s">
        <v>1051</v>
      </c>
      <c r="D174" s="257"/>
      <c r="E174" s="257"/>
      <c r="F174" s="257"/>
      <c r="G174" s="257"/>
      <c r="H174" s="238"/>
      <c r="I174" s="125" t="s">
        <v>898</v>
      </c>
      <c r="J174" s="114" t="s">
        <v>899</v>
      </c>
      <c r="K174" s="114" t="s">
        <v>900</v>
      </c>
    </row>
    <row r="175" spans="2:11" ht="26.5" x14ac:dyDescent="0.35">
      <c r="B175" s="92" t="s">
        <v>897</v>
      </c>
      <c r="C175" s="254"/>
      <c r="D175" s="254"/>
      <c r="E175" s="254"/>
      <c r="F175" s="254"/>
      <c r="G175" s="254"/>
      <c r="H175" s="238"/>
      <c r="I175" s="125" t="s">
        <v>904</v>
      </c>
      <c r="J175" s="114" t="s">
        <v>905</v>
      </c>
      <c r="K175" s="114" t="s">
        <v>906</v>
      </c>
    </row>
    <row r="176" spans="2:11" ht="29" x14ac:dyDescent="0.35">
      <c r="B176" s="94" t="s">
        <v>901</v>
      </c>
      <c r="C176" s="93"/>
      <c r="D176" s="92" t="s">
        <v>902</v>
      </c>
      <c r="E176" s="93"/>
      <c r="F176" s="92" t="s">
        <v>903</v>
      </c>
      <c r="G176" s="93"/>
      <c r="H176" s="238"/>
      <c r="I176" s="125" t="s">
        <v>910</v>
      </c>
      <c r="J176" s="114" t="s">
        <v>911</v>
      </c>
      <c r="K176" s="114" t="s">
        <v>912</v>
      </c>
    </row>
    <row r="177" spans="2:11" ht="32.25" customHeight="1" x14ac:dyDescent="0.35">
      <c r="B177" s="92" t="s">
        <v>907</v>
      </c>
      <c r="C177" s="93"/>
      <c r="D177" s="92" t="s">
        <v>908</v>
      </c>
      <c r="E177" s="93"/>
      <c r="F177" s="92" t="s">
        <v>909</v>
      </c>
      <c r="G177" s="93"/>
      <c r="H177" s="238"/>
      <c r="I177" s="125" t="s">
        <v>916</v>
      </c>
      <c r="J177" s="114" t="s">
        <v>917</v>
      </c>
      <c r="K177" s="114" t="s">
        <v>918</v>
      </c>
    </row>
    <row r="178" spans="2:11" x14ac:dyDescent="0.35">
      <c r="B178" s="94" t="s">
        <v>913</v>
      </c>
      <c r="C178" s="93"/>
      <c r="D178" s="92" t="s">
        <v>914</v>
      </c>
      <c r="E178" s="93"/>
      <c r="F178" s="92" t="s">
        <v>915</v>
      </c>
      <c r="G178" s="93"/>
      <c r="H178" s="238"/>
    </row>
    <row r="179" spans="2:11" x14ac:dyDescent="0.35">
      <c r="B179" s="92" t="s">
        <v>919</v>
      </c>
      <c r="C179" s="254"/>
      <c r="D179" s="254"/>
      <c r="E179" s="254"/>
      <c r="F179" s="254"/>
      <c r="G179" s="254"/>
      <c r="H179" s="238"/>
      <c r="I179" s="238"/>
      <c r="J179" s="238"/>
      <c r="K179" s="238"/>
    </row>
    <row r="180" spans="2:11" x14ac:dyDescent="0.35">
      <c r="B180" s="94" t="s">
        <v>920</v>
      </c>
      <c r="C180" s="254"/>
      <c r="D180" s="254"/>
      <c r="E180" s="254"/>
      <c r="F180" s="254"/>
      <c r="G180" s="254"/>
      <c r="H180" s="238"/>
    </row>
    <row r="181" spans="2:11" ht="29" x14ac:dyDescent="0.35">
      <c r="B181" s="92" t="s">
        <v>921</v>
      </c>
      <c r="C181" s="254"/>
      <c r="D181" s="254"/>
      <c r="E181" s="254"/>
      <c r="F181" s="254"/>
      <c r="G181" s="254"/>
      <c r="H181" s="238"/>
    </row>
  </sheetData>
  <mergeCells count="51">
    <mergeCell ref="C166:G166"/>
    <mergeCell ref="C167:G167"/>
    <mergeCell ref="B2:G2"/>
    <mergeCell ref="B4:G4"/>
    <mergeCell ref="C5:E5"/>
    <mergeCell ref="C6:E6"/>
    <mergeCell ref="C7:E7"/>
    <mergeCell ref="C8:E8"/>
    <mergeCell ref="C9:E9"/>
    <mergeCell ref="C10:E10"/>
    <mergeCell ref="C11:E11"/>
    <mergeCell ref="B57:C57"/>
    <mergeCell ref="C17:E17"/>
    <mergeCell ref="C18:E18"/>
    <mergeCell ref="C21:E21"/>
    <mergeCell ref="C22:E22"/>
    <mergeCell ref="C23:E23"/>
    <mergeCell ref="B98:G98"/>
    <mergeCell ref="C24:E24"/>
    <mergeCell ref="B147:G147"/>
    <mergeCell ref="C26:E26"/>
    <mergeCell ref="C27:E27"/>
    <mergeCell ref="C28:E28"/>
    <mergeCell ref="C149:G149"/>
    <mergeCell ref="C150:G150"/>
    <mergeCell ref="C151:G151"/>
    <mergeCell ref="C161:G161"/>
    <mergeCell ref="C162:G162"/>
    <mergeCell ref="C163:G163"/>
    <mergeCell ref="C164:G164"/>
    <mergeCell ref="C152:G152"/>
    <mergeCell ref="C153:G153"/>
    <mergeCell ref="C154:G154"/>
    <mergeCell ref="C155:G155"/>
    <mergeCell ref="B157:G157"/>
    <mergeCell ref="C15:E15"/>
    <mergeCell ref="C19:E19"/>
    <mergeCell ref="C20:E20"/>
    <mergeCell ref="C181:G181"/>
    <mergeCell ref="B169:G169"/>
    <mergeCell ref="C171:G171"/>
    <mergeCell ref="C172:G172"/>
    <mergeCell ref="C173:G173"/>
    <mergeCell ref="C174:G174"/>
    <mergeCell ref="C159:G159"/>
    <mergeCell ref="B77:F77"/>
    <mergeCell ref="C175:G175"/>
    <mergeCell ref="C179:G179"/>
    <mergeCell ref="C180:G180"/>
    <mergeCell ref="C165:G165"/>
    <mergeCell ref="C160:G160"/>
  </mergeCells>
  <dataValidations count="4">
    <dataValidation type="list" allowBlank="1" sqref="F33:F37 F40:F46 F49:F51 F54:F55" xr:uid="{00000000-0002-0000-0800-000003000000}">
      <formula1>"Alta,Media,Baja,Sin mejora"</formula1>
      <formula2>0</formula2>
    </dataValidation>
    <dataValidation type="list" allowBlank="1" sqref="C100:C121" xr:uid="{00000000-0002-0000-0800-000004000000}">
      <formula1>"Sí,No,Parcial"</formula1>
      <formula2>0</formula2>
    </dataValidation>
    <dataValidation allowBlank="1" sqref="C15:E15" xr:uid="{2FD49B34-8068-4BAB-90BD-B7F17D6363E8}"/>
    <dataValidation type="date" allowBlank="1" showInputMessage="1" showErrorMessage="1" sqref="C9:E9" xr:uid="{EE377E36-A840-4192-95DA-000166D0C3DA}">
      <formula1>46174</formula1>
      <formula2>46368</formula2>
    </dataValidation>
  </dataValidations>
  <hyperlinks>
    <hyperlink ref="C23" r:id="rId1" xr:uid="{805CF78C-67E9-4864-8D7F-7EAF10176B59}"/>
    <hyperlink ref="C5:E5" r:id="rId2" display="SURA" xr:uid="{1A9C2F08-1BAF-4399-9EEF-E27A62201F2E}"/>
  </hyperlinks>
  <pageMargins left="0.75" right="0.75" top="1" bottom="1" header="0.511811023622047" footer="0.511811023622047"/>
  <pageSetup paperSize="9" orientation="portrait" horizontalDpi="300" verticalDpi="300"/>
  <legacyDrawing r:id="rId3"/>
  <extLst>
    <ext xmlns:x14="http://schemas.microsoft.com/office/spreadsheetml/2009/9/main" uri="{CCE6A557-97BC-4b89-ADB6-D9C93CAAB3DF}">
      <x14:dataValidations xmlns:xm="http://schemas.microsoft.com/office/excel/2006/main" count="15">
        <x14:dataValidation type="list" allowBlank="1" xr:uid="{36A72D6F-C1FE-454B-8F5C-82BD3644B043}">
          <x14:formula1>
            <xm:f>Listas!$D$5:$D$11</xm:f>
          </x14:formula1>
          <x14:formula2>
            <xm:f>0</xm:f>
          </x14:formula2>
          <xm:sqref>C13 C16</xm:sqref>
        </x14:dataValidation>
        <x14:dataValidation type="list" allowBlank="1" xr:uid="{00000000-0002-0000-0800-000002000000}">
          <x14:formula1>
            <xm:f>Listas!$B$5:$B$9</xm:f>
          </x14:formula1>
          <x14:formula2>
            <xm:f>0</xm:f>
          </x14:formula2>
          <xm:sqref>D33:D37 D40:D46 D49:D51 D54:D55</xm:sqref>
        </x14:dataValidation>
        <x14:dataValidation type="list" allowBlank="1" xr:uid="{00000000-0002-0000-0800-000005000000}">
          <x14:formula1>
            <xm:f>Listas!$F$5:$F$8</xm:f>
          </x14:formula1>
          <x14:formula2>
            <xm:f>0</xm:f>
          </x14:formula2>
          <xm:sqref>F100:F117</xm:sqref>
        </x14:dataValidation>
        <x14:dataValidation type="list" allowBlank="1" xr:uid="{00000000-0002-0000-0800-000006000000}">
          <x14:formula1>
            <xm:f>Listas!$L$5:$L$8</xm:f>
          </x14:formula1>
          <x14:formula2>
            <xm:f>0</xm:f>
          </x14:formula2>
          <xm:sqref>C163</xm:sqref>
        </x14:dataValidation>
        <x14:dataValidation type="list" allowBlank="1" showInputMessage="1" showErrorMessage="1" xr:uid="{AB857406-5FE6-49D4-8ECF-BB8E1CAAEFC9}">
          <x14:formula1>
            <xm:f>Listas!$N$5:$N$11</xm:f>
          </x14:formula1>
          <xm:sqref>C5:E5</xm:sqref>
        </x14:dataValidation>
        <x14:dataValidation type="list" allowBlank="1" showInputMessage="1" showErrorMessage="1" xr:uid="{18CE5E0E-7254-4385-AEB2-1486967132E0}">
          <x14:formula1>
            <xm:f>Listas!$P$5:$P$9</xm:f>
          </x14:formula1>
          <xm:sqref>F136:F145</xm:sqref>
        </x14:dataValidation>
        <x14:dataValidation type="list" allowBlank="1" showInputMessage="1" showErrorMessage="1" xr:uid="{9761CBEA-289E-469A-827E-4DD3C0A5B669}">
          <x14:formula1>
            <xm:f>Listas!$R$5:$R$8</xm:f>
          </x14:formula1>
          <xm:sqref>D136:D145</xm:sqref>
        </x14:dataValidation>
        <x14:dataValidation type="list" allowBlank="1" showInputMessage="1" showErrorMessage="1" xr:uid="{B1F9CC3D-9639-492C-8667-005277C826D6}">
          <x14:formula1>
            <xm:f>Listas!$J$45:$J$49</xm:f>
          </x14:formula1>
          <xm:sqref>C96:D96</xm:sqref>
        </x14:dataValidation>
        <x14:dataValidation type="list" allowBlank="1" showInputMessage="1" showErrorMessage="1" xr:uid="{51235C29-961E-4166-A99A-65C898799C88}">
          <x14:formula1>
            <xm:f>Listas!$H$45:$H$48</xm:f>
          </x14:formula1>
          <xm:sqref>C95:D95</xm:sqref>
        </x14:dataValidation>
        <x14:dataValidation type="list" allowBlank="1" showInputMessage="1" showErrorMessage="1" xr:uid="{F8B97C04-D518-4AE3-B253-C59B41507A14}">
          <x14:formula1>
            <xm:f>Listas!$F$45:$F$52</xm:f>
          </x14:formula1>
          <xm:sqref>C92:D92</xm:sqref>
        </x14:dataValidation>
        <x14:dataValidation type="list" allowBlank="1" showInputMessage="1" showErrorMessage="1" xr:uid="{24008BA9-D38C-47C2-81B3-E1E6CD9512FC}">
          <x14:formula1>
            <xm:f>Listas!$D$45:$D$49</xm:f>
          </x14:formula1>
          <xm:sqref>C91:D91</xm:sqref>
        </x14:dataValidation>
        <x14:dataValidation type="list" allowBlank="1" showInputMessage="1" showErrorMessage="1" xr:uid="{996CA3E2-8A60-4F66-BA3A-24001849ABA8}">
          <x14:formula1>
            <xm:f>Listas!$B$45:$B$48</xm:f>
          </x14:formula1>
          <xm:sqref>C90:D90</xm:sqref>
        </x14:dataValidation>
        <x14:dataValidation type="list" allowBlank="1" showInputMessage="1" showErrorMessage="1" xr:uid="{F012717D-E78F-4C9A-8E40-998A017CE865}">
          <x14:formula1>
            <xm:f>Listas!$B$53:$B$58</xm:f>
          </x14:formula1>
          <xm:sqref>C131</xm:sqref>
        </x14:dataValidation>
        <x14:dataValidation type="list" allowBlank="1" showInputMessage="1" showErrorMessage="1" xr:uid="{B4DF35D1-F0B6-4D86-A1E9-5FFE8562E2BF}">
          <x14:formula1>
            <xm:f>Listas!$B$12:$B$17</xm:f>
          </x14:formula1>
          <xm:sqref>C14</xm:sqref>
        </x14:dataValidation>
        <x14:dataValidation type="list" allowBlank="1" xr:uid="{48442457-C8D0-4BF3-B15B-A624679B6AB2}">
          <x14:formula1>
            <xm:f>Listas!$H$5:$H$10</xm:f>
          </x14:formula1>
          <x14:formula2>
            <xm:f>0</xm:f>
          </x14:formula2>
          <xm:sqref>C12</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B0194-0C8A-442A-B0B3-C395DD7FD9F5}">
  <sheetPr>
    <tabColor rgb="FF0070C0"/>
  </sheetPr>
  <dimension ref="B1:K181"/>
  <sheetViews>
    <sheetView showGridLines="0" zoomScaleNormal="100" workbookViewId="0">
      <pane xSplit="2" ySplit="2" topLeftCell="C112" activePane="bottomRight" state="frozen"/>
      <selection pane="topRight" activeCell="C1" sqref="C1"/>
      <selection pane="bottomLeft" activeCell="A3" sqref="A3"/>
      <selection pane="bottomRight" activeCell="D121" sqref="D121"/>
    </sheetView>
  </sheetViews>
  <sheetFormatPr baseColWidth="10" defaultColWidth="8.54296875" defaultRowHeight="14.5" x14ac:dyDescent="0.35"/>
  <cols>
    <col min="1" max="1" width="3" style="1" customWidth="1"/>
    <col min="2" max="2" width="40" style="1" customWidth="1"/>
    <col min="3" max="3" width="42.7265625" style="1" customWidth="1"/>
    <col min="4" max="4" width="34" style="1" customWidth="1"/>
    <col min="5" max="5" width="47.26953125" style="1" customWidth="1"/>
    <col min="6" max="6" width="36.7265625" style="1" customWidth="1"/>
    <col min="7" max="7" width="27" style="1" customWidth="1"/>
    <col min="8" max="8" width="9.1796875" style="1"/>
    <col min="9" max="9" width="14.81640625" style="1" customWidth="1"/>
    <col min="10" max="10" width="33.26953125" style="1" customWidth="1"/>
    <col min="11" max="11" width="36.7265625" style="1" customWidth="1"/>
    <col min="12" max="16384" width="8.54296875" style="1"/>
  </cols>
  <sheetData>
    <row r="1" spans="2:11" ht="7.5" customHeight="1" x14ac:dyDescent="0.35"/>
    <row r="2" spans="2:11" ht="30" customHeight="1" x14ac:dyDescent="0.35">
      <c r="B2" s="259" t="s">
        <v>1088</v>
      </c>
      <c r="C2" s="259"/>
      <c r="D2" s="259"/>
      <c r="E2" s="259"/>
      <c r="F2" s="259"/>
      <c r="G2" s="259"/>
    </row>
    <row r="3" spans="2:11" ht="15.5" x14ac:dyDescent="0.35">
      <c r="I3" s="62" t="s">
        <v>60</v>
      </c>
      <c r="J3" s="62"/>
      <c r="K3" s="62"/>
    </row>
    <row r="4" spans="2:11" ht="24" customHeight="1" x14ac:dyDescent="0.35">
      <c r="B4" s="258" t="s">
        <v>647</v>
      </c>
      <c r="C4" s="352"/>
      <c r="D4" s="352"/>
      <c r="E4" s="352"/>
      <c r="F4" s="352"/>
      <c r="G4" s="352"/>
      <c r="I4" s="6" t="s">
        <v>61</v>
      </c>
      <c r="J4" s="6" t="s">
        <v>62</v>
      </c>
      <c r="K4" s="6" t="s">
        <v>22</v>
      </c>
    </row>
    <row r="5" spans="2:11" ht="17" x14ac:dyDescent="0.35">
      <c r="B5" s="37" t="s">
        <v>648</v>
      </c>
      <c r="C5" s="395" t="s">
        <v>126</v>
      </c>
      <c r="D5" s="395"/>
      <c r="E5" s="395"/>
      <c r="I5" s="17" t="s">
        <v>63</v>
      </c>
      <c r="J5" s="18" t="s">
        <v>64</v>
      </c>
      <c r="K5" s="63" t="s">
        <v>65</v>
      </c>
    </row>
    <row r="6" spans="2:11" ht="15.75" customHeight="1" x14ac:dyDescent="0.35">
      <c r="B6" s="37" t="s">
        <v>649</v>
      </c>
      <c r="C6" s="251" t="s">
        <v>1089</v>
      </c>
      <c r="D6" s="262"/>
      <c r="E6" s="262"/>
      <c r="I6" s="19" t="s">
        <v>66</v>
      </c>
      <c r="J6" s="122" t="s">
        <v>67</v>
      </c>
      <c r="K6" s="63" t="s">
        <v>68</v>
      </c>
    </row>
    <row r="7" spans="2:11" ht="15.75" customHeight="1" x14ac:dyDescent="0.35">
      <c r="B7" s="37" t="s">
        <v>651</v>
      </c>
      <c r="C7" s="251" t="s">
        <v>1090</v>
      </c>
      <c r="D7" s="251"/>
      <c r="E7" s="251"/>
      <c r="I7" s="20" t="s">
        <v>69</v>
      </c>
      <c r="J7" s="122" t="s">
        <v>70</v>
      </c>
      <c r="K7" s="63" t="s">
        <v>71</v>
      </c>
    </row>
    <row r="8" spans="2:11" ht="18.75" customHeight="1" x14ac:dyDescent="0.35">
      <c r="B8" s="37" t="s">
        <v>653</v>
      </c>
      <c r="C8" s="261" t="s">
        <v>1091</v>
      </c>
      <c r="D8" s="262"/>
      <c r="E8" s="262"/>
      <c r="I8" s="21" t="s">
        <v>72</v>
      </c>
      <c r="J8" s="122" t="s">
        <v>73</v>
      </c>
      <c r="K8" s="63" t="s">
        <v>74</v>
      </c>
    </row>
    <row r="9" spans="2:11" ht="17" x14ac:dyDescent="0.35">
      <c r="B9" s="37" t="s">
        <v>655</v>
      </c>
      <c r="C9" s="263">
        <v>46212</v>
      </c>
      <c r="D9" s="264"/>
      <c r="E9" s="264"/>
      <c r="I9" s="22" t="s">
        <v>75</v>
      </c>
      <c r="J9" s="122" t="s">
        <v>76</v>
      </c>
      <c r="K9" s="63" t="s">
        <v>77</v>
      </c>
    </row>
    <row r="10" spans="2:11" x14ac:dyDescent="0.35">
      <c r="B10" s="37" t="s">
        <v>656</v>
      </c>
      <c r="C10" s="251" t="s">
        <v>657</v>
      </c>
      <c r="D10" s="251"/>
      <c r="E10" s="251"/>
    </row>
    <row r="11" spans="2:11" x14ac:dyDescent="0.35">
      <c r="B11" s="37" t="s">
        <v>1092</v>
      </c>
      <c r="C11" s="251">
        <v>4</v>
      </c>
      <c r="D11" s="262"/>
      <c r="E11" s="262"/>
      <c r="I11" s="6" t="s">
        <v>659</v>
      </c>
      <c r="J11" s="6" t="s">
        <v>292</v>
      </c>
      <c r="K11" s="6" t="s">
        <v>660</v>
      </c>
    </row>
    <row r="12" spans="2:11" ht="15" customHeight="1" x14ac:dyDescent="0.35">
      <c r="B12" s="37" t="s">
        <v>661</v>
      </c>
      <c r="C12" s="251" t="s">
        <v>276</v>
      </c>
      <c r="D12" s="251"/>
      <c r="E12" s="251"/>
      <c r="F12" s="214" t="s">
        <v>1093</v>
      </c>
      <c r="I12" s="18" t="s">
        <v>662</v>
      </c>
      <c r="J12" s="63" t="s">
        <v>663</v>
      </c>
      <c r="K12" s="63" t="s">
        <v>664</v>
      </c>
    </row>
    <row r="13" spans="2:11" ht="15" customHeight="1" x14ac:dyDescent="0.35">
      <c r="B13" s="37" t="s">
        <v>665</v>
      </c>
      <c r="C13" s="140" t="s">
        <v>69</v>
      </c>
      <c r="D13" s="141" t="s">
        <v>666</v>
      </c>
      <c r="E13" s="70"/>
      <c r="I13" s="122" t="s">
        <v>667</v>
      </c>
      <c r="J13" s="63" t="s">
        <v>668</v>
      </c>
      <c r="K13" s="63" t="s">
        <v>669</v>
      </c>
    </row>
    <row r="14" spans="2:11" ht="16.5" customHeight="1" x14ac:dyDescent="0.35">
      <c r="B14" s="37" t="s">
        <v>670</v>
      </c>
      <c r="C14" s="138" t="s">
        <v>297</v>
      </c>
      <c r="D14" s="141"/>
      <c r="E14" s="70"/>
      <c r="F14" s="70"/>
      <c r="I14" s="122" t="s">
        <v>672</v>
      </c>
      <c r="J14" s="63" t="s">
        <v>673</v>
      </c>
      <c r="K14" s="63" t="s">
        <v>674</v>
      </c>
    </row>
    <row r="15" spans="2:11" x14ac:dyDescent="0.35">
      <c r="B15" s="133" t="s">
        <v>675</v>
      </c>
      <c r="C15" s="388" t="s">
        <v>1094</v>
      </c>
      <c r="D15" s="389" t="s">
        <v>666</v>
      </c>
      <c r="E15" s="389"/>
    </row>
    <row r="16" spans="2:11" ht="18.75" customHeight="1" x14ac:dyDescent="0.35">
      <c r="B16" s="37" t="s">
        <v>677</v>
      </c>
      <c r="C16" s="38" t="s">
        <v>72</v>
      </c>
      <c r="D16" s="134" t="s">
        <v>1095</v>
      </c>
    </row>
    <row r="17" spans="2:6" x14ac:dyDescent="0.35">
      <c r="B17" s="37" t="s">
        <v>678</v>
      </c>
      <c r="C17" s="251" t="s">
        <v>679</v>
      </c>
      <c r="D17" s="251"/>
      <c r="E17" s="251"/>
    </row>
    <row r="18" spans="2:6" ht="48.75" customHeight="1" x14ac:dyDescent="0.35">
      <c r="B18" s="37" t="s">
        <v>680</v>
      </c>
      <c r="C18" s="251" t="s">
        <v>1096</v>
      </c>
      <c r="D18" s="251"/>
      <c r="E18" s="251"/>
    </row>
    <row r="19" spans="2:6" x14ac:dyDescent="0.35">
      <c r="B19" s="37" t="s">
        <v>682</v>
      </c>
      <c r="C19" s="251" t="s">
        <v>1097</v>
      </c>
      <c r="D19" s="251"/>
      <c r="E19" s="251"/>
    </row>
    <row r="20" spans="2:6" x14ac:dyDescent="0.35">
      <c r="B20" s="37" t="s">
        <v>1098</v>
      </c>
      <c r="C20" s="394">
        <v>46569</v>
      </c>
      <c r="D20" s="251"/>
      <c r="E20" s="251"/>
    </row>
    <row r="21" spans="2:6" x14ac:dyDescent="0.35">
      <c r="B21" s="37" t="s">
        <v>686</v>
      </c>
      <c r="C21" s="251" t="s">
        <v>1099</v>
      </c>
      <c r="D21" s="251"/>
      <c r="E21" s="251"/>
    </row>
    <row r="22" spans="2:6" x14ac:dyDescent="0.35">
      <c r="B22" s="37" t="s">
        <v>688</v>
      </c>
      <c r="C22" s="251" t="s">
        <v>1100</v>
      </c>
      <c r="D22" s="251"/>
      <c r="E22" s="251"/>
    </row>
    <row r="23" spans="2:6" x14ac:dyDescent="0.35">
      <c r="B23" s="37" t="s">
        <v>690</v>
      </c>
      <c r="C23" s="251" t="s">
        <v>1101</v>
      </c>
      <c r="D23" s="251"/>
      <c r="E23" s="251"/>
    </row>
    <row r="24" spans="2:6" x14ac:dyDescent="0.35">
      <c r="B24" s="37" t="s">
        <v>692</v>
      </c>
      <c r="C24" s="251" t="s">
        <v>1102</v>
      </c>
      <c r="D24" s="251"/>
      <c r="E24" s="251"/>
    </row>
    <row r="25" spans="2:6" x14ac:dyDescent="0.35">
      <c r="B25" s="37" t="s">
        <v>935</v>
      </c>
      <c r="C25" s="174" t="s">
        <v>1103</v>
      </c>
      <c r="D25" s="174"/>
      <c r="E25" s="174"/>
      <c r="F25" s="1" t="s">
        <v>1104</v>
      </c>
    </row>
    <row r="26" spans="2:6" x14ac:dyDescent="0.35">
      <c r="B26" s="37" t="s">
        <v>936</v>
      </c>
      <c r="C26" s="252" t="s">
        <v>1105</v>
      </c>
      <c r="D26" s="252"/>
      <c r="E26" s="253"/>
    </row>
    <row r="27" spans="2:6" x14ac:dyDescent="0.35">
      <c r="B27" s="37" t="s">
        <v>938</v>
      </c>
      <c r="C27" s="172" t="s">
        <v>1106</v>
      </c>
      <c r="D27" s="172"/>
      <c r="E27" s="172"/>
    </row>
    <row r="28" spans="2:6" x14ac:dyDescent="0.35">
      <c r="B28" s="37" t="s">
        <v>698</v>
      </c>
      <c r="C28" s="172" t="s">
        <v>1107</v>
      </c>
      <c r="D28" s="172"/>
      <c r="E28" s="172"/>
    </row>
    <row r="30" spans="2:6" ht="24" customHeight="1" x14ac:dyDescent="0.35">
      <c r="B30" s="100" t="s">
        <v>699</v>
      </c>
      <c r="C30" s="100"/>
      <c r="D30" s="100"/>
      <c r="E30" s="100"/>
      <c r="F30" s="100"/>
    </row>
    <row r="31" spans="2:6" ht="27.75" customHeight="1" x14ac:dyDescent="0.35">
      <c r="B31" s="6" t="s">
        <v>19</v>
      </c>
      <c r="C31" s="6" t="s">
        <v>700</v>
      </c>
      <c r="D31" s="6" t="s">
        <v>701</v>
      </c>
      <c r="E31" s="6" t="s">
        <v>702</v>
      </c>
      <c r="F31" s="6" t="s">
        <v>703</v>
      </c>
    </row>
    <row r="32" spans="2:6" ht="21.75" customHeight="1" x14ac:dyDescent="0.35">
      <c r="B32" s="170" t="s">
        <v>704</v>
      </c>
      <c r="C32" s="170"/>
      <c r="D32" s="170"/>
      <c r="E32" s="170"/>
      <c r="F32" s="170"/>
    </row>
    <row r="33" spans="2:9" ht="40.5" customHeight="1" x14ac:dyDescent="0.35">
      <c r="B33" s="40" t="s">
        <v>939</v>
      </c>
      <c r="C33" s="65" t="s">
        <v>705</v>
      </c>
      <c r="D33" s="26" t="s">
        <v>89</v>
      </c>
      <c r="E33" s="5" t="s">
        <v>1108</v>
      </c>
      <c r="F33" s="36" t="s">
        <v>277</v>
      </c>
    </row>
    <row r="34" spans="2:9" ht="40.5" customHeight="1" x14ac:dyDescent="0.35">
      <c r="B34" s="41" t="s">
        <v>941</v>
      </c>
      <c r="C34" s="66" t="s">
        <v>706</v>
      </c>
      <c r="D34" s="26" t="s">
        <v>93</v>
      </c>
      <c r="E34" s="5" t="s">
        <v>1109</v>
      </c>
      <c r="F34" s="36" t="s">
        <v>271</v>
      </c>
    </row>
    <row r="35" spans="2:9" ht="40.5" customHeight="1" x14ac:dyDescent="0.35">
      <c r="B35" s="40" t="s">
        <v>943</v>
      </c>
      <c r="C35" s="65" t="s">
        <v>707</v>
      </c>
      <c r="D35" s="26" t="s">
        <v>89</v>
      </c>
      <c r="E35" s="5" t="s">
        <v>1110</v>
      </c>
      <c r="F35" s="36" t="s">
        <v>271</v>
      </c>
    </row>
    <row r="36" spans="2:9" ht="40.5" customHeight="1" x14ac:dyDescent="0.35">
      <c r="B36" s="41" t="s">
        <v>945</v>
      </c>
      <c r="C36" s="66" t="s">
        <v>708</v>
      </c>
      <c r="D36" s="26" t="s">
        <v>89</v>
      </c>
      <c r="E36" s="5" t="s">
        <v>1111</v>
      </c>
      <c r="F36" s="36" t="s">
        <v>277</v>
      </c>
    </row>
    <row r="37" spans="2:9" ht="40.5" customHeight="1" x14ac:dyDescent="0.35">
      <c r="B37" s="40" t="s">
        <v>947</v>
      </c>
      <c r="C37" s="65" t="s">
        <v>709</v>
      </c>
      <c r="D37" s="26" t="s">
        <v>89</v>
      </c>
      <c r="E37" s="5" t="s">
        <v>1112</v>
      </c>
      <c r="F37" s="36" t="s">
        <v>277</v>
      </c>
    </row>
    <row r="39" spans="2:9" ht="21.75" customHeight="1" x14ac:dyDescent="0.35">
      <c r="B39" s="170" t="s">
        <v>711</v>
      </c>
      <c r="C39" s="170"/>
      <c r="D39" s="170"/>
      <c r="E39" s="170"/>
      <c r="F39" s="170"/>
    </row>
    <row r="40" spans="2:9" ht="27.75" customHeight="1" x14ac:dyDescent="0.35">
      <c r="B40" s="41" t="s">
        <v>949</v>
      </c>
      <c r="C40" s="66" t="s">
        <v>712</v>
      </c>
      <c r="D40" s="26" t="s">
        <v>86</v>
      </c>
      <c r="E40" s="5" t="s">
        <v>1113</v>
      </c>
      <c r="F40" s="36" t="s">
        <v>277</v>
      </c>
    </row>
    <row r="41" spans="2:9" ht="27.75" customHeight="1" x14ac:dyDescent="0.35">
      <c r="B41" s="40" t="s">
        <v>951</v>
      </c>
      <c r="C41" s="65" t="s">
        <v>714</v>
      </c>
      <c r="D41" s="26" t="s">
        <v>86</v>
      </c>
      <c r="E41" s="5" t="s">
        <v>1114</v>
      </c>
      <c r="F41" s="36" t="s">
        <v>277</v>
      </c>
    </row>
    <row r="42" spans="2:9" ht="43.5" x14ac:dyDescent="0.35">
      <c r="B42" s="41" t="s">
        <v>953</v>
      </c>
      <c r="C42" s="66" t="s">
        <v>716</v>
      </c>
      <c r="D42" s="26" t="s">
        <v>89</v>
      </c>
      <c r="E42" s="5" t="s">
        <v>1115</v>
      </c>
      <c r="F42" s="36" t="s">
        <v>271</v>
      </c>
      <c r="I42" s="1" t="s">
        <v>1116</v>
      </c>
    </row>
    <row r="43" spans="2:9" ht="43.5" x14ac:dyDescent="0.35">
      <c r="B43" s="40" t="s">
        <v>955</v>
      </c>
      <c r="C43" s="65" t="s">
        <v>718</v>
      </c>
      <c r="D43" s="26" t="s">
        <v>89</v>
      </c>
      <c r="E43" s="5" t="s">
        <v>1117</v>
      </c>
      <c r="F43" s="36" t="s">
        <v>277</v>
      </c>
    </row>
    <row r="44" spans="2:9" ht="43.5" x14ac:dyDescent="0.35">
      <c r="B44" s="41" t="s">
        <v>957</v>
      </c>
      <c r="C44" s="66" t="s">
        <v>719</v>
      </c>
      <c r="D44" s="26" t="s">
        <v>93</v>
      </c>
      <c r="E44" s="5" t="s">
        <v>1118</v>
      </c>
      <c r="F44" s="36" t="s">
        <v>277</v>
      </c>
    </row>
    <row r="45" spans="2:9" ht="27.75" customHeight="1" x14ac:dyDescent="0.35">
      <c r="B45" s="40" t="s">
        <v>958</v>
      </c>
      <c r="C45" s="65" t="s">
        <v>721</v>
      </c>
      <c r="D45" s="26" t="s">
        <v>93</v>
      </c>
      <c r="E45" s="5" t="s">
        <v>1119</v>
      </c>
      <c r="F45" s="36" t="s">
        <v>277</v>
      </c>
    </row>
    <row r="46" spans="2:9" ht="27.75" customHeight="1" x14ac:dyDescent="0.35">
      <c r="B46" s="41" t="s">
        <v>959</v>
      </c>
      <c r="C46" s="66" t="s">
        <v>722</v>
      </c>
      <c r="D46" s="26" t="s">
        <v>89</v>
      </c>
      <c r="E46" s="5" t="s">
        <v>1120</v>
      </c>
      <c r="F46" s="36" t="s">
        <v>271</v>
      </c>
    </row>
    <row r="48" spans="2:9" ht="21.75" customHeight="1" x14ac:dyDescent="0.35">
      <c r="B48" s="170" t="s">
        <v>723</v>
      </c>
      <c r="C48" s="170"/>
      <c r="D48" s="170"/>
      <c r="E48" s="170"/>
      <c r="F48" s="170"/>
    </row>
    <row r="49" spans="2:6" ht="27.75" customHeight="1" x14ac:dyDescent="0.35">
      <c r="B49" s="40" t="s">
        <v>961</v>
      </c>
      <c r="C49" s="65" t="s">
        <v>724</v>
      </c>
      <c r="D49" s="26" t="s">
        <v>86</v>
      </c>
      <c r="E49" s="5" t="s">
        <v>1121</v>
      </c>
      <c r="F49" s="36" t="s">
        <v>277</v>
      </c>
    </row>
    <row r="50" spans="2:6" ht="43.5" x14ac:dyDescent="0.35">
      <c r="B50" s="41" t="s">
        <v>963</v>
      </c>
      <c r="C50" s="66" t="s">
        <v>726</v>
      </c>
      <c r="D50" s="26" t="s">
        <v>86</v>
      </c>
      <c r="E50" s="5" t="s">
        <v>1122</v>
      </c>
      <c r="F50" s="36" t="s">
        <v>271</v>
      </c>
    </row>
    <row r="51" spans="2:6" ht="39" customHeight="1" x14ac:dyDescent="0.35">
      <c r="B51" s="40" t="s">
        <v>965</v>
      </c>
      <c r="C51" s="65" t="s">
        <v>727</v>
      </c>
      <c r="D51" s="26" t="s">
        <v>93</v>
      </c>
      <c r="E51" s="5" t="s">
        <v>1123</v>
      </c>
      <c r="F51" s="36" t="s">
        <v>271</v>
      </c>
    </row>
    <row r="53" spans="2:6" ht="21.75" customHeight="1" x14ac:dyDescent="0.35">
      <c r="B53" s="170" t="s">
        <v>728</v>
      </c>
      <c r="C53" s="170"/>
      <c r="D53" s="170"/>
      <c r="E53" s="170"/>
      <c r="F53" s="170"/>
    </row>
    <row r="54" spans="2:6" ht="27.75" customHeight="1" x14ac:dyDescent="0.35">
      <c r="B54" s="41" t="s">
        <v>967</v>
      </c>
      <c r="C54" s="66" t="s">
        <v>729</v>
      </c>
      <c r="D54" s="26" t="s">
        <v>89</v>
      </c>
      <c r="E54" s="5" t="s">
        <v>1124</v>
      </c>
      <c r="F54" s="36" t="s">
        <v>271</v>
      </c>
    </row>
    <row r="55" spans="2:6" ht="27.75" customHeight="1" x14ac:dyDescent="0.35">
      <c r="B55" s="40" t="s">
        <v>969</v>
      </c>
      <c r="C55" s="65" t="s">
        <v>731</v>
      </c>
      <c r="D55" s="26" t="s">
        <v>89</v>
      </c>
      <c r="E55" s="5" t="s">
        <v>1125</v>
      </c>
      <c r="F55" s="36" t="s">
        <v>271</v>
      </c>
    </row>
    <row r="57" spans="2:6" ht="27.75" customHeight="1" x14ac:dyDescent="0.35">
      <c r="B57" s="260" t="s">
        <v>732</v>
      </c>
      <c r="C57" s="260"/>
      <c r="D57" s="42">
        <f>IF(D33="Sí",1,IF(D33="Parcial",0.5,0))+IF(D34="Sí",1,IF(D34="Parcial",0.5,0))+IF(D35="Sí",1,IF(D35="Parcial",0.5,0))+IF(D36="Sí",1,IF(D36="Parcial",0.5,0))+IF(D37="Sí",1,IF(D37="Parcial",0.5,0))+IF(D40="Sí",1,IF(D40="Parcial",0.5,0))+IF(D41="Sí",1,IF(D41="Parcial",0.5,0))+IF(D42="Sí",1,IF(D42="Parcial",0.5,0))+IF(D43="Sí",1,IF(D43="Parcial",0.5,0))+IF(D44="Sí",1,IF(D44="Parcial",0.5,0))+IF(D45="Sí",1,IF(D45="Parcial",0.5,0))+IF(D46="Sí",1,IF(D46="Parcial",0.5,0))+IF(D49="Sí",1,IF(D49="Parcial",0.5,0))+IF(D50="Sí",1,IF(D50="Parcial",0.5,0))+IF(D51="Sí",1,IF(D51="Parcial",0.5,0))+IF(D54="Sí",1,IF(D54="Parcial",0.5,0))+IF(D55="Sí",1,IF(D55="Parcial",0.5,0))</f>
        <v>8.5</v>
      </c>
      <c r="E57" s="43">
        <f>D57/17</f>
        <v>0.5</v>
      </c>
    </row>
    <row r="59" spans="2:6" ht="24" customHeight="1" x14ac:dyDescent="0.35">
      <c r="B59" s="100" t="s">
        <v>733</v>
      </c>
      <c r="C59" s="100"/>
      <c r="D59" s="100"/>
      <c r="E59" s="100"/>
      <c r="F59" s="100"/>
    </row>
    <row r="60" spans="2:6" ht="21.75" customHeight="1" x14ac:dyDescent="0.35">
      <c r="B60" s="6" t="s">
        <v>464</v>
      </c>
      <c r="C60" s="6" t="s">
        <v>466</v>
      </c>
      <c r="D60" s="6" t="s">
        <v>734</v>
      </c>
      <c r="E60" s="6" t="s">
        <v>735</v>
      </c>
      <c r="F60" s="6" t="s">
        <v>736</v>
      </c>
    </row>
    <row r="61" spans="2:6" ht="21.75" customHeight="1" x14ac:dyDescent="0.35">
      <c r="B61" s="44" t="s">
        <v>467</v>
      </c>
      <c r="C61" s="166">
        <v>90</v>
      </c>
      <c r="D61" s="45"/>
      <c r="E61" s="149" t="s">
        <v>1126</v>
      </c>
      <c r="F61" s="206" t="s">
        <v>1127</v>
      </c>
    </row>
    <row r="62" spans="2:6" ht="21.75" customHeight="1" x14ac:dyDescent="0.35">
      <c r="B62" s="210" t="s">
        <v>972</v>
      </c>
      <c r="C62" s="166" t="s">
        <v>1128</v>
      </c>
      <c r="D62" s="45"/>
      <c r="E62" s="149"/>
      <c r="F62" s="206" t="s">
        <v>1129</v>
      </c>
    </row>
    <row r="63" spans="2:6" ht="21.75" customHeight="1" x14ac:dyDescent="0.35">
      <c r="B63" s="210" t="s">
        <v>973</v>
      </c>
      <c r="C63" s="166" t="s">
        <v>1130</v>
      </c>
      <c r="D63" s="45"/>
      <c r="E63" s="149"/>
      <c r="F63" s="206" t="s">
        <v>1131</v>
      </c>
    </row>
    <row r="64" spans="2:6" ht="21.75" customHeight="1" x14ac:dyDescent="0.35">
      <c r="B64" s="46" t="s">
        <v>470</v>
      </c>
      <c r="C64" s="215">
        <v>40</v>
      </c>
      <c r="D64" s="47"/>
      <c r="E64" s="207"/>
      <c r="F64" s="206" t="s">
        <v>1132</v>
      </c>
    </row>
    <row r="65" spans="2:6" ht="21.75" customHeight="1" x14ac:dyDescent="0.35">
      <c r="B65" s="44" t="s">
        <v>472</v>
      </c>
      <c r="C65" s="166">
        <v>50</v>
      </c>
      <c r="D65" s="45"/>
      <c r="E65" s="149"/>
      <c r="F65" s="206" t="s">
        <v>1133</v>
      </c>
    </row>
    <row r="66" spans="2:6" ht="21.75" customHeight="1" x14ac:dyDescent="0.35">
      <c r="B66" s="46" t="s">
        <v>737</v>
      </c>
      <c r="C66" s="215"/>
      <c r="D66" s="45"/>
      <c r="E66" s="207"/>
      <c r="F66" s="206"/>
    </row>
    <row r="67" spans="2:6" ht="21.75" customHeight="1" x14ac:dyDescent="0.35">
      <c r="B67" s="44" t="s">
        <v>475</v>
      </c>
      <c r="C67" s="215"/>
      <c r="D67" s="45"/>
      <c r="E67" s="207"/>
      <c r="F67" s="206"/>
    </row>
    <row r="68" spans="2:6" ht="21.75" customHeight="1" x14ac:dyDescent="0.35">
      <c r="B68" s="46" t="s">
        <v>477</v>
      </c>
      <c r="C68" s="215"/>
      <c r="D68" s="45"/>
      <c r="E68" s="207"/>
      <c r="F68" s="206"/>
    </row>
    <row r="69" spans="2:6" ht="21.75" customHeight="1" x14ac:dyDescent="0.35">
      <c r="B69" s="44" t="s">
        <v>257</v>
      </c>
      <c r="C69" s="215"/>
      <c r="D69" s="45"/>
      <c r="E69" s="207"/>
      <c r="F69" s="206"/>
    </row>
    <row r="70" spans="2:6" ht="21.75" customHeight="1" x14ac:dyDescent="0.35">
      <c r="B70" s="46" t="s">
        <v>480</v>
      </c>
      <c r="C70" s="215"/>
      <c r="D70" s="45"/>
      <c r="E70" s="207"/>
      <c r="F70" s="206"/>
    </row>
    <row r="71" spans="2:6" ht="21.75" customHeight="1" x14ac:dyDescent="0.35">
      <c r="B71" s="44" t="s">
        <v>482</v>
      </c>
      <c r="C71" s="166">
        <v>22.5</v>
      </c>
      <c r="D71" s="45"/>
      <c r="E71" s="149" t="s">
        <v>1134</v>
      </c>
      <c r="F71" s="206" t="s">
        <v>1135</v>
      </c>
    </row>
    <row r="72" spans="2:6" ht="21.75" customHeight="1" x14ac:dyDescent="0.35">
      <c r="B72" s="46" t="s">
        <v>484</v>
      </c>
      <c r="C72" s="215"/>
      <c r="D72" s="45"/>
      <c r="E72" s="207"/>
      <c r="F72" s="206"/>
    </row>
    <row r="73" spans="2:6" ht="21.75" customHeight="1" x14ac:dyDescent="0.35">
      <c r="B73" s="44" t="s">
        <v>486</v>
      </c>
      <c r="C73" s="166">
        <v>4</v>
      </c>
      <c r="D73" s="45"/>
      <c r="E73" s="149" t="s">
        <v>1136</v>
      </c>
      <c r="F73" s="206" t="s">
        <v>1137</v>
      </c>
    </row>
    <row r="74" spans="2:6" ht="21.75" customHeight="1" x14ac:dyDescent="0.35">
      <c r="B74" s="46" t="s">
        <v>488</v>
      </c>
      <c r="C74" s="215">
        <v>0</v>
      </c>
      <c r="D74" s="47">
        <v>0</v>
      </c>
      <c r="E74" s="207" t="s">
        <v>1138</v>
      </c>
      <c r="F74" s="206" t="s">
        <v>1139</v>
      </c>
    </row>
    <row r="76" spans="2:6" ht="24" customHeight="1" x14ac:dyDescent="0.35">
      <c r="B76" s="100" t="s">
        <v>37</v>
      </c>
      <c r="C76" s="100"/>
      <c r="D76" s="100"/>
      <c r="E76" s="100"/>
      <c r="F76" s="100"/>
    </row>
    <row r="77" spans="2:6" ht="24" customHeight="1" x14ac:dyDescent="0.35">
      <c r="B77" s="266" t="s">
        <v>739</v>
      </c>
      <c r="C77" s="266"/>
      <c r="D77" s="266"/>
      <c r="E77" s="266"/>
      <c r="F77" s="266"/>
    </row>
    <row r="78" spans="2:6" ht="21.75" customHeight="1" x14ac:dyDescent="0.35">
      <c r="B78" s="6" t="s">
        <v>740</v>
      </c>
      <c r="C78" s="6" t="s">
        <v>741</v>
      </c>
      <c r="D78" s="6" t="s">
        <v>742</v>
      </c>
      <c r="E78" s="6" t="s">
        <v>743</v>
      </c>
      <c r="F78" s="6" t="s">
        <v>744</v>
      </c>
    </row>
    <row r="79" spans="2:6" ht="19.5" customHeight="1" x14ac:dyDescent="0.35">
      <c r="B79" s="44" t="s">
        <v>745</v>
      </c>
      <c r="C79" s="45"/>
      <c r="D79" s="45"/>
      <c r="E79" s="45"/>
      <c r="F79" s="45"/>
    </row>
    <row r="80" spans="2:6" ht="19.5" customHeight="1" x14ac:dyDescent="0.35">
      <c r="B80" s="46" t="s">
        <v>746</v>
      </c>
      <c r="C80" s="47"/>
      <c r="D80" s="47"/>
      <c r="E80" s="47"/>
      <c r="F80" s="47"/>
    </row>
    <row r="81" spans="2:6" ht="51" customHeight="1" x14ac:dyDescent="0.35">
      <c r="B81" s="44" t="s">
        <v>748</v>
      </c>
      <c r="C81" s="45">
        <v>14</v>
      </c>
      <c r="D81" s="45">
        <v>1</v>
      </c>
      <c r="E81" s="45" t="s">
        <v>496</v>
      </c>
      <c r="F81" s="149" t="s">
        <v>1140</v>
      </c>
    </row>
    <row r="82" spans="2:6" ht="19.5" customHeight="1" x14ac:dyDescent="0.35">
      <c r="B82" s="46" t="s">
        <v>749</v>
      </c>
      <c r="C82" s="47"/>
      <c r="D82" s="47"/>
      <c r="E82" s="47"/>
      <c r="F82" s="47"/>
    </row>
    <row r="83" spans="2:6" ht="19.5" customHeight="1" x14ac:dyDescent="0.35">
      <c r="B83" s="44" t="s">
        <v>751</v>
      </c>
      <c r="C83" s="45"/>
      <c r="D83" s="45"/>
      <c r="E83" s="45"/>
      <c r="F83" s="45"/>
    </row>
    <row r="84" spans="2:6" ht="19.5" customHeight="1" x14ac:dyDescent="0.35">
      <c r="B84" s="46" t="s">
        <v>752</v>
      </c>
      <c r="C84" s="47"/>
      <c r="D84" s="47"/>
      <c r="E84" s="47"/>
      <c r="F84" s="47"/>
    </row>
    <row r="85" spans="2:6" ht="19.5" customHeight="1" x14ac:dyDescent="0.35">
      <c r="B85" s="44" t="s">
        <v>753</v>
      </c>
      <c r="C85" s="45"/>
      <c r="D85" s="45"/>
      <c r="E85" s="45"/>
      <c r="F85" s="45"/>
    </row>
    <row r="86" spans="2:6" ht="19.5" customHeight="1" x14ac:dyDescent="0.35">
      <c r="B86" s="46" t="s">
        <v>755</v>
      </c>
      <c r="C86" s="47"/>
      <c r="D86" s="47"/>
      <c r="E86" s="47"/>
      <c r="F86" s="47"/>
    </row>
    <row r="88" spans="2:6" ht="24" customHeight="1" x14ac:dyDescent="0.35">
      <c r="B88" s="100" t="s">
        <v>757</v>
      </c>
      <c r="C88" s="100"/>
      <c r="D88" s="100"/>
      <c r="E88" s="100"/>
      <c r="F88" s="100"/>
    </row>
    <row r="89" spans="2:6" ht="21.75" customHeight="1" x14ac:dyDescent="0.35">
      <c r="B89" s="6" t="s">
        <v>758</v>
      </c>
      <c r="C89" s="6" t="s">
        <v>466</v>
      </c>
      <c r="D89" s="6" t="s">
        <v>201</v>
      </c>
      <c r="E89" s="6" t="s">
        <v>759</v>
      </c>
      <c r="F89" s="6" t="s">
        <v>744</v>
      </c>
    </row>
    <row r="90" spans="2:6" ht="21.75" customHeight="1" x14ac:dyDescent="0.35">
      <c r="B90" s="14" t="s">
        <v>760</v>
      </c>
      <c r="C90" s="45"/>
      <c r="D90" s="45"/>
      <c r="E90" s="45"/>
      <c r="F90" s="149" t="s">
        <v>1141</v>
      </c>
    </row>
    <row r="91" spans="2:6" ht="21.75" customHeight="1" x14ac:dyDescent="0.35">
      <c r="B91" s="16" t="s">
        <v>428</v>
      </c>
      <c r="C91" s="36"/>
      <c r="D91" s="36"/>
      <c r="E91" s="47"/>
      <c r="F91" s="207" t="s">
        <v>1142</v>
      </c>
    </row>
    <row r="92" spans="2:6" ht="21.75" customHeight="1" x14ac:dyDescent="0.35">
      <c r="B92" s="14" t="s">
        <v>429</v>
      </c>
      <c r="C92" s="45"/>
      <c r="D92" s="45"/>
      <c r="E92" s="45"/>
      <c r="F92" s="149"/>
    </row>
    <row r="93" spans="2:6" ht="21.75" customHeight="1" x14ac:dyDescent="0.35">
      <c r="B93" s="16" t="s">
        <v>761</v>
      </c>
      <c r="C93" s="47"/>
      <c r="D93" s="47"/>
      <c r="E93" s="47"/>
      <c r="F93" s="207"/>
    </row>
    <row r="94" spans="2:6" ht="29" x14ac:dyDescent="0.35">
      <c r="B94" s="14" t="s">
        <v>762</v>
      </c>
      <c r="C94" s="45"/>
      <c r="D94" s="45"/>
      <c r="E94" s="45"/>
      <c r="F94" s="149"/>
    </row>
    <row r="95" spans="2:6" ht="21.75" customHeight="1" x14ac:dyDescent="0.35">
      <c r="B95" s="16" t="s">
        <v>430</v>
      </c>
      <c r="C95" s="47"/>
      <c r="D95" s="47"/>
      <c r="E95" s="47"/>
      <c r="F95" s="207"/>
    </row>
    <row r="96" spans="2:6" x14ac:dyDescent="0.35">
      <c r="B96" s="14" t="s">
        <v>431</v>
      </c>
      <c r="C96" s="45"/>
      <c r="D96" s="45"/>
      <c r="E96" s="45"/>
      <c r="F96" s="149"/>
    </row>
    <row r="98" spans="2:7" ht="24" customHeight="1" x14ac:dyDescent="0.35">
      <c r="B98" s="258" t="s">
        <v>1143</v>
      </c>
      <c r="C98" s="258"/>
      <c r="D98" s="258"/>
      <c r="E98" s="258"/>
      <c r="F98" s="258"/>
      <c r="G98" s="258"/>
    </row>
    <row r="99" spans="2:7" ht="27.75" customHeight="1" x14ac:dyDescent="0.35">
      <c r="B99" s="6" t="s">
        <v>142</v>
      </c>
      <c r="C99" s="6" t="s">
        <v>764</v>
      </c>
      <c r="D99" s="6" t="s">
        <v>765</v>
      </c>
      <c r="E99" s="6" t="s">
        <v>766</v>
      </c>
      <c r="F99" s="6" t="s">
        <v>767</v>
      </c>
      <c r="G99" s="6" t="s">
        <v>768</v>
      </c>
    </row>
    <row r="100" spans="2:7" ht="25.5" customHeight="1" x14ac:dyDescent="0.35">
      <c r="B100" s="48" t="s">
        <v>153</v>
      </c>
      <c r="C100" s="26" t="s">
        <v>89</v>
      </c>
      <c r="D100" s="69" t="s">
        <v>769</v>
      </c>
      <c r="E100" s="49">
        <v>3</v>
      </c>
      <c r="F100" s="36" t="s">
        <v>277</v>
      </c>
      <c r="G100" s="5" t="s">
        <v>1144</v>
      </c>
    </row>
    <row r="101" spans="2:7" ht="25.5" customHeight="1" x14ac:dyDescent="0.35">
      <c r="B101" s="50" t="s">
        <v>154</v>
      </c>
      <c r="C101" s="26" t="s">
        <v>93</v>
      </c>
      <c r="D101" s="68" t="s">
        <v>771</v>
      </c>
      <c r="E101" s="49">
        <v>2</v>
      </c>
      <c r="F101" s="36" t="s">
        <v>282</v>
      </c>
      <c r="G101" s="5" t="s">
        <v>1145</v>
      </c>
    </row>
    <row r="102" spans="2:7" ht="25.5" customHeight="1" x14ac:dyDescent="0.35">
      <c r="B102" s="48" t="s">
        <v>155</v>
      </c>
      <c r="C102" s="26" t="s">
        <v>86</v>
      </c>
      <c r="D102" s="69" t="s">
        <v>773</v>
      </c>
      <c r="E102" s="49">
        <v>4</v>
      </c>
      <c r="F102" s="36" t="s">
        <v>271</v>
      </c>
      <c r="G102" s="5" t="s">
        <v>1146</v>
      </c>
    </row>
    <row r="103" spans="2:7" ht="25.5" customHeight="1" x14ac:dyDescent="0.35">
      <c r="B103" s="50" t="s">
        <v>156</v>
      </c>
      <c r="C103" s="26" t="s">
        <v>89</v>
      </c>
      <c r="D103" s="68" t="s">
        <v>775</v>
      </c>
      <c r="E103" s="49">
        <v>3</v>
      </c>
      <c r="F103" s="36" t="s">
        <v>277</v>
      </c>
      <c r="G103" s="5" t="s">
        <v>1147</v>
      </c>
    </row>
    <row r="104" spans="2:7" ht="25.5" customHeight="1" x14ac:dyDescent="0.35">
      <c r="B104" s="48" t="s">
        <v>157</v>
      </c>
      <c r="C104" s="26" t="s">
        <v>93</v>
      </c>
      <c r="D104" s="67" t="s">
        <v>777</v>
      </c>
      <c r="E104" s="49">
        <v>2</v>
      </c>
      <c r="F104" s="36" t="s">
        <v>282</v>
      </c>
      <c r="G104" s="5" t="s">
        <v>1148</v>
      </c>
    </row>
    <row r="105" spans="2:7" ht="25.5" customHeight="1" x14ac:dyDescent="0.35">
      <c r="B105" s="50" t="s">
        <v>158</v>
      </c>
      <c r="C105" s="26" t="s">
        <v>89</v>
      </c>
      <c r="D105" s="68" t="s">
        <v>779</v>
      </c>
      <c r="E105" s="49">
        <v>3</v>
      </c>
      <c r="F105" s="36" t="s">
        <v>277</v>
      </c>
      <c r="G105" s="5" t="s">
        <v>1149</v>
      </c>
    </row>
    <row r="106" spans="2:7" ht="25.5" customHeight="1" x14ac:dyDescent="0.35">
      <c r="B106" s="48" t="s">
        <v>159</v>
      </c>
      <c r="C106" s="26" t="s">
        <v>86</v>
      </c>
      <c r="D106" s="67" t="s">
        <v>781</v>
      </c>
      <c r="E106" s="49">
        <v>4</v>
      </c>
      <c r="F106" s="36" t="s">
        <v>271</v>
      </c>
      <c r="G106" s="5" t="s">
        <v>1150</v>
      </c>
    </row>
    <row r="107" spans="2:7" ht="25.5" customHeight="1" x14ac:dyDescent="0.35">
      <c r="B107" s="50" t="s">
        <v>160</v>
      </c>
      <c r="C107" s="26" t="s">
        <v>86</v>
      </c>
      <c r="D107" s="74" t="s">
        <v>783</v>
      </c>
      <c r="E107" s="49">
        <v>4</v>
      </c>
      <c r="F107" s="36" t="s">
        <v>271</v>
      </c>
      <c r="G107" s="5" t="s">
        <v>1151</v>
      </c>
    </row>
    <row r="108" spans="2:7" ht="58" x14ac:dyDescent="0.35">
      <c r="B108" s="48" t="s">
        <v>161</v>
      </c>
      <c r="C108" s="26" t="s">
        <v>89</v>
      </c>
      <c r="D108" s="69" t="s">
        <v>785</v>
      </c>
      <c r="E108" s="49">
        <v>3</v>
      </c>
      <c r="F108" s="36" t="s">
        <v>277</v>
      </c>
      <c r="G108" s="5" t="s">
        <v>1152</v>
      </c>
    </row>
    <row r="109" spans="2:7" ht="58.5" customHeight="1" x14ac:dyDescent="0.35">
      <c r="B109" s="50" t="s">
        <v>162</v>
      </c>
      <c r="C109" s="26" t="s">
        <v>89</v>
      </c>
      <c r="D109" s="74" t="s">
        <v>787</v>
      </c>
      <c r="E109" s="49">
        <v>3</v>
      </c>
      <c r="F109" s="36" t="s">
        <v>277</v>
      </c>
      <c r="G109" s="5" t="s">
        <v>1153</v>
      </c>
    </row>
    <row r="110" spans="2:7" ht="25.5" customHeight="1" x14ac:dyDescent="0.35">
      <c r="B110" s="48" t="s">
        <v>163</v>
      </c>
      <c r="C110" s="26" t="s">
        <v>86</v>
      </c>
      <c r="D110" s="67" t="s">
        <v>789</v>
      </c>
      <c r="E110" s="49">
        <v>4</v>
      </c>
      <c r="F110" s="36" t="s">
        <v>271</v>
      </c>
      <c r="G110" s="5" t="s">
        <v>1154</v>
      </c>
    </row>
    <row r="111" spans="2:7" ht="25.5" customHeight="1" x14ac:dyDescent="0.35">
      <c r="B111" s="50" t="s">
        <v>164</v>
      </c>
      <c r="C111" s="26" t="s">
        <v>86</v>
      </c>
      <c r="D111" s="74" t="s">
        <v>791</v>
      </c>
      <c r="E111" s="49">
        <v>4</v>
      </c>
      <c r="F111" s="36" t="s">
        <v>271</v>
      </c>
      <c r="G111" s="5" t="s">
        <v>1155</v>
      </c>
    </row>
    <row r="112" spans="2:7" ht="25.5" customHeight="1" x14ac:dyDescent="0.35">
      <c r="B112" s="48" t="s">
        <v>165</v>
      </c>
      <c r="C112" s="26" t="s">
        <v>89</v>
      </c>
      <c r="D112" s="69" t="s">
        <v>793</v>
      </c>
      <c r="E112" s="49">
        <v>3</v>
      </c>
      <c r="F112" s="36" t="s">
        <v>277</v>
      </c>
      <c r="G112" s="5" t="s">
        <v>1156</v>
      </c>
    </row>
    <row r="113" spans="2:7" ht="25.5" customHeight="1" x14ac:dyDescent="0.35">
      <c r="B113" s="50" t="s">
        <v>166</v>
      </c>
      <c r="C113" s="26" t="s">
        <v>86</v>
      </c>
      <c r="D113" s="74" t="s">
        <v>795</v>
      </c>
      <c r="E113" s="49">
        <v>4</v>
      </c>
      <c r="F113" s="36" t="s">
        <v>271</v>
      </c>
      <c r="G113" s="5" t="s">
        <v>1157</v>
      </c>
    </row>
    <row r="114" spans="2:7" ht="25.5" customHeight="1" x14ac:dyDescent="0.35">
      <c r="B114" s="48" t="s">
        <v>167</v>
      </c>
      <c r="C114" s="26" t="s">
        <v>89</v>
      </c>
      <c r="D114" s="69" t="s">
        <v>797</v>
      </c>
      <c r="E114" s="49">
        <v>3</v>
      </c>
      <c r="F114" s="36" t="s">
        <v>277</v>
      </c>
      <c r="G114" s="5" t="s">
        <v>1158</v>
      </c>
    </row>
    <row r="115" spans="2:7" ht="25.5" customHeight="1" x14ac:dyDescent="0.35">
      <c r="B115" s="50" t="s">
        <v>168</v>
      </c>
      <c r="C115" s="26" t="s">
        <v>86</v>
      </c>
      <c r="D115" s="74" t="s">
        <v>799</v>
      </c>
      <c r="E115" s="49">
        <v>4</v>
      </c>
      <c r="F115" s="36" t="s">
        <v>271</v>
      </c>
      <c r="G115" s="5" t="s">
        <v>1159</v>
      </c>
    </row>
    <row r="116" spans="2:7" ht="25.5" customHeight="1" x14ac:dyDescent="0.35">
      <c r="B116" s="48" t="s">
        <v>169</v>
      </c>
      <c r="C116" s="26" t="s">
        <v>86</v>
      </c>
      <c r="D116" s="69" t="s">
        <v>801</v>
      </c>
      <c r="E116" s="49">
        <v>4</v>
      </c>
      <c r="F116" s="36" t="s">
        <v>271</v>
      </c>
      <c r="G116" s="5" t="s">
        <v>1160</v>
      </c>
    </row>
    <row r="117" spans="2:7" ht="25.5" customHeight="1" x14ac:dyDescent="0.35">
      <c r="B117" s="50" t="s">
        <v>170</v>
      </c>
      <c r="C117" s="26" t="s">
        <v>86</v>
      </c>
      <c r="D117" s="74" t="s">
        <v>803</v>
      </c>
      <c r="E117" s="49">
        <v>5</v>
      </c>
      <c r="F117" s="36" t="s">
        <v>271</v>
      </c>
      <c r="G117" s="5" t="s">
        <v>1161</v>
      </c>
    </row>
    <row r="118" spans="2:7" ht="25.5" customHeight="1" x14ac:dyDescent="0.35">
      <c r="B118" s="50" t="s">
        <v>172</v>
      </c>
      <c r="C118" s="26" t="s">
        <v>86</v>
      </c>
      <c r="D118" s="74" t="s">
        <v>805</v>
      </c>
      <c r="E118" s="49">
        <v>5</v>
      </c>
      <c r="F118" s="36" t="s">
        <v>271</v>
      </c>
      <c r="G118" s="5" t="s">
        <v>1162</v>
      </c>
    </row>
    <row r="119" spans="2:7" ht="61.5" customHeight="1" x14ac:dyDescent="0.35">
      <c r="B119" s="50" t="s">
        <v>173</v>
      </c>
      <c r="C119" s="26" t="s">
        <v>86</v>
      </c>
      <c r="D119" s="120" t="s">
        <v>807</v>
      </c>
      <c r="E119" s="49">
        <v>5</v>
      </c>
      <c r="F119" s="36" t="s">
        <v>271</v>
      </c>
      <c r="G119" s="5" t="s">
        <v>1163</v>
      </c>
    </row>
    <row r="120" spans="2:7" ht="99.75" customHeight="1" x14ac:dyDescent="0.35">
      <c r="B120" s="212" t="s">
        <v>174</v>
      </c>
      <c r="C120" s="26" t="s">
        <v>86</v>
      </c>
      <c r="D120" s="233" t="s">
        <v>808</v>
      </c>
      <c r="E120" s="49">
        <v>5</v>
      </c>
      <c r="F120" s="36" t="s">
        <v>271</v>
      </c>
      <c r="G120" s="5" t="s">
        <v>1164</v>
      </c>
    </row>
    <row r="121" spans="2:7" ht="50.25" customHeight="1" x14ac:dyDescent="0.35">
      <c r="B121" s="216" t="s">
        <v>175</v>
      </c>
      <c r="C121" s="26" t="s">
        <v>89</v>
      </c>
      <c r="D121" s="218" t="s">
        <v>809</v>
      </c>
      <c r="E121" s="49"/>
      <c r="F121" s="36"/>
      <c r="G121" s="5"/>
    </row>
    <row r="123" spans="2:7" ht="24" customHeight="1" x14ac:dyDescent="0.35">
      <c r="B123" s="100" t="s">
        <v>810</v>
      </c>
      <c r="C123" s="100"/>
      <c r="D123" s="100"/>
    </row>
    <row r="124" spans="2:7" ht="21.75" customHeight="1" x14ac:dyDescent="0.35">
      <c r="B124" s="6" t="s">
        <v>811</v>
      </c>
      <c r="C124" s="6" t="s">
        <v>812</v>
      </c>
      <c r="D124" s="6" t="s">
        <v>736</v>
      </c>
    </row>
    <row r="125" spans="2:7" ht="30" customHeight="1" x14ac:dyDescent="0.35">
      <c r="B125" s="13" t="s">
        <v>813</v>
      </c>
      <c r="C125" s="64"/>
      <c r="D125" s="64"/>
    </row>
    <row r="126" spans="2:7" ht="30" customHeight="1" x14ac:dyDescent="0.35">
      <c r="B126" s="15" t="s">
        <v>814</v>
      </c>
      <c r="C126" s="64" t="s">
        <v>1165</v>
      </c>
      <c r="D126" s="64" t="s">
        <v>1166</v>
      </c>
    </row>
    <row r="127" spans="2:7" ht="30" customHeight="1" x14ac:dyDescent="0.35">
      <c r="B127" s="13" t="s">
        <v>817</v>
      </c>
      <c r="C127" s="64" t="s">
        <v>1167</v>
      </c>
      <c r="D127" s="64" t="s">
        <v>1168</v>
      </c>
    </row>
    <row r="128" spans="2:7" ht="30" customHeight="1" x14ac:dyDescent="0.35">
      <c r="B128" s="15" t="s">
        <v>818</v>
      </c>
      <c r="C128" s="64"/>
      <c r="D128" s="64"/>
    </row>
    <row r="129" spans="2:6" ht="30" customHeight="1" x14ac:dyDescent="0.35">
      <c r="B129" s="13" t="s">
        <v>819</v>
      </c>
      <c r="C129" s="64"/>
      <c r="D129" s="64"/>
    </row>
    <row r="130" spans="2:6" ht="30" customHeight="1" x14ac:dyDescent="0.35">
      <c r="B130" s="15" t="s">
        <v>820</v>
      </c>
      <c r="C130" s="64" t="s">
        <v>1169</v>
      </c>
      <c r="D130" s="64" t="s">
        <v>1170</v>
      </c>
    </row>
    <row r="131" spans="2:6" ht="30" customHeight="1" x14ac:dyDescent="0.35">
      <c r="B131" s="122" t="s">
        <v>821</v>
      </c>
      <c r="C131" s="64" t="s">
        <v>1171</v>
      </c>
      <c r="D131" s="64" t="s">
        <v>1172</v>
      </c>
    </row>
    <row r="132" spans="2:6" ht="30" customHeight="1" x14ac:dyDescent="0.35">
      <c r="B132" s="123" t="s">
        <v>822</v>
      </c>
      <c r="C132" s="109"/>
      <c r="D132" s="64" t="s">
        <v>1173</v>
      </c>
    </row>
    <row r="134" spans="2:6" ht="24" customHeight="1" x14ac:dyDescent="0.35">
      <c r="B134" s="100" t="s">
        <v>823</v>
      </c>
      <c r="C134" s="100"/>
      <c r="D134" s="100"/>
      <c r="E134" s="100"/>
      <c r="F134" s="100"/>
    </row>
    <row r="135" spans="2:6" ht="21.75" customHeight="1" x14ac:dyDescent="0.35">
      <c r="B135" s="6" t="s">
        <v>824</v>
      </c>
      <c r="C135" s="6" t="s">
        <v>825</v>
      </c>
      <c r="D135" s="6" t="s">
        <v>826</v>
      </c>
      <c r="E135" s="6" t="s">
        <v>827</v>
      </c>
      <c r="F135" s="6" t="s">
        <v>269</v>
      </c>
    </row>
    <row r="136" spans="2:6" ht="21.75" customHeight="1" x14ac:dyDescent="0.35">
      <c r="B136" s="44" t="s">
        <v>828</v>
      </c>
      <c r="C136" s="99" t="s">
        <v>307</v>
      </c>
      <c r="D136" s="45" t="s">
        <v>86</v>
      </c>
      <c r="E136" s="14" t="s">
        <v>1174</v>
      </c>
      <c r="F136" s="45" t="s">
        <v>277</v>
      </c>
    </row>
    <row r="137" spans="2:6" ht="21.75" customHeight="1" x14ac:dyDescent="0.35">
      <c r="B137" s="46" t="s">
        <v>830</v>
      </c>
      <c r="C137" s="99"/>
      <c r="D137" s="45" t="s">
        <v>93</v>
      </c>
      <c r="E137" s="16" t="s">
        <v>1175</v>
      </c>
      <c r="F137" s="45" t="s">
        <v>277</v>
      </c>
    </row>
    <row r="138" spans="2:6" ht="21.75" customHeight="1" x14ac:dyDescent="0.35">
      <c r="B138" s="44" t="s">
        <v>831</v>
      </c>
      <c r="C138" s="99" t="s">
        <v>1176</v>
      </c>
      <c r="D138" s="45" t="s">
        <v>93</v>
      </c>
      <c r="E138" s="14"/>
      <c r="F138" s="45" t="s">
        <v>271</v>
      </c>
    </row>
    <row r="139" spans="2:6" ht="21.75" customHeight="1" x14ac:dyDescent="0.35">
      <c r="B139" s="46" t="s">
        <v>832</v>
      </c>
      <c r="C139" s="99" t="s">
        <v>1177</v>
      </c>
      <c r="D139" s="45" t="s">
        <v>93</v>
      </c>
      <c r="E139" s="16" t="s">
        <v>1178</v>
      </c>
      <c r="F139" s="45" t="s">
        <v>271</v>
      </c>
    </row>
    <row r="140" spans="2:6" ht="43.5" customHeight="1" x14ac:dyDescent="0.35">
      <c r="B140" s="14" t="s">
        <v>833</v>
      </c>
      <c r="C140" s="99"/>
      <c r="D140" s="45" t="s">
        <v>93</v>
      </c>
      <c r="E140" s="14"/>
      <c r="F140" s="45" t="s">
        <v>277</v>
      </c>
    </row>
    <row r="141" spans="2:6" ht="36.75" customHeight="1" x14ac:dyDescent="0.35">
      <c r="B141" s="16" t="s">
        <v>834</v>
      </c>
      <c r="C141" s="99"/>
      <c r="D141" s="45" t="s">
        <v>93</v>
      </c>
      <c r="E141" s="16"/>
      <c r="F141" s="45" t="s">
        <v>282</v>
      </c>
    </row>
    <row r="142" spans="2:6" ht="21.75" customHeight="1" x14ac:dyDescent="0.35">
      <c r="B142" s="44" t="s">
        <v>835</v>
      </c>
      <c r="C142" s="99" t="s">
        <v>1179</v>
      </c>
      <c r="D142" s="45" t="s">
        <v>286</v>
      </c>
      <c r="E142" s="14" t="s">
        <v>1180</v>
      </c>
      <c r="F142" s="45" t="s">
        <v>271</v>
      </c>
    </row>
    <row r="143" spans="2:6" ht="21.75" customHeight="1" x14ac:dyDescent="0.35">
      <c r="B143" s="46" t="s">
        <v>836</v>
      </c>
      <c r="C143" s="99" t="s">
        <v>496</v>
      </c>
      <c r="D143" s="45" t="s">
        <v>93</v>
      </c>
      <c r="E143" s="16"/>
      <c r="F143" s="45" t="s">
        <v>282</v>
      </c>
    </row>
    <row r="144" spans="2:6" ht="21.75" customHeight="1" x14ac:dyDescent="0.35">
      <c r="B144" s="44" t="s">
        <v>837</v>
      </c>
      <c r="C144" s="99" t="s">
        <v>1181</v>
      </c>
      <c r="D144" s="45" t="s">
        <v>89</v>
      </c>
      <c r="E144" s="14" t="s">
        <v>1182</v>
      </c>
      <c r="F144" s="45" t="s">
        <v>277</v>
      </c>
    </row>
    <row r="145" spans="2:7" ht="21.75" customHeight="1" x14ac:dyDescent="0.35">
      <c r="B145" s="46" t="s">
        <v>838</v>
      </c>
      <c r="C145" s="99" t="s">
        <v>1183</v>
      </c>
      <c r="D145" s="45" t="s">
        <v>89</v>
      </c>
      <c r="E145" s="16" t="s">
        <v>1184</v>
      </c>
      <c r="F145" s="45" t="s">
        <v>271</v>
      </c>
    </row>
    <row r="147" spans="2:7" ht="24" customHeight="1" x14ac:dyDescent="0.35">
      <c r="B147" s="258" t="s">
        <v>841</v>
      </c>
      <c r="C147" s="258"/>
      <c r="D147" s="258"/>
      <c r="E147" s="258"/>
      <c r="F147" s="258"/>
      <c r="G147" s="258"/>
    </row>
    <row r="148" spans="2:7" ht="21.75" customHeight="1" x14ac:dyDescent="0.35">
      <c r="B148" s="6" t="s">
        <v>842</v>
      </c>
      <c r="C148" s="6" t="s">
        <v>843</v>
      </c>
    </row>
    <row r="149" spans="2:7" ht="21.75" customHeight="1" x14ac:dyDescent="0.35">
      <c r="B149" s="13" t="s">
        <v>844</v>
      </c>
      <c r="C149" s="251" t="s">
        <v>1185</v>
      </c>
      <c r="D149" s="251"/>
      <c r="E149" s="251"/>
      <c r="F149" s="251"/>
      <c r="G149" s="251"/>
    </row>
    <row r="150" spans="2:7" ht="21.75" customHeight="1" x14ac:dyDescent="0.35">
      <c r="B150" s="15" t="s">
        <v>846</v>
      </c>
      <c r="C150" s="251"/>
      <c r="D150" s="251"/>
      <c r="E150" s="251"/>
      <c r="F150" s="251"/>
      <c r="G150" s="251"/>
    </row>
    <row r="151" spans="2:7" ht="21.75" customHeight="1" x14ac:dyDescent="0.35">
      <c r="B151" s="13" t="s">
        <v>847</v>
      </c>
      <c r="C151" s="251"/>
      <c r="D151" s="251"/>
      <c r="E151" s="251"/>
      <c r="F151" s="251"/>
      <c r="G151" s="251"/>
    </row>
    <row r="152" spans="2:7" ht="21.75" customHeight="1" x14ac:dyDescent="0.35">
      <c r="B152" s="15" t="s">
        <v>848</v>
      </c>
      <c r="C152" s="251"/>
      <c r="D152" s="251"/>
      <c r="E152" s="251"/>
      <c r="F152" s="251"/>
      <c r="G152" s="251"/>
    </row>
    <row r="153" spans="2:7" ht="21.75" customHeight="1" x14ac:dyDescent="0.35">
      <c r="B153" s="13" t="s">
        <v>849</v>
      </c>
      <c r="C153" s="251" t="s">
        <v>1186</v>
      </c>
      <c r="D153" s="251"/>
      <c r="E153" s="251"/>
      <c r="F153" s="251"/>
      <c r="G153" s="251"/>
    </row>
    <row r="154" spans="2:7" ht="21.75" customHeight="1" x14ac:dyDescent="0.35">
      <c r="B154" s="15" t="s">
        <v>850</v>
      </c>
      <c r="C154" s="251" t="s">
        <v>1187</v>
      </c>
      <c r="D154" s="251"/>
      <c r="E154" s="251"/>
      <c r="F154" s="251"/>
      <c r="G154" s="251"/>
    </row>
    <row r="155" spans="2:7" ht="21.75" customHeight="1" x14ac:dyDescent="0.35">
      <c r="B155" s="13" t="s">
        <v>852</v>
      </c>
      <c r="C155" s="251" t="s">
        <v>1188</v>
      </c>
      <c r="D155" s="251"/>
      <c r="E155" s="251"/>
      <c r="F155" s="251"/>
      <c r="G155" s="251"/>
    </row>
    <row r="157" spans="2:7" ht="24" customHeight="1" x14ac:dyDescent="0.35">
      <c r="B157" s="258" t="s">
        <v>854</v>
      </c>
      <c r="C157" s="258"/>
      <c r="D157" s="258"/>
      <c r="E157" s="258"/>
      <c r="F157" s="258"/>
      <c r="G157" s="258"/>
    </row>
    <row r="158" spans="2:7" ht="21.75" customHeight="1" x14ac:dyDescent="0.35">
      <c r="B158" s="6" t="s">
        <v>855</v>
      </c>
      <c r="C158" s="6" t="s">
        <v>856</v>
      </c>
    </row>
    <row r="159" spans="2:7" ht="19.5" customHeight="1" x14ac:dyDescent="0.35">
      <c r="B159" s="51" t="s">
        <v>857</v>
      </c>
      <c r="C159" s="251" t="s">
        <v>1189</v>
      </c>
      <c r="D159" s="251"/>
      <c r="E159" s="251"/>
      <c r="F159" s="251"/>
      <c r="G159" s="251"/>
    </row>
    <row r="160" spans="2:7" ht="19.5" customHeight="1" x14ac:dyDescent="0.35">
      <c r="B160" s="52" t="s">
        <v>859</v>
      </c>
      <c r="C160" s="251" t="s">
        <v>1190</v>
      </c>
      <c r="D160" s="251"/>
      <c r="E160" s="251"/>
      <c r="F160" s="251"/>
      <c r="G160" s="251"/>
    </row>
    <row r="161" spans="2:11" ht="19.5" customHeight="1" x14ac:dyDescent="0.35">
      <c r="B161" s="51" t="s">
        <v>861</v>
      </c>
      <c r="C161" s="251" t="s">
        <v>1191</v>
      </c>
      <c r="D161" s="251"/>
      <c r="E161" s="251"/>
      <c r="F161" s="251"/>
      <c r="G161" s="251"/>
    </row>
    <row r="162" spans="2:11" ht="19.5" customHeight="1" x14ac:dyDescent="0.35">
      <c r="B162" s="52" t="s">
        <v>863</v>
      </c>
      <c r="C162" s="251" t="s">
        <v>1192</v>
      </c>
      <c r="D162" s="251"/>
      <c r="E162" s="251"/>
      <c r="F162" s="251"/>
      <c r="G162" s="251"/>
    </row>
    <row r="163" spans="2:11" ht="19.5" customHeight="1" x14ac:dyDescent="0.35">
      <c r="B163" s="51" t="s">
        <v>865</v>
      </c>
      <c r="C163" s="251" t="s">
        <v>1193</v>
      </c>
      <c r="D163" s="251"/>
      <c r="E163" s="251"/>
      <c r="F163" s="251"/>
      <c r="G163" s="251"/>
    </row>
    <row r="164" spans="2:11" ht="19.5" customHeight="1" x14ac:dyDescent="0.35">
      <c r="B164" s="52" t="s">
        <v>867</v>
      </c>
      <c r="C164" s="251" t="s">
        <v>1194</v>
      </c>
      <c r="D164" s="251"/>
      <c r="E164" s="251"/>
      <c r="F164" s="251"/>
      <c r="G164" s="251"/>
    </row>
    <row r="165" spans="2:11" ht="30" customHeight="1" x14ac:dyDescent="0.35">
      <c r="B165" s="51" t="s">
        <v>868</v>
      </c>
      <c r="C165" s="251" t="s">
        <v>1195</v>
      </c>
      <c r="D165" s="251"/>
      <c r="E165" s="251"/>
      <c r="F165" s="251"/>
      <c r="G165" s="251"/>
    </row>
    <row r="166" spans="2:11" ht="30" customHeight="1" x14ac:dyDescent="0.35">
      <c r="B166" s="52" t="s">
        <v>870</v>
      </c>
      <c r="C166" s="256" t="s">
        <v>871</v>
      </c>
      <c r="D166" s="257"/>
      <c r="E166" s="257"/>
      <c r="F166" s="257"/>
      <c r="G166" s="257"/>
    </row>
    <row r="167" spans="2:11" ht="30" customHeight="1" x14ac:dyDescent="0.35">
      <c r="B167" s="51" t="s">
        <v>872</v>
      </c>
      <c r="C167" s="251" t="s">
        <v>1196</v>
      </c>
      <c r="D167" s="251"/>
      <c r="E167" s="251"/>
      <c r="F167" s="251"/>
      <c r="G167" s="251"/>
    </row>
    <row r="169" spans="2:11" ht="24.75" customHeight="1" x14ac:dyDescent="0.35">
      <c r="B169" s="255" t="s">
        <v>874</v>
      </c>
      <c r="C169" s="255"/>
      <c r="D169" s="255"/>
      <c r="E169" s="255"/>
      <c r="F169" s="255"/>
      <c r="G169" s="255"/>
      <c r="H169" s="238"/>
      <c r="I169" s="124" t="s">
        <v>877</v>
      </c>
      <c r="J169" s="124" t="s">
        <v>878</v>
      </c>
      <c r="K169" s="124" t="s">
        <v>879</v>
      </c>
    </row>
    <row r="170" spans="2:11" x14ac:dyDescent="0.35">
      <c r="B170" s="92" t="s">
        <v>268</v>
      </c>
      <c r="C170" s="93"/>
      <c r="D170" s="92" t="s">
        <v>875</v>
      </c>
      <c r="E170" s="93"/>
      <c r="F170" s="92" t="s">
        <v>876</v>
      </c>
      <c r="G170" s="93"/>
      <c r="H170" s="238"/>
      <c r="I170" s="125" t="s">
        <v>881</v>
      </c>
      <c r="J170" s="114" t="s">
        <v>882</v>
      </c>
      <c r="K170" s="114" t="s">
        <v>883</v>
      </c>
    </row>
    <row r="171" spans="2:11" ht="26.5" x14ac:dyDescent="0.35">
      <c r="B171" s="94" t="s">
        <v>880</v>
      </c>
      <c r="C171" s="254"/>
      <c r="D171" s="254"/>
      <c r="E171" s="254"/>
      <c r="F171" s="254"/>
      <c r="G171" s="254"/>
      <c r="H171" s="238"/>
      <c r="I171" s="125" t="s">
        <v>885</v>
      </c>
      <c r="J171" s="114" t="s">
        <v>886</v>
      </c>
      <c r="K171" s="114" t="s">
        <v>887</v>
      </c>
    </row>
    <row r="172" spans="2:11" x14ac:dyDescent="0.35">
      <c r="B172" s="92" t="s">
        <v>884</v>
      </c>
      <c r="C172" s="254"/>
      <c r="D172" s="254"/>
      <c r="E172" s="254"/>
      <c r="F172" s="254"/>
      <c r="G172" s="254"/>
      <c r="H172" s="238"/>
      <c r="I172" s="125" t="s">
        <v>889</v>
      </c>
      <c r="J172" s="114" t="s">
        <v>890</v>
      </c>
      <c r="K172" s="114" t="s">
        <v>891</v>
      </c>
    </row>
    <row r="173" spans="2:11" ht="26.5" x14ac:dyDescent="0.35">
      <c r="B173" s="94" t="s">
        <v>888</v>
      </c>
      <c r="C173" s="254"/>
      <c r="D173" s="254"/>
      <c r="E173" s="254"/>
      <c r="F173" s="254"/>
      <c r="G173" s="254"/>
      <c r="H173" s="238"/>
      <c r="I173" s="125" t="s">
        <v>894</v>
      </c>
      <c r="J173" s="114" t="s">
        <v>895</v>
      </c>
      <c r="K173" s="114" t="s">
        <v>896</v>
      </c>
    </row>
    <row r="174" spans="2:11" ht="25.5" customHeight="1" x14ac:dyDescent="0.35">
      <c r="B174" s="92" t="s">
        <v>892</v>
      </c>
      <c r="C174" s="256" t="s">
        <v>1197</v>
      </c>
      <c r="D174" s="257"/>
      <c r="E174" s="257"/>
      <c r="F174" s="257"/>
      <c r="G174" s="257"/>
      <c r="H174" s="238"/>
      <c r="I174" s="125" t="s">
        <v>898</v>
      </c>
      <c r="J174" s="114" t="s">
        <v>899</v>
      </c>
      <c r="K174" s="114" t="s">
        <v>900</v>
      </c>
    </row>
    <row r="175" spans="2:11" x14ac:dyDescent="0.35">
      <c r="B175" s="92" t="s">
        <v>897</v>
      </c>
      <c r="C175" s="254"/>
      <c r="D175" s="254"/>
      <c r="E175" s="254"/>
      <c r="F175" s="254"/>
      <c r="G175" s="254"/>
      <c r="H175" s="238"/>
      <c r="I175" s="125" t="s">
        <v>904</v>
      </c>
      <c r="J175" s="114" t="s">
        <v>905</v>
      </c>
      <c r="K175" s="114" t="s">
        <v>906</v>
      </c>
    </row>
    <row r="176" spans="2:11" ht="26.5" x14ac:dyDescent="0.35">
      <c r="B176" s="94" t="s">
        <v>901</v>
      </c>
      <c r="C176" s="93"/>
      <c r="D176" s="92" t="s">
        <v>902</v>
      </c>
      <c r="E176" s="93"/>
      <c r="F176" s="92" t="s">
        <v>903</v>
      </c>
      <c r="G176" s="93"/>
      <c r="H176" s="238"/>
      <c r="I176" s="125" t="s">
        <v>910</v>
      </c>
      <c r="J176" s="114" t="s">
        <v>911</v>
      </c>
      <c r="K176" s="114" t="s">
        <v>912</v>
      </c>
    </row>
    <row r="177" spans="2:11" x14ac:dyDescent="0.35">
      <c r="B177" s="92" t="s">
        <v>907</v>
      </c>
      <c r="C177" s="93"/>
      <c r="D177" s="92" t="s">
        <v>908</v>
      </c>
      <c r="E177" s="93"/>
      <c r="F177" s="92" t="s">
        <v>909</v>
      </c>
      <c r="G177" s="93"/>
      <c r="H177" s="238"/>
      <c r="I177" s="125" t="s">
        <v>916</v>
      </c>
      <c r="J177" s="114" t="s">
        <v>917</v>
      </c>
      <c r="K177" s="114" t="s">
        <v>918</v>
      </c>
    </row>
    <row r="178" spans="2:11" x14ac:dyDescent="0.35">
      <c r="B178" s="94" t="s">
        <v>913</v>
      </c>
      <c r="C178" s="93"/>
      <c r="D178" s="92" t="s">
        <v>914</v>
      </c>
      <c r="E178" s="93"/>
      <c r="F178" s="92" t="s">
        <v>915</v>
      </c>
      <c r="G178" s="93"/>
      <c r="H178" s="238"/>
    </row>
    <row r="179" spans="2:11" x14ac:dyDescent="0.35">
      <c r="B179" s="92" t="s">
        <v>919</v>
      </c>
      <c r="C179" s="254"/>
      <c r="D179" s="254"/>
      <c r="E179" s="254"/>
      <c r="F179" s="254"/>
      <c r="G179" s="254"/>
      <c r="H179" s="238"/>
      <c r="I179" s="238"/>
      <c r="J179" s="238"/>
      <c r="K179" s="238"/>
    </row>
    <row r="180" spans="2:11" x14ac:dyDescent="0.35">
      <c r="B180" s="94" t="s">
        <v>920</v>
      </c>
      <c r="C180" s="254"/>
      <c r="D180" s="254"/>
      <c r="E180" s="254"/>
      <c r="F180" s="254"/>
      <c r="G180" s="254"/>
      <c r="H180" s="238"/>
    </row>
    <row r="181" spans="2:11" ht="29" x14ac:dyDescent="0.35">
      <c r="B181" s="92" t="s">
        <v>921</v>
      </c>
      <c r="C181" s="254"/>
      <c r="D181" s="254"/>
      <c r="E181" s="254"/>
      <c r="F181" s="254"/>
      <c r="G181" s="254"/>
      <c r="H181" s="238"/>
    </row>
  </sheetData>
  <mergeCells count="50">
    <mergeCell ref="B57:C57"/>
    <mergeCell ref="B2:G2"/>
    <mergeCell ref="B4:G4"/>
    <mergeCell ref="C5:E5"/>
    <mergeCell ref="C6:E6"/>
    <mergeCell ref="C7:E7"/>
    <mergeCell ref="C8:E8"/>
    <mergeCell ref="C9:E9"/>
    <mergeCell ref="C10:E10"/>
    <mergeCell ref="C11:E11"/>
    <mergeCell ref="C12:E12"/>
    <mergeCell ref="C17:E17"/>
    <mergeCell ref="C18:E18"/>
    <mergeCell ref="C19:E19"/>
    <mergeCell ref="C24:E24"/>
    <mergeCell ref="C26:E26"/>
    <mergeCell ref="B98:G98"/>
    <mergeCell ref="B77:F77"/>
    <mergeCell ref="C153:G153"/>
    <mergeCell ref="B147:G147"/>
    <mergeCell ref="C149:G149"/>
    <mergeCell ref="C150:G150"/>
    <mergeCell ref="C151:G151"/>
    <mergeCell ref="C152:G152"/>
    <mergeCell ref="C181:G181"/>
    <mergeCell ref="C172:G172"/>
    <mergeCell ref="C173:G173"/>
    <mergeCell ref="C174:G174"/>
    <mergeCell ref="C175:G175"/>
    <mergeCell ref="C179:G179"/>
    <mergeCell ref="C180:G180"/>
    <mergeCell ref="C171:G171"/>
    <mergeCell ref="C154:G154"/>
    <mergeCell ref="C155:G155"/>
    <mergeCell ref="B157:G157"/>
    <mergeCell ref="C159:G159"/>
    <mergeCell ref="C160:G160"/>
    <mergeCell ref="C161:G161"/>
    <mergeCell ref="C162:G162"/>
    <mergeCell ref="C163:G163"/>
    <mergeCell ref="C164:G164"/>
    <mergeCell ref="C165:G165"/>
    <mergeCell ref="B169:G169"/>
    <mergeCell ref="C166:G166"/>
    <mergeCell ref="C167:G167"/>
    <mergeCell ref="C15:E15"/>
    <mergeCell ref="C20:E20"/>
    <mergeCell ref="C21:E21"/>
    <mergeCell ref="C22:E22"/>
    <mergeCell ref="C23:E23"/>
  </mergeCells>
  <dataValidations count="6">
    <dataValidation type="list" allowBlank="1" sqref="F33:F37 F40:F46 F49:F51 F54:F55" xr:uid="{6510FBFE-2989-4C44-9CBB-4666191F5E2C}">
      <formula1>"Alta,Media,Baja,Sin mejora"</formula1>
      <formula2>0</formula2>
    </dataValidation>
    <dataValidation type="list" allowBlank="1" sqref="C100:C121" xr:uid="{CC324CBD-643A-475E-9F6A-ACEA6A151384}">
      <formula1>"Sí,No,Parcial"</formula1>
      <formula2>0</formula2>
    </dataValidation>
    <dataValidation type="list" allowBlank="1" showInputMessage="1" showErrorMessage="1" promptTitle="Seleccione herramienta" prompt="Seleccione una opción de la lista o escriba otra herramienta si aplica." sqref="C145" xr:uid="{6EE52C00-93E2-4172-B292-EFD9AC6D5523}">
      <formula1>"API REST,Power Automate,Zapier,Make,Azure Logic Apps,MuleSoft,Boomi,Workato,ServiceNow IntegrationHub,Jira Automation"</formula1>
    </dataValidation>
    <dataValidation type="list" allowBlank="1" showInputMessage="1" showErrorMessage="1" promptTitle="Seleccione herramienta" prompt="Seleccione una opción de la lista o escriba otra herramienta si aplica." sqref="C141" xr:uid="{BAC32D66-5D2F-47AA-8519-338D5423E6C1}">
      <formula1>"Microsoft Teams Phone,Genesys Cloud,Avaya,3CX,Cisco Webex Contact Center,Amazon Connect,Twilio Flex,Five9,NICE CXone,Talkdesk"</formula1>
    </dataValidation>
    <dataValidation allowBlank="1" sqref="C15:E15 C17:E24" xr:uid="{57FEF55D-5D9C-4660-9B03-0F721803109F}"/>
    <dataValidation type="date" allowBlank="1" showInputMessage="1" showErrorMessage="1" sqref="C8:E9" xr:uid="{A35B81B1-3758-4440-AECA-8623D9E7A5C5}">
      <formula1>46174</formula1>
      <formula2>46368</formula2>
    </dataValidation>
  </dataValidations>
  <hyperlinks>
    <hyperlink ref="C5:E5" r:id="rId1" display="XM" xr:uid="{95BB9F21-E40D-45D1-A384-822454A7DF92}"/>
  </hyperlinks>
  <pageMargins left="0.75" right="0.75" top="1" bottom="1" header="0.511811023622047" footer="0.511811023622047"/>
  <pageSetup paperSize="9" orientation="portrait" horizontalDpi="300" verticalDpi="300"/>
  <drawing r:id="rId2"/>
  <legacyDrawing r:id="rId3"/>
  <extLst>
    <ext xmlns:x14="http://schemas.microsoft.com/office/spreadsheetml/2009/9/main" uri="{CCE6A557-97BC-4b89-ADB6-D9C93CAAB3DF}">
      <x14:dataValidations xmlns:xm="http://schemas.microsoft.com/office/excel/2006/main" count="23">
        <x14:dataValidation type="list" allowBlank="1" xr:uid="{A42B6696-B8C4-40BF-838A-3B14038A6C1C}">
          <x14:formula1>
            <xm:f>Listas!$H$5:$H$10</xm:f>
          </x14:formula1>
          <x14:formula2>
            <xm:f>0</xm:f>
          </x14:formula2>
          <xm:sqref>C12</xm:sqref>
        </x14:dataValidation>
        <x14:dataValidation type="list" allowBlank="1" xr:uid="{8532332D-74FA-4A4E-9C42-0004450A9AA5}">
          <x14:formula1>
            <xm:f>Listas!$D$5:$D$11</xm:f>
          </x14:formula1>
          <x14:formula2>
            <xm:f>0</xm:f>
          </x14:formula2>
          <xm:sqref>C13 C16</xm:sqref>
        </x14:dataValidation>
        <x14:dataValidation type="list" allowBlank="1" xr:uid="{ACFFE884-67EE-4ABC-B101-FFA2F57C26A2}">
          <x14:formula1>
            <xm:f>Listas!$B$5:$B$9</xm:f>
          </x14:formula1>
          <x14:formula2>
            <xm:f>0</xm:f>
          </x14:formula2>
          <xm:sqref>D33:D37 D40:D46 D49:D51 D54:D55</xm:sqref>
        </x14:dataValidation>
        <x14:dataValidation type="list" allowBlank="1" xr:uid="{47A9D2E9-A4CC-4968-8504-016325E13E0C}">
          <x14:formula1>
            <xm:f>Listas!$F$5:$F$8</xm:f>
          </x14:formula1>
          <x14:formula2>
            <xm:f>0</xm:f>
          </x14:formula2>
          <xm:sqref>F100:F117</xm:sqref>
        </x14:dataValidation>
        <x14:dataValidation type="list" allowBlank="1" xr:uid="{4FCC51DB-666E-4500-8230-1376A5C9A9D5}">
          <x14:formula1>
            <xm:f>Listas!$L$5:$L$8</xm:f>
          </x14:formula1>
          <x14:formula2>
            <xm:f>0</xm:f>
          </x14:formula2>
          <xm:sqref>C163</xm:sqref>
        </x14:dataValidation>
        <x14:dataValidation type="list" allowBlank="1" showInputMessage="1" showErrorMessage="1" xr:uid="{8B5FAB93-27F1-40C4-B679-F69B7FD0B6F0}">
          <x14:formula1>
            <xm:f>Listas!$N$5:$N$11</xm:f>
          </x14:formula1>
          <xm:sqref>C5:E5</xm:sqref>
        </x14:dataValidation>
        <x14:dataValidation type="list" allowBlank="1" showInputMessage="1" showErrorMessage="1" xr:uid="{280827EE-30AC-43C8-B0AF-79D9583D82D3}">
          <x14:formula1>
            <xm:f>Listas!$P$5:$P$9</xm:f>
          </x14:formula1>
          <xm:sqref>F136:F145</xm:sqref>
        </x14:dataValidation>
        <x14:dataValidation type="list" allowBlank="1" showInputMessage="1" showErrorMessage="1" xr:uid="{5A6C95C2-4178-4689-81C0-CFFD24A8F081}">
          <x14:formula1>
            <xm:f>Listas!$R$5:$R$8</xm:f>
          </x14:formula1>
          <xm:sqref>D136:D145</xm:sqref>
        </x14:dataValidation>
        <x14:dataValidation type="list" allowBlank="1" showInputMessage="1" showErrorMessage="1" promptTitle="Seleccione herramienta" prompt="Seleccione una opción de la lista o escriba otra herramienta si aplica." xr:uid="{174E62F7-CEC4-4EBD-BE5A-A8BE0413DAD4}">
          <x14:formula1>
            <xm:f>Listas!$J$21:$J$35</xm:f>
          </x14:formula1>
          <xm:sqref>C144</xm:sqref>
        </x14:dataValidation>
        <x14:dataValidation type="list" allowBlank="1" showInputMessage="1" showErrorMessage="1" promptTitle="Seleccione herramienta" prompt="Seleccione una opción de la lista o escriba otra herramienta si aplica." xr:uid="{7BF147DF-B6A2-4000-BD15-E4162AD9D30D}">
          <x14:formula1>
            <xm:f>Listas!$L$21:$L$35</xm:f>
          </x14:formula1>
          <xm:sqref>C143</xm:sqref>
        </x14:dataValidation>
        <x14:dataValidation type="list" allowBlank="1" showInputMessage="1" showErrorMessage="1" promptTitle="Seleccione herramienta" prompt="Seleccione una opción de la lista o escriba otra herramienta si aplica." xr:uid="{821E3602-27CD-4DDD-AA72-6E79DCFE5FDA}">
          <x14:formula1>
            <xm:f>Listas!$H$21:$H$35</xm:f>
          </x14:formula1>
          <xm:sqref>C142</xm:sqref>
        </x14:dataValidation>
        <x14:dataValidation type="list" allowBlank="1" showInputMessage="1" showErrorMessage="1" promptTitle="Seleccione herramienta" prompt="Seleccione una opción de la lista o escriba otra herramienta si aplica." xr:uid="{FA7FB44D-F8F7-4C7C-B6EC-AD8530C05E9E}">
          <x14:formula1>
            <xm:f>Listas!$N$21:$N$35</xm:f>
          </x14:formula1>
          <xm:sqref>C140</xm:sqref>
        </x14:dataValidation>
        <x14:dataValidation type="list" allowBlank="1" showInputMessage="1" showErrorMessage="1" promptTitle="Seleccione herramienta" prompt="Seleccione una opción de la lista o escriba otra herramienta si aplica." xr:uid="{75CBB848-EFFC-4692-8B62-E7260FB72AC0}">
          <x14:formula1>
            <xm:f>Listas!$P$21:$P$35</xm:f>
          </x14:formula1>
          <xm:sqref>C139</xm:sqref>
        </x14:dataValidation>
        <x14:dataValidation type="list" allowBlank="1" showInputMessage="1" showErrorMessage="1" promptTitle="Seleccione herramienta" prompt="Seleccione una opción de la lista o escriba otra herramienta si aplica." xr:uid="{C15811CC-AB4B-4AE0-A270-9D043A3B865F}">
          <x14:formula1>
            <xm:f>Listas!$F$21:$F$35</xm:f>
          </x14:formula1>
          <xm:sqref>C138</xm:sqref>
        </x14:dataValidation>
        <x14:dataValidation type="list" allowBlank="1" showInputMessage="1" showErrorMessage="1" promptTitle="Seleccione herramienta" prompt="Seleccione una opción de la lista o escriba otra herramienta si aplica." xr:uid="{DE9580C1-560D-4D5D-9083-4E8B6F9799E3}">
          <x14:formula1>
            <xm:f>Listas!$D$21:$D$35</xm:f>
          </x14:formula1>
          <xm:sqref>C137</xm:sqref>
        </x14:dataValidation>
        <x14:dataValidation type="list" allowBlank="1" showInputMessage="1" showErrorMessage="1" promptTitle="Seleccione herramienta" prompt="Seleccione una opción de la lista o escriba otra herramienta si aplica." xr:uid="{202A2D16-715F-4174-BF16-FACB25C95375}">
          <x14:formula1>
            <xm:f>Listas!$B$21:$B$35</xm:f>
          </x14:formula1>
          <xm:sqref>C136</xm:sqref>
        </x14:dataValidation>
        <x14:dataValidation type="list" allowBlank="1" showInputMessage="1" showErrorMessage="1" xr:uid="{3AC077EC-E09B-4724-A870-97916942AF7D}">
          <x14:formula1>
            <xm:f>Listas!$J$45:$J$49</xm:f>
          </x14:formula1>
          <xm:sqref>C96:D96</xm:sqref>
        </x14:dataValidation>
        <x14:dataValidation type="list" allowBlank="1" showInputMessage="1" showErrorMessage="1" xr:uid="{B201D41C-740F-4BDB-AF5F-07F8DF774247}">
          <x14:formula1>
            <xm:f>Listas!$H$45:$H$48</xm:f>
          </x14:formula1>
          <xm:sqref>C95:D95</xm:sqref>
        </x14:dataValidation>
        <x14:dataValidation type="list" allowBlank="1" showInputMessage="1" showErrorMessage="1" xr:uid="{3166DFC1-810C-4E68-B49F-9D77E1AF0036}">
          <x14:formula1>
            <xm:f>Listas!$F$45:$F$52</xm:f>
          </x14:formula1>
          <xm:sqref>C92:D92</xm:sqref>
        </x14:dataValidation>
        <x14:dataValidation type="list" allowBlank="1" showInputMessage="1" showErrorMessage="1" xr:uid="{D79946F5-1EDC-40D8-B53D-4E4A62B24BF3}">
          <x14:formula1>
            <xm:f>Listas!$D$45:$D$49</xm:f>
          </x14:formula1>
          <xm:sqref>C91:D91</xm:sqref>
        </x14:dataValidation>
        <x14:dataValidation type="list" allowBlank="1" showInputMessage="1" showErrorMessage="1" xr:uid="{D2D9E1CA-C921-487D-B900-3272A9F18D4C}">
          <x14:formula1>
            <xm:f>Listas!$B$45:$B$48</xm:f>
          </x14:formula1>
          <xm:sqref>C90:D90</xm:sqref>
        </x14:dataValidation>
        <x14:dataValidation type="list" allowBlank="1" showInputMessage="1" showErrorMessage="1" xr:uid="{8A004191-A9D3-41EE-B78E-A2D843371746}">
          <x14:formula1>
            <xm:f>Listas!$B$53:$B$58</xm:f>
          </x14:formula1>
          <xm:sqref>C131</xm:sqref>
        </x14:dataValidation>
        <x14:dataValidation type="list" allowBlank="1" showInputMessage="1" showErrorMessage="1" xr:uid="{6D08AEEE-49A2-4735-B9EE-BD4184DF96AB}">
          <x14:formula1>
            <xm:f>Listas!$B$12:$B$17</xm:f>
          </x14:formula1>
          <xm:sqref>C14</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E0791-767F-44A1-9855-91A83C46744D}">
  <sheetPr>
    <tabColor rgb="FFFFC000"/>
  </sheetPr>
  <dimension ref="B1:W182"/>
  <sheetViews>
    <sheetView showGridLines="0" zoomScaleNormal="100" workbookViewId="0">
      <pane xSplit="2" ySplit="2" topLeftCell="C3" activePane="bottomRight" state="frozen"/>
      <selection pane="topRight" activeCell="C1" sqref="C1"/>
      <selection pane="bottomLeft" activeCell="A3" sqref="A3"/>
      <selection pane="bottomRight" activeCell="C20" sqref="C20"/>
    </sheetView>
  </sheetViews>
  <sheetFormatPr baseColWidth="10" defaultColWidth="8.54296875" defaultRowHeight="14.5" x14ac:dyDescent="0.35"/>
  <cols>
    <col min="1" max="1" width="3" style="1" customWidth="1"/>
    <col min="2" max="2" width="38" style="1" customWidth="1"/>
    <col min="3" max="3" width="47.54296875" style="1" customWidth="1"/>
    <col min="4" max="4" width="35.7265625" style="1" customWidth="1"/>
    <col min="5" max="5" width="40" style="1" customWidth="1"/>
    <col min="6" max="6" width="34" style="1" customWidth="1"/>
    <col min="7" max="7" width="28.26953125" style="1" customWidth="1"/>
    <col min="8" max="8" width="8.54296875" style="1"/>
    <col min="9" max="9" width="14.81640625" style="1" customWidth="1"/>
    <col min="10" max="10" width="31.81640625" style="1" customWidth="1"/>
    <col min="11" max="11" width="32.26953125" style="1" customWidth="1"/>
    <col min="12" max="19" width="8.54296875" style="1"/>
    <col min="20" max="20" width="15.54296875" style="1" bestFit="1" customWidth="1"/>
    <col min="21" max="16384" width="8.54296875" style="1"/>
  </cols>
  <sheetData>
    <row r="1" spans="2:11" ht="7.5" customHeight="1" x14ac:dyDescent="0.35"/>
    <row r="2" spans="2:11" ht="30" customHeight="1" x14ac:dyDescent="0.35">
      <c r="B2" s="259" t="s">
        <v>1198</v>
      </c>
      <c r="C2" s="259"/>
      <c r="D2" s="259"/>
      <c r="E2" s="259"/>
      <c r="F2" s="259"/>
      <c r="G2" s="259"/>
    </row>
    <row r="3" spans="2:11" ht="18" customHeight="1" x14ac:dyDescent="0.35">
      <c r="B3" s="370" t="s">
        <v>923</v>
      </c>
      <c r="C3" s="370"/>
      <c r="D3" s="370"/>
      <c r="E3" s="370"/>
      <c r="F3" s="370"/>
      <c r="G3" s="370"/>
      <c r="I3" s="62" t="s">
        <v>60</v>
      </c>
      <c r="J3" s="62"/>
      <c r="K3" s="62"/>
    </row>
    <row r="4" spans="2:11" ht="24" customHeight="1" x14ac:dyDescent="0.35">
      <c r="B4" s="384" t="s">
        <v>647</v>
      </c>
      <c r="C4" s="384"/>
      <c r="D4" s="384"/>
      <c r="E4" s="384"/>
      <c r="F4" s="258"/>
      <c r="G4" s="258"/>
      <c r="I4" s="6" t="s">
        <v>61</v>
      </c>
      <c r="J4" s="6" t="s">
        <v>62</v>
      </c>
      <c r="K4" s="6" t="s">
        <v>22</v>
      </c>
    </row>
    <row r="5" spans="2:11" ht="17" x14ac:dyDescent="0.35">
      <c r="B5" s="37" t="s">
        <v>648</v>
      </c>
      <c r="C5" s="386" t="s">
        <v>281</v>
      </c>
      <c r="D5" s="386"/>
      <c r="E5" s="387"/>
      <c r="F5" s="91"/>
      <c r="G5" s="91"/>
      <c r="I5" s="17" t="s">
        <v>63</v>
      </c>
      <c r="J5" s="18" t="s">
        <v>64</v>
      </c>
      <c r="K5" s="63" t="s">
        <v>65</v>
      </c>
    </row>
    <row r="6" spans="2:11" ht="16.5" customHeight="1" x14ac:dyDescent="0.35">
      <c r="B6" s="37" t="s">
        <v>649</v>
      </c>
      <c r="C6" s="252" t="s">
        <v>1199</v>
      </c>
      <c r="D6" s="252"/>
      <c r="E6" s="390"/>
      <c r="F6" s="91"/>
      <c r="G6" s="91"/>
      <c r="I6" s="19" t="s">
        <v>66</v>
      </c>
      <c r="J6" s="122" t="s">
        <v>67</v>
      </c>
      <c r="K6" s="63" t="s">
        <v>68</v>
      </c>
    </row>
    <row r="7" spans="2:11" ht="16.5" customHeight="1" x14ac:dyDescent="0.35">
      <c r="B7" s="37" t="s">
        <v>651</v>
      </c>
      <c r="C7" s="386" t="s">
        <v>1200</v>
      </c>
      <c r="D7" s="386"/>
      <c r="E7" s="387"/>
      <c r="F7" s="91"/>
      <c r="G7" s="91"/>
      <c r="I7" s="20" t="s">
        <v>69</v>
      </c>
      <c r="J7" s="122" t="s">
        <v>70</v>
      </c>
      <c r="K7" s="63" t="s">
        <v>71</v>
      </c>
    </row>
    <row r="8" spans="2:11" ht="16.5" customHeight="1" x14ac:dyDescent="0.35">
      <c r="B8" s="37" t="s">
        <v>1201</v>
      </c>
      <c r="C8" s="252" t="s">
        <v>1202</v>
      </c>
      <c r="D8" s="252"/>
      <c r="E8" s="390"/>
      <c r="F8" s="91"/>
      <c r="G8" s="91"/>
      <c r="I8" s="21" t="s">
        <v>72</v>
      </c>
      <c r="J8" s="122" t="s">
        <v>73</v>
      </c>
      <c r="K8" s="63" t="s">
        <v>74</v>
      </c>
    </row>
    <row r="9" spans="2:11" ht="15.75" customHeight="1" x14ac:dyDescent="0.35">
      <c r="B9" s="37" t="s">
        <v>655</v>
      </c>
      <c r="C9" s="263">
        <v>46213</v>
      </c>
      <c r="D9" s="264"/>
      <c r="E9" s="264"/>
      <c r="F9" s="91"/>
      <c r="G9" s="91"/>
      <c r="I9" s="22" t="s">
        <v>75</v>
      </c>
      <c r="J9" s="122" t="s">
        <v>76</v>
      </c>
      <c r="K9" s="63" t="s">
        <v>77</v>
      </c>
    </row>
    <row r="10" spans="2:11" x14ac:dyDescent="0.35">
      <c r="B10" s="37" t="s">
        <v>656</v>
      </c>
      <c r="C10" s="386" t="s">
        <v>657</v>
      </c>
      <c r="D10" s="386"/>
      <c r="E10" s="387"/>
      <c r="F10" s="91"/>
      <c r="G10" s="91"/>
    </row>
    <row r="11" spans="2:11" x14ac:dyDescent="0.35">
      <c r="B11" s="37" t="s">
        <v>658</v>
      </c>
      <c r="C11" s="377">
        <v>7</v>
      </c>
      <c r="D11" s="377"/>
      <c r="E11" s="379"/>
      <c r="F11" s="91"/>
      <c r="G11" s="91"/>
      <c r="I11" s="6" t="s">
        <v>659</v>
      </c>
      <c r="J11" s="6" t="s">
        <v>292</v>
      </c>
      <c r="K11" s="6" t="s">
        <v>660</v>
      </c>
    </row>
    <row r="12" spans="2:11" x14ac:dyDescent="0.35">
      <c r="B12" s="37" t="s">
        <v>661</v>
      </c>
      <c r="C12" s="252" t="s">
        <v>283</v>
      </c>
      <c r="D12" s="252"/>
      <c r="E12" s="390"/>
      <c r="F12" s="91"/>
      <c r="G12" s="91"/>
      <c r="I12" s="18" t="s">
        <v>662</v>
      </c>
      <c r="J12" s="63" t="s">
        <v>663</v>
      </c>
      <c r="K12" s="63" t="s">
        <v>664</v>
      </c>
    </row>
    <row r="13" spans="2:11" ht="18.5" x14ac:dyDescent="0.35">
      <c r="B13" s="37" t="s">
        <v>665</v>
      </c>
      <c r="C13" s="140" t="s">
        <v>66</v>
      </c>
      <c r="D13" s="141" t="s">
        <v>666</v>
      </c>
      <c r="E13" s="70"/>
      <c r="F13" s="91"/>
      <c r="G13" s="91"/>
      <c r="I13" s="122" t="s">
        <v>667</v>
      </c>
      <c r="J13" s="63" t="s">
        <v>668</v>
      </c>
      <c r="K13" s="63" t="s">
        <v>669</v>
      </c>
    </row>
    <row r="14" spans="2:11" ht="18.5" x14ac:dyDescent="0.45">
      <c r="B14" s="133" t="s">
        <v>670</v>
      </c>
      <c r="C14" s="138" t="s">
        <v>297</v>
      </c>
      <c r="D14" s="141"/>
      <c r="E14" s="70"/>
      <c r="F14" s="225"/>
      <c r="G14" s="91"/>
      <c r="I14" s="122" t="s">
        <v>672</v>
      </c>
      <c r="J14" s="63" t="s">
        <v>673</v>
      </c>
      <c r="K14" s="63" t="s">
        <v>674</v>
      </c>
    </row>
    <row r="15" spans="2:11" x14ac:dyDescent="0.35">
      <c r="B15" s="37" t="s">
        <v>675</v>
      </c>
      <c r="C15" s="64" t="s">
        <v>1203</v>
      </c>
      <c r="D15" s="224" t="s">
        <v>666</v>
      </c>
      <c r="E15" s="224"/>
      <c r="F15" s="91"/>
      <c r="G15" s="91"/>
    </row>
    <row r="16" spans="2:11" ht="15" customHeight="1" x14ac:dyDescent="0.35">
      <c r="B16" s="37" t="s">
        <v>677</v>
      </c>
      <c r="C16" s="38" t="s">
        <v>432</v>
      </c>
      <c r="D16" s="134"/>
      <c r="F16" s="91"/>
      <c r="G16" s="91"/>
    </row>
    <row r="17" spans="2:7" x14ac:dyDescent="0.35">
      <c r="B17" s="37" t="s">
        <v>678</v>
      </c>
      <c r="C17" s="220" t="s">
        <v>679</v>
      </c>
      <c r="D17" s="220"/>
      <c r="E17" s="221"/>
      <c r="F17" s="91"/>
      <c r="G17" s="91"/>
    </row>
    <row r="18" spans="2:7" ht="51.75" customHeight="1" x14ac:dyDescent="0.35">
      <c r="B18" s="37" t="s">
        <v>680</v>
      </c>
      <c r="C18" s="220" t="s">
        <v>1204</v>
      </c>
      <c r="D18" s="220"/>
      <c r="E18" s="221"/>
      <c r="F18" s="91"/>
      <c r="G18" s="91"/>
    </row>
    <row r="19" spans="2:7" ht="45.75" customHeight="1" x14ac:dyDescent="0.35">
      <c r="B19" s="37" t="s">
        <v>682</v>
      </c>
      <c r="C19" s="220" t="s">
        <v>1205</v>
      </c>
      <c r="D19" s="220"/>
      <c r="E19" s="221"/>
      <c r="F19" s="91"/>
      <c r="G19" s="91"/>
    </row>
    <row r="20" spans="2:7" x14ac:dyDescent="0.35">
      <c r="B20" s="37" t="s">
        <v>684</v>
      </c>
      <c r="C20" s="220"/>
      <c r="D20" s="220"/>
      <c r="E20" s="221"/>
      <c r="F20" s="91"/>
      <c r="G20" s="91"/>
    </row>
    <row r="21" spans="2:7" x14ac:dyDescent="0.35">
      <c r="B21" s="37" t="s">
        <v>686</v>
      </c>
      <c r="C21" s="220"/>
      <c r="D21" s="220"/>
      <c r="E21" s="221"/>
      <c r="F21" s="91"/>
      <c r="G21" s="91"/>
    </row>
    <row r="22" spans="2:7" x14ac:dyDescent="0.35">
      <c r="B22" s="37" t="s">
        <v>688</v>
      </c>
      <c r="C22" s="220"/>
      <c r="D22" s="220"/>
      <c r="E22" s="221"/>
      <c r="F22" s="91"/>
      <c r="G22" s="91"/>
    </row>
    <row r="23" spans="2:7" x14ac:dyDescent="0.35">
      <c r="B23" s="37" t="s">
        <v>690</v>
      </c>
      <c r="C23" s="222"/>
      <c r="D23" s="220"/>
      <c r="E23" s="221"/>
      <c r="F23" s="91"/>
      <c r="G23" s="91"/>
    </row>
    <row r="24" spans="2:7" x14ac:dyDescent="0.35">
      <c r="B24" s="37" t="s">
        <v>692</v>
      </c>
      <c r="C24" s="227" t="s">
        <v>1206</v>
      </c>
      <c r="D24" s="227"/>
      <c r="E24" s="228"/>
      <c r="F24" s="91"/>
      <c r="G24" s="91"/>
    </row>
    <row r="25" spans="2:7" ht="15" customHeight="1" x14ac:dyDescent="0.35">
      <c r="B25" s="37" t="s">
        <v>935</v>
      </c>
      <c r="C25" s="174"/>
      <c r="D25" s="174"/>
      <c r="E25" s="174"/>
      <c r="F25" s="91"/>
      <c r="G25" s="91"/>
    </row>
    <row r="26" spans="2:7" x14ac:dyDescent="0.35">
      <c r="B26" s="37" t="s">
        <v>936</v>
      </c>
      <c r="C26" s="220" t="s">
        <v>1207</v>
      </c>
      <c r="D26" s="220"/>
      <c r="E26" s="223"/>
      <c r="F26" s="91"/>
      <c r="G26" s="91"/>
    </row>
    <row r="27" spans="2:7" ht="15" customHeight="1" x14ac:dyDescent="0.35">
      <c r="B27" s="37" t="s">
        <v>938</v>
      </c>
      <c r="C27" s="229" t="s">
        <v>1208</v>
      </c>
      <c r="D27" s="220"/>
      <c r="E27" s="223"/>
      <c r="F27" s="91" t="s">
        <v>1209</v>
      </c>
      <c r="G27" s="91"/>
    </row>
    <row r="28" spans="2:7" ht="15" customHeight="1" x14ac:dyDescent="0.35">
      <c r="B28" s="37" t="s">
        <v>698</v>
      </c>
      <c r="C28" s="252" t="s">
        <v>1210</v>
      </c>
      <c r="D28" s="252"/>
      <c r="E28" s="253"/>
      <c r="F28" s="91"/>
      <c r="G28" s="91"/>
    </row>
    <row r="29" spans="2:7" x14ac:dyDescent="0.35">
      <c r="F29" s="91"/>
      <c r="G29" s="91"/>
    </row>
    <row r="31" spans="2:7" ht="24" customHeight="1" x14ac:dyDescent="0.35">
      <c r="B31" s="100" t="s">
        <v>699</v>
      </c>
      <c r="C31" s="100"/>
      <c r="D31" s="100"/>
      <c r="E31" s="100"/>
      <c r="F31" s="100"/>
    </row>
    <row r="32" spans="2:7" ht="27.75" customHeight="1" x14ac:dyDescent="0.35">
      <c r="B32" s="6" t="s">
        <v>19</v>
      </c>
      <c r="C32" s="6" t="s">
        <v>700</v>
      </c>
      <c r="D32" s="6" t="s">
        <v>701</v>
      </c>
      <c r="E32" s="6" t="s">
        <v>702</v>
      </c>
      <c r="F32" s="6" t="s">
        <v>703</v>
      </c>
    </row>
    <row r="33" spans="2:6" ht="21.75" customHeight="1" x14ac:dyDescent="0.35">
      <c r="B33" s="170" t="s">
        <v>704</v>
      </c>
      <c r="C33" s="170"/>
      <c r="D33" s="170"/>
      <c r="E33" s="170"/>
      <c r="F33" s="170"/>
    </row>
    <row r="34" spans="2:6" ht="27.75" customHeight="1" x14ac:dyDescent="0.35">
      <c r="B34" s="40" t="s">
        <v>939</v>
      </c>
      <c r="C34" s="65" t="s">
        <v>705</v>
      </c>
      <c r="D34" s="26" t="s">
        <v>86</v>
      </c>
      <c r="E34" s="5" t="s">
        <v>1211</v>
      </c>
      <c r="F34" s="36" t="s">
        <v>277</v>
      </c>
    </row>
    <row r="35" spans="2:6" ht="27.75" customHeight="1" x14ac:dyDescent="0.35">
      <c r="B35" s="41" t="s">
        <v>941</v>
      </c>
      <c r="C35" s="66" t="s">
        <v>706</v>
      </c>
      <c r="D35" s="26" t="s">
        <v>93</v>
      </c>
      <c r="E35" s="5" t="s">
        <v>1212</v>
      </c>
      <c r="F35" s="36" t="s">
        <v>271</v>
      </c>
    </row>
    <row r="36" spans="2:6" ht="27.75" customHeight="1" x14ac:dyDescent="0.35">
      <c r="B36" s="40" t="s">
        <v>943</v>
      </c>
      <c r="C36" s="65" t="s">
        <v>707</v>
      </c>
      <c r="D36" s="26" t="s">
        <v>86</v>
      </c>
      <c r="E36" s="5" t="s">
        <v>1213</v>
      </c>
      <c r="F36" s="36" t="s">
        <v>277</v>
      </c>
    </row>
    <row r="37" spans="2:6" ht="27.75" customHeight="1" x14ac:dyDescent="0.35">
      <c r="B37" s="41" t="s">
        <v>945</v>
      </c>
      <c r="C37" s="66" t="s">
        <v>708</v>
      </c>
      <c r="D37" s="26" t="s">
        <v>89</v>
      </c>
      <c r="E37" s="5" t="s">
        <v>1214</v>
      </c>
      <c r="F37" s="36" t="s">
        <v>277</v>
      </c>
    </row>
    <row r="38" spans="2:6" ht="27.75" customHeight="1" x14ac:dyDescent="0.35">
      <c r="B38" s="40" t="s">
        <v>947</v>
      </c>
      <c r="C38" s="65" t="s">
        <v>709</v>
      </c>
      <c r="D38" s="26" t="s">
        <v>89</v>
      </c>
      <c r="E38" s="5" t="s">
        <v>1215</v>
      </c>
      <c r="F38" s="36" t="s">
        <v>277</v>
      </c>
    </row>
    <row r="40" spans="2:6" ht="21.75" customHeight="1" x14ac:dyDescent="0.35">
      <c r="B40" s="129" t="s">
        <v>711</v>
      </c>
      <c r="C40" s="129"/>
      <c r="D40" s="129"/>
      <c r="E40" s="129"/>
      <c r="F40" s="129"/>
    </row>
    <row r="41" spans="2:6" ht="27.75" customHeight="1" x14ac:dyDescent="0.35">
      <c r="B41" s="41" t="s">
        <v>949</v>
      </c>
      <c r="C41" s="66" t="s">
        <v>712</v>
      </c>
      <c r="D41" s="26" t="s">
        <v>86</v>
      </c>
      <c r="E41" s="5" t="s">
        <v>1216</v>
      </c>
      <c r="F41" s="36" t="s">
        <v>277</v>
      </c>
    </row>
    <row r="42" spans="2:6" ht="27.75" customHeight="1" x14ac:dyDescent="0.35">
      <c r="B42" s="40" t="s">
        <v>951</v>
      </c>
      <c r="C42" s="65" t="s">
        <v>714</v>
      </c>
      <c r="D42" s="26" t="s">
        <v>86</v>
      </c>
      <c r="E42" s="5" t="s">
        <v>1217</v>
      </c>
      <c r="F42" s="36" t="s">
        <v>277</v>
      </c>
    </row>
    <row r="43" spans="2:6" ht="27.75" customHeight="1" x14ac:dyDescent="0.35">
      <c r="B43" s="41" t="s">
        <v>953</v>
      </c>
      <c r="C43" s="66" t="s">
        <v>716</v>
      </c>
      <c r="D43" s="26" t="s">
        <v>86</v>
      </c>
      <c r="E43" s="5" t="s">
        <v>1218</v>
      </c>
      <c r="F43" s="36" t="s">
        <v>277</v>
      </c>
    </row>
    <row r="44" spans="2:6" ht="27.75" customHeight="1" x14ac:dyDescent="0.35">
      <c r="B44" s="40" t="s">
        <v>955</v>
      </c>
      <c r="C44" s="65" t="s">
        <v>718</v>
      </c>
      <c r="D44" s="26" t="s">
        <v>89</v>
      </c>
      <c r="E44" s="5" t="s">
        <v>1219</v>
      </c>
      <c r="F44" s="36" t="s">
        <v>271</v>
      </c>
    </row>
    <row r="45" spans="2:6" ht="43.5" x14ac:dyDescent="0.35">
      <c r="B45" s="41" t="s">
        <v>957</v>
      </c>
      <c r="C45" s="66" t="s">
        <v>719</v>
      </c>
      <c r="D45" s="26" t="s">
        <v>89</v>
      </c>
      <c r="E45" s="5" t="s">
        <v>1220</v>
      </c>
      <c r="F45" s="36" t="s">
        <v>277</v>
      </c>
    </row>
    <row r="46" spans="2:6" ht="27.75" customHeight="1" x14ac:dyDescent="0.35">
      <c r="B46" s="40" t="s">
        <v>958</v>
      </c>
      <c r="C46" s="65" t="s">
        <v>721</v>
      </c>
      <c r="D46" s="26" t="s">
        <v>89</v>
      </c>
      <c r="E46" s="5" t="s">
        <v>1221</v>
      </c>
      <c r="F46" s="36" t="s">
        <v>277</v>
      </c>
    </row>
    <row r="47" spans="2:6" ht="27.75" customHeight="1" x14ac:dyDescent="0.35">
      <c r="B47" s="41" t="s">
        <v>959</v>
      </c>
      <c r="C47" s="66" t="s">
        <v>722</v>
      </c>
      <c r="D47" s="26" t="s">
        <v>86</v>
      </c>
      <c r="E47" s="5" t="s">
        <v>1222</v>
      </c>
      <c r="F47" s="36" t="s">
        <v>277</v>
      </c>
    </row>
    <row r="49" spans="2:6" ht="21.75" customHeight="1" x14ac:dyDescent="0.35">
      <c r="B49" s="129" t="s">
        <v>723</v>
      </c>
      <c r="C49" s="129"/>
      <c r="D49" s="129"/>
      <c r="E49" s="129"/>
      <c r="F49" s="129"/>
    </row>
    <row r="50" spans="2:6" ht="27.75" customHeight="1" x14ac:dyDescent="0.35">
      <c r="B50" s="40" t="s">
        <v>961</v>
      </c>
      <c r="C50" s="65" t="s">
        <v>724</v>
      </c>
      <c r="D50" s="26" t="s">
        <v>86</v>
      </c>
      <c r="E50" s="5" t="s">
        <v>1223</v>
      </c>
      <c r="F50" s="36" t="s">
        <v>277</v>
      </c>
    </row>
    <row r="51" spans="2:6" ht="43.5" x14ac:dyDescent="0.35">
      <c r="B51" s="41" t="s">
        <v>963</v>
      </c>
      <c r="C51" s="66" t="s">
        <v>726</v>
      </c>
      <c r="D51" s="26" t="s">
        <v>86</v>
      </c>
      <c r="E51" s="5" t="s">
        <v>1224</v>
      </c>
      <c r="F51" s="36" t="s">
        <v>277</v>
      </c>
    </row>
    <row r="52" spans="2:6" ht="27.75" customHeight="1" x14ac:dyDescent="0.35">
      <c r="B52" s="40" t="s">
        <v>965</v>
      </c>
      <c r="C52" s="65" t="s">
        <v>727</v>
      </c>
      <c r="D52" s="26" t="s">
        <v>89</v>
      </c>
      <c r="E52" s="5" t="s">
        <v>1225</v>
      </c>
      <c r="F52" s="36" t="s">
        <v>271</v>
      </c>
    </row>
    <row r="54" spans="2:6" ht="21.75" customHeight="1" x14ac:dyDescent="0.35">
      <c r="B54" s="129" t="s">
        <v>728</v>
      </c>
      <c r="C54" s="129"/>
      <c r="D54" s="129"/>
      <c r="E54" s="129"/>
      <c r="F54" s="129"/>
    </row>
    <row r="55" spans="2:6" ht="27.75" customHeight="1" x14ac:dyDescent="0.35">
      <c r="B55" s="41" t="s">
        <v>967</v>
      </c>
      <c r="C55" s="66" t="s">
        <v>729</v>
      </c>
      <c r="D55" s="26" t="s">
        <v>86</v>
      </c>
      <c r="E55" s="5" t="s">
        <v>1226</v>
      </c>
      <c r="F55" s="36" t="s">
        <v>277</v>
      </c>
    </row>
    <row r="56" spans="2:6" ht="27.75" customHeight="1" x14ac:dyDescent="0.35">
      <c r="B56" s="40" t="s">
        <v>969</v>
      </c>
      <c r="C56" s="65" t="s">
        <v>731</v>
      </c>
      <c r="D56" s="26" t="s">
        <v>89</v>
      </c>
      <c r="E56" s="5" t="s">
        <v>1227</v>
      </c>
      <c r="F56" s="36" t="s">
        <v>271</v>
      </c>
    </row>
    <row r="58" spans="2:6" ht="27.75" customHeight="1" x14ac:dyDescent="0.35">
      <c r="B58" s="260" t="s">
        <v>732</v>
      </c>
      <c r="C58" s="260"/>
      <c r="D58" s="42">
        <f>IF(D34="Sí",1,IF(D34="Parcial",0.5,0))+IF(D35="Sí",1,IF(D35="Parcial",0.5,0))+IF(D36="Sí",1,IF(D36="Parcial",0.5,0))+IF(D37="Sí",1,IF(D37="Parcial",0.5,0))+IF(D38="Sí",1,IF(D38="Parcial",0.5,0))+IF(D41="Sí",1,IF(D41="Parcial",0.5,0))+IF(D42="Sí",1,IF(D42="Parcial",0.5,0))+IF(D43="Sí",1,IF(D43="Parcial",0.5,0))+IF(D44="Sí",1,IF(D44="Parcial",0.5,0))+IF(D45="Sí",1,IF(D45="Parcial",0.5,0))+IF(D46="Sí",1,IF(D46="Parcial",0.5,0))+IF(D47="Sí",1,IF(D47="Parcial",0.5,0))+IF(D50="Sí",1,IF(D50="Parcial",0.5,0))+IF(D51="Sí",1,IF(D51="Parcial",0.5,0))+IF(D52="Sí",1,IF(D52="Parcial",0.5,0))+IF(D55="Sí",1,IF(D55="Parcial",0.5,0))+IF(D56="Sí",1,IF(D56="Parcial",0.5,0))</f>
        <v>12.5</v>
      </c>
      <c r="E58" s="43">
        <f>D58/17</f>
        <v>0.73529411764705888</v>
      </c>
    </row>
    <row r="60" spans="2:6" ht="24" customHeight="1" x14ac:dyDescent="0.35">
      <c r="B60" s="100" t="s">
        <v>733</v>
      </c>
      <c r="C60" s="100"/>
      <c r="D60" s="100"/>
      <c r="E60" s="100"/>
      <c r="F60" s="100"/>
    </row>
    <row r="61" spans="2:6" ht="21.75" customHeight="1" x14ac:dyDescent="0.35">
      <c r="B61" s="6" t="s">
        <v>464</v>
      </c>
      <c r="C61" s="6" t="s">
        <v>466</v>
      </c>
      <c r="D61" s="6" t="s">
        <v>734</v>
      </c>
      <c r="E61" s="6" t="s">
        <v>735</v>
      </c>
      <c r="F61" s="6" t="s">
        <v>736</v>
      </c>
    </row>
    <row r="62" spans="2:6" ht="36.75" customHeight="1" x14ac:dyDescent="0.35">
      <c r="B62" s="44" t="s">
        <v>467</v>
      </c>
      <c r="C62" s="166" t="s">
        <v>1228</v>
      </c>
      <c r="D62" s="45"/>
      <c r="E62" s="45" t="s">
        <v>1229</v>
      </c>
      <c r="F62" s="206" t="s">
        <v>1230</v>
      </c>
    </row>
    <row r="63" spans="2:6" ht="36.75" customHeight="1" x14ac:dyDescent="0.35">
      <c r="B63" s="210" t="s">
        <v>972</v>
      </c>
      <c r="C63" s="226" t="s">
        <v>1231</v>
      </c>
      <c r="D63" s="45"/>
      <c r="E63" s="45"/>
      <c r="F63" s="206" t="s">
        <v>1232</v>
      </c>
    </row>
    <row r="64" spans="2:6" ht="36.75" customHeight="1" x14ac:dyDescent="0.35">
      <c r="B64" s="210" t="s">
        <v>973</v>
      </c>
      <c r="C64" s="226" t="s">
        <v>1233</v>
      </c>
      <c r="D64" s="45"/>
      <c r="E64" s="45"/>
      <c r="F64" s="206" t="s">
        <v>1234</v>
      </c>
    </row>
    <row r="65" spans="2:6" ht="36.75" customHeight="1" x14ac:dyDescent="0.35">
      <c r="B65" s="46" t="s">
        <v>470</v>
      </c>
      <c r="C65" s="219" t="s">
        <v>1235</v>
      </c>
      <c r="D65" s="47"/>
      <c r="E65" s="47" t="s">
        <v>1236</v>
      </c>
      <c r="F65" s="206" t="s">
        <v>1237</v>
      </c>
    </row>
    <row r="66" spans="2:6" ht="36.75" customHeight="1" x14ac:dyDescent="0.35">
      <c r="B66" s="44" t="s">
        <v>472</v>
      </c>
      <c r="C66" s="226"/>
      <c r="D66" s="45"/>
      <c r="E66" s="45"/>
      <c r="F66" s="206"/>
    </row>
    <row r="67" spans="2:6" ht="36.75" customHeight="1" x14ac:dyDescent="0.35">
      <c r="B67" s="46" t="s">
        <v>737</v>
      </c>
      <c r="C67" s="219"/>
      <c r="D67" s="47"/>
      <c r="E67" s="47"/>
      <c r="F67" s="206"/>
    </row>
    <row r="68" spans="2:6" ht="36.75" customHeight="1" x14ac:dyDescent="0.35">
      <c r="B68" s="44" t="s">
        <v>475</v>
      </c>
      <c r="C68" s="219" t="s">
        <v>476</v>
      </c>
      <c r="D68" s="45"/>
      <c r="E68" s="45"/>
      <c r="F68" s="206" t="s">
        <v>1238</v>
      </c>
    </row>
    <row r="69" spans="2:6" ht="36.75" customHeight="1" x14ac:dyDescent="0.35">
      <c r="B69" s="46" t="s">
        <v>477</v>
      </c>
      <c r="C69" s="219" t="s">
        <v>1239</v>
      </c>
      <c r="D69" s="47"/>
      <c r="E69" s="47" t="s">
        <v>1236</v>
      </c>
      <c r="F69" s="206"/>
    </row>
    <row r="70" spans="2:6" ht="36.75" customHeight="1" x14ac:dyDescent="0.35">
      <c r="B70" s="44" t="s">
        <v>257</v>
      </c>
      <c r="C70" s="219" t="s">
        <v>479</v>
      </c>
      <c r="D70" s="45" t="s">
        <v>1240</v>
      </c>
      <c r="E70" s="45"/>
      <c r="F70" s="206" t="s">
        <v>1241</v>
      </c>
    </row>
    <row r="71" spans="2:6" ht="36.75" customHeight="1" x14ac:dyDescent="0.35">
      <c r="B71" s="46" t="s">
        <v>480</v>
      </c>
      <c r="C71" s="219" t="s">
        <v>1242</v>
      </c>
      <c r="D71" s="47"/>
      <c r="E71" s="47"/>
      <c r="F71" s="206" t="s">
        <v>1243</v>
      </c>
    </row>
    <row r="72" spans="2:6" ht="36.75" customHeight="1" x14ac:dyDescent="0.35">
      <c r="B72" s="44" t="s">
        <v>482</v>
      </c>
      <c r="C72" s="219" t="s">
        <v>1244</v>
      </c>
      <c r="D72" s="45"/>
      <c r="E72" s="45" t="s">
        <v>1236</v>
      </c>
      <c r="F72" s="206" t="s">
        <v>1245</v>
      </c>
    </row>
    <row r="73" spans="2:6" ht="36.75" customHeight="1" x14ac:dyDescent="0.35">
      <c r="B73" s="46" t="s">
        <v>484</v>
      </c>
      <c r="C73" s="219" t="s">
        <v>485</v>
      </c>
      <c r="D73" s="47"/>
      <c r="E73" s="47"/>
      <c r="F73" s="206"/>
    </row>
    <row r="74" spans="2:6" ht="36.75" customHeight="1" x14ac:dyDescent="0.35">
      <c r="B74" s="44" t="s">
        <v>486</v>
      </c>
      <c r="C74" s="226">
        <v>7</v>
      </c>
      <c r="D74" s="45"/>
      <c r="E74" s="45"/>
      <c r="F74" s="206" t="s">
        <v>1246</v>
      </c>
    </row>
    <row r="75" spans="2:6" ht="36.75" customHeight="1" x14ac:dyDescent="0.35">
      <c r="B75" s="46" t="s">
        <v>488</v>
      </c>
      <c r="C75" s="72"/>
      <c r="D75" s="47"/>
      <c r="E75" s="47"/>
      <c r="F75" s="206"/>
    </row>
    <row r="77" spans="2:6" ht="24" customHeight="1" x14ac:dyDescent="0.35">
      <c r="B77" s="100" t="s">
        <v>37</v>
      </c>
      <c r="C77" s="100"/>
      <c r="D77" s="100"/>
      <c r="E77" s="100"/>
      <c r="F77" s="100"/>
    </row>
    <row r="78" spans="2:6" ht="24" customHeight="1" x14ac:dyDescent="0.35">
      <c r="B78" s="266" t="s">
        <v>739</v>
      </c>
      <c r="C78" s="266"/>
      <c r="D78" s="266"/>
      <c r="E78" s="266"/>
      <c r="F78" s="266"/>
    </row>
    <row r="79" spans="2:6" ht="21.75" customHeight="1" x14ac:dyDescent="0.35">
      <c r="B79" s="6" t="s">
        <v>740</v>
      </c>
      <c r="C79" s="6" t="s">
        <v>741</v>
      </c>
      <c r="D79" s="6" t="s">
        <v>742</v>
      </c>
      <c r="E79" s="6" t="s">
        <v>743</v>
      </c>
      <c r="F79" s="6" t="s">
        <v>744</v>
      </c>
    </row>
    <row r="80" spans="2:6" ht="19.5" customHeight="1" x14ac:dyDescent="0.35">
      <c r="B80" s="44" t="s">
        <v>745</v>
      </c>
      <c r="C80" s="45"/>
      <c r="D80" s="45"/>
      <c r="E80" s="45"/>
      <c r="F80" s="45"/>
    </row>
    <row r="81" spans="2:6" ht="19.5" customHeight="1" x14ac:dyDescent="0.35">
      <c r="B81" s="46" t="s">
        <v>746</v>
      </c>
      <c r="C81" s="47"/>
      <c r="D81" s="47"/>
      <c r="E81" s="47"/>
      <c r="F81" s="47"/>
    </row>
    <row r="82" spans="2:6" ht="40.5" customHeight="1" x14ac:dyDescent="0.35">
      <c r="B82" s="44" t="s">
        <v>748</v>
      </c>
      <c r="C82" s="149" t="s">
        <v>1228</v>
      </c>
      <c r="D82" s="149" t="s">
        <v>496</v>
      </c>
      <c r="E82" s="149" t="s">
        <v>1247</v>
      </c>
      <c r="F82" s="149" t="s">
        <v>1248</v>
      </c>
    </row>
    <row r="83" spans="2:6" ht="19.5" customHeight="1" x14ac:dyDescent="0.35">
      <c r="B83" s="46" t="s">
        <v>749</v>
      </c>
      <c r="C83" s="47"/>
      <c r="D83" s="47"/>
      <c r="E83" s="47"/>
      <c r="F83" s="47"/>
    </row>
    <row r="84" spans="2:6" ht="19.5" customHeight="1" x14ac:dyDescent="0.35">
      <c r="B84" s="44" t="s">
        <v>751</v>
      </c>
      <c r="C84" s="45"/>
      <c r="D84" s="45"/>
      <c r="E84" s="45"/>
      <c r="F84" s="45"/>
    </row>
    <row r="85" spans="2:6" ht="19.5" customHeight="1" x14ac:dyDescent="0.35">
      <c r="B85" s="46" t="s">
        <v>752</v>
      </c>
      <c r="C85" s="47"/>
      <c r="D85" s="47"/>
      <c r="E85" s="47"/>
      <c r="F85" s="47"/>
    </row>
    <row r="86" spans="2:6" ht="19.5" customHeight="1" x14ac:dyDescent="0.35">
      <c r="B86" s="44" t="s">
        <v>753</v>
      </c>
      <c r="C86" s="45"/>
      <c r="D86" s="45"/>
      <c r="E86" s="45"/>
      <c r="F86" s="45"/>
    </row>
    <row r="87" spans="2:6" ht="19.5" customHeight="1" x14ac:dyDescent="0.35">
      <c r="B87" s="46" t="s">
        <v>755</v>
      </c>
      <c r="C87" s="47"/>
      <c r="D87" s="47"/>
      <c r="E87" s="47"/>
      <c r="F87" s="47"/>
    </row>
    <row r="88" spans="2:6" ht="14.5" customHeight="1" x14ac:dyDescent="0.35"/>
    <row r="89" spans="2:6" ht="24" customHeight="1" x14ac:dyDescent="0.35">
      <c r="B89" s="100" t="s">
        <v>757</v>
      </c>
      <c r="C89" s="100"/>
      <c r="D89" s="100"/>
      <c r="E89" s="100"/>
      <c r="F89" s="100"/>
    </row>
    <row r="90" spans="2:6" ht="21.75" customHeight="1" x14ac:dyDescent="0.35">
      <c r="B90" s="6" t="s">
        <v>758</v>
      </c>
      <c r="C90" s="6" t="s">
        <v>466</v>
      </c>
      <c r="D90" s="6" t="s">
        <v>201</v>
      </c>
      <c r="E90" s="6" t="s">
        <v>759</v>
      </c>
      <c r="F90" s="6" t="s">
        <v>744</v>
      </c>
    </row>
    <row r="91" spans="2:6" ht="21.75" customHeight="1" x14ac:dyDescent="0.35">
      <c r="B91" s="14" t="s">
        <v>760</v>
      </c>
      <c r="C91" s="45"/>
      <c r="D91" s="45"/>
      <c r="E91" s="45"/>
      <c r="F91" s="45"/>
    </row>
    <row r="92" spans="2:6" ht="29" x14ac:dyDescent="0.35">
      <c r="B92" s="16" t="s">
        <v>428</v>
      </c>
      <c r="C92" s="36"/>
      <c r="D92" s="36"/>
      <c r="E92" s="207" t="s">
        <v>1249</v>
      </c>
      <c r="F92" s="207" t="s">
        <v>1250</v>
      </c>
    </row>
    <row r="93" spans="2:6" ht="21.75" customHeight="1" x14ac:dyDescent="0.35">
      <c r="B93" s="14" t="s">
        <v>429</v>
      </c>
      <c r="C93" s="45"/>
      <c r="D93" s="45"/>
      <c r="E93" s="149"/>
      <c r="F93" s="149"/>
    </row>
    <row r="94" spans="2:6" ht="29" x14ac:dyDescent="0.35">
      <c r="B94" s="16" t="s">
        <v>761</v>
      </c>
      <c r="C94" s="47"/>
      <c r="D94" s="47"/>
      <c r="E94" s="207" t="s">
        <v>1251</v>
      </c>
      <c r="F94" s="207" t="s">
        <v>1252</v>
      </c>
    </row>
    <row r="95" spans="2:6" ht="29" x14ac:dyDescent="0.35">
      <c r="B95" s="14" t="s">
        <v>762</v>
      </c>
      <c r="C95" s="45"/>
      <c r="D95" s="45"/>
      <c r="E95" s="45"/>
      <c r="F95" s="45"/>
    </row>
    <row r="96" spans="2:6" ht="21.75" customHeight="1" x14ac:dyDescent="0.35">
      <c r="B96" s="16" t="s">
        <v>430</v>
      </c>
      <c r="C96" s="47"/>
      <c r="D96" s="47"/>
      <c r="E96" s="47"/>
      <c r="F96" s="47"/>
    </row>
    <row r="97" spans="2:7" ht="29" x14ac:dyDescent="0.35">
      <c r="B97" s="14" t="s">
        <v>431</v>
      </c>
      <c r="C97" s="45"/>
      <c r="D97" s="45"/>
      <c r="E97" s="45"/>
      <c r="F97" s="45"/>
    </row>
    <row r="99" spans="2:7" ht="24" customHeight="1" x14ac:dyDescent="0.35">
      <c r="B99" s="258" t="s">
        <v>1253</v>
      </c>
      <c r="C99" s="258"/>
      <c r="D99" s="258"/>
      <c r="E99" s="258"/>
      <c r="F99" s="258"/>
      <c r="G99" s="258"/>
    </row>
    <row r="100" spans="2:7" ht="27.75" customHeight="1" x14ac:dyDescent="0.35">
      <c r="B100" s="6" t="s">
        <v>142</v>
      </c>
      <c r="C100" s="6" t="s">
        <v>764</v>
      </c>
      <c r="D100" s="6" t="s">
        <v>765</v>
      </c>
      <c r="E100" s="6" t="s">
        <v>766</v>
      </c>
      <c r="F100" s="6" t="s">
        <v>767</v>
      </c>
      <c r="G100" s="6" t="s">
        <v>768</v>
      </c>
    </row>
    <row r="101" spans="2:7" ht="25.5" customHeight="1" x14ac:dyDescent="0.35">
      <c r="B101" s="48" t="s">
        <v>153</v>
      </c>
      <c r="C101" s="26" t="s">
        <v>89</v>
      </c>
      <c r="D101" s="69" t="s">
        <v>769</v>
      </c>
      <c r="E101" s="49">
        <v>3</v>
      </c>
      <c r="F101" s="36" t="s">
        <v>277</v>
      </c>
      <c r="G101" s="5" t="s">
        <v>1254</v>
      </c>
    </row>
    <row r="102" spans="2:7" ht="25.5" customHeight="1" x14ac:dyDescent="0.35">
      <c r="B102" s="50" t="s">
        <v>154</v>
      </c>
      <c r="C102" s="26" t="s">
        <v>93</v>
      </c>
      <c r="D102" s="68" t="s">
        <v>771</v>
      </c>
      <c r="E102" s="49">
        <v>2</v>
      </c>
      <c r="F102" s="36" t="s">
        <v>282</v>
      </c>
      <c r="G102" s="5" t="s">
        <v>1255</v>
      </c>
    </row>
    <row r="103" spans="2:7" ht="25.5" customHeight="1" x14ac:dyDescent="0.35">
      <c r="B103" s="48" t="s">
        <v>155</v>
      </c>
      <c r="C103" s="26" t="s">
        <v>89</v>
      </c>
      <c r="D103" s="69" t="s">
        <v>773</v>
      </c>
      <c r="E103" s="49">
        <v>3</v>
      </c>
      <c r="F103" s="36" t="s">
        <v>277</v>
      </c>
      <c r="G103" s="5" t="s">
        <v>1256</v>
      </c>
    </row>
    <row r="104" spans="2:7" ht="25.5" customHeight="1" x14ac:dyDescent="0.35">
      <c r="B104" s="50" t="s">
        <v>156</v>
      </c>
      <c r="C104" s="26" t="s">
        <v>93</v>
      </c>
      <c r="D104" s="68" t="s">
        <v>775</v>
      </c>
      <c r="E104" s="49">
        <v>2</v>
      </c>
      <c r="F104" s="36" t="s">
        <v>282</v>
      </c>
      <c r="G104" s="5" t="s">
        <v>1257</v>
      </c>
    </row>
    <row r="105" spans="2:7" ht="25.5" customHeight="1" x14ac:dyDescent="0.35">
      <c r="B105" s="48" t="s">
        <v>157</v>
      </c>
      <c r="C105" s="26" t="s">
        <v>93</v>
      </c>
      <c r="D105" s="67" t="s">
        <v>777</v>
      </c>
      <c r="E105" s="49">
        <v>2</v>
      </c>
      <c r="F105" s="36" t="s">
        <v>282</v>
      </c>
      <c r="G105" s="5" t="s">
        <v>1258</v>
      </c>
    </row>
    <row r="106" spans="2:7" ht="25.5" customHeight="1" x14ac:dyDescent="0.35">
      <c r="B106" s="50" t="s">
        <v>158</v>
      </c>
      <c r="C106" s="26" t="s">
        <v>93</v>
      </c>
      <c r="D106" s="68" t="s">
        <v>779</v>
      </c>
      <c r="E106" s="49">
        <v>2</v>
      </c>
      <c r="F106" s="36" t="s">
        <v>282</v>
      </c>
      <c r="G106" s="5" t="s">
        <v>1259</v>
      </c>
    </row>
    <row r="107" spans="2:7" ht="25.5" customHeight="1" x14ac:dyDescent="0.35">
      <c r="B107" s="48" t="s">
        <v>159</v>
      </c>
      <c r="C107" s="26" t="s">
        <v>93</v>
      </c>
      <c r="D107" s="67" t="s">
        <v>781</v>
      </c>
      <c r="E107" s="49">
        <v>2</v>
      </c>
      <c r="F107" s="36" t="s">
        <v>282</v>
      </c>
      <c r="G107" s="5" t="s">
        <v>1260</v>
      </c>
    </row>
    <row r="108" spans="2:7" ht="25.5" customHeight="1" x14ac:dyDescent="0.35">
      <c r="B108" s="50" t="s">
        <v>160</v>
      </c>
      <c r="C108" s="26" t="s">
        <v>89</v>
      </c>
      <c r="D108" s="74" t="s">
        <v>783</v>
      </c>
      <c r="E108" s="49">
        <v>3</v>
      </c>
      <c r="F108" s="36" t="s">
        <v>277</v>
      </c>
      <c r="G108" s="5" t="s">
        <v>1261</v>
      </c>
    </row>
    <row r="109" spans="2:7" ht="43.5" x14ac:dyDescent="0.35">
      <c r="B109" s="48" t="s">
        <v>161</v>
      </c>
      <c r="C109" s="26" t="s">
        <v>89</v>
      </c>
      <c r="D109" s="69" t="s">
        <v>785</v>
      </c>
      <c r="E109" s="49">
        <v>3</v>
      </c>
      <c r="F109" s="36" t="s">
        <v>277</v>
      </c>
      <c r="G109" s="5" t="s">
        <v>1262</v>
      </c>
    </row>
    <row r="110" spans="2:7" ht="25.5" customHeight="1" x14ac:dyDescent="0.35">
      <c r="B110" s="50" t="s">
        <v>162</v>
      </c>
      <c r="C110" s="26" t="s">
        <v>89</v>
      </c>
      <c r="D110" s="74" t="s">
        <v>787</v>
      </c>
      <c r="E110" s="49">
        <v>3</v>
      </c>
      <c r="F110" s="36" t="s">
        <v>277</v>
      </c>
      <c r="G110" s="5" t="s">
        <v>1263</v>
      </c>
    </row>
    <row r="111" spans="2:7" ht="25.5" customHeight="1" x14ac:dyDescent="0.35">
      <c r="B111" s="48" t="s">
        <v>163</v>
      </c>
      <c r="C111" s="26" t="s">
        <v>93</v>
      </c>
      <c r="D111" s="67" t="s">
        <v>789</v>
      </c>
      <c r="E111" s="49">
        <v>2</v>
      </c>
      <c r="F111" s="36" t="s">
        <v>282</v>
      </c>
      <c r="G111" s="5" t="s">
        <v>1264</v>
      </c>
    </row>
    <row r="112" spans="2:7" ht="25.5" customHeight="1" x14ac:dyDescent="0.35">
      <c r="B112" s="50" t="s">
        <v>164</v>
      </c>
      <c r="C112" s="26" t="s">
        <v>89</v>
      </c>
      <c r="D112" s="74" t="s">
        <v>791</v>
      </c>
      <c r="E112" s="49">
        <v>3</v>
      </c>
      <c r="F112" s="36" t="s">
        <v>277</v>
      </c>
      <c r="G112" s="5" t="s">
        <v>1265</v>
      </c>
    </row>
    <row r="113" spans="2:9" ht="25.5" customHeight="1" x14ac:dyDescent="0.35">
      <c r="B113" s="48" t="s">
        <v>165</v>
      </c>
      <c r="C113" s="26" t="s">
        <v>89</v>
      </c>
      <c r="D113" s="69" t="s">
        <v>793</v>
      </c>
      <c r="E113" s="49">
        <v>3</v>
      </c>
      <c r="F113" s="36" t="s">
        <v>277</v>
      </c>
      <c r="G113" s="5" t="s">
        <v>1266</v>
      </c>
    </row>
    <row r="114" spans="2:9" ht="25.5" customHeight="1" x14ac:dyDescent="0.35">
      <c r="B114" s="50" t="s">
        <v>166</v>
      </c>
      <c r="C114" s="26" t="s">
        <v>89</v>
      </c>
      <c r="D114" s="74" t="s">
        <v>795</v>
      </c>
      <c r="E114" s="49">
        <v>3</v>
      </c>
      <c r="F114" s="36" t="s">
        <v>277</v>
      </c>
      <c r="G114" s="5" t="s">
        <v>1267</v>
      </c>
    </row>
    <row r="115" spans="2:9" ht="25.5" customHeight="1" x14ac:dyDescent="0.35">
      <c r="B115" s="48" t="s">
        <v>167</v>
      </c>
      <c r="C115" s="26" t="s">
        <v>89</v>
      </c>
      <c r="D115" s="69" t="s">
        <v>797</v>
      </c>
      <c r="E115" s="49">
        <v>3</v>
      </c>
      <c r="F115" s="36" t="s">
        <v>277</v>
      </c>
      <c r="G115" s="5" t="s">
        <v>1268</v>
      </c>
    </row>
    <row r="116" spans="2:9" ht="25.5" customHeight="1" x14ac:dyDescent="0.35">
      <c r="B116" s="50" t="s">
        <v>168</v>
      </c>
      <c r="C116" s="26" t="s">
        <v>86</v>
      </c>
      <c r="D116" s="74" t="s">
        <v>799</v>
      </c>
      <c r="E116" s="49">
        <v>4</v>
      </c>
      <c r="F116" s="36" t="s">
        <v>271</v>
      </c>
      <c r="G116" s="5" t="s">
        <v>1269</v>
      </c>
    </row>
    <row r="117" spans="2:9" ht="25.5" customHeight="1" x14ac:dyDescent="0.35">
      <c r="B117" s="48" t="s">
        <v>169</v>
      </c>
      <c r="C117" s="26" t="s">
        <v>89</v>
      </c>
      <c r="D117" s="69" t="s">
        <v>801</v>
      </c>
      <c r="E117" s="49">
        <v>3</v>
      </c>
      <c r="F117" s="36" t="s">
        <v>277</v>
      </c>
      <c r="G117" s="5" t="s">
        <v>1270</v>
      </c>
    </row>
    <row r="118" spans="2:9" ht="25.5" customHeight="1" x14ac:dyDescent="0.35">
      <c r="B118" s="50" t="s">
        <v>170</v>
      </c>
      <c r="C118" s="26" t="s">
        <v>89</v>
      </c>
      <c r="D118" s="74" t="s">
        <v>803</v>
      </c>
      <c r="E118" s="49">
        <v>3</v>
      </c>
      <c r="F118" s="36" t="s">
        <v>277</v>
      </c>
      <c r="G118" s="5" t="s">
        <v>1271</v>
      </c>
    </row>
    <row r="119" spans="2:9" ht="57.75" customHeight="1" x14ac:dyDescent="0.35">
      <c r="B119" s="50" t="s">
        <v>172</v>
      </c>
      <c r="C119" s="26" t="s">
        <v>86</v>
      </c>
      <c r="D119" s="74" t="s">
        <v>805</v>
      </c>
      <c r="E119" s="49">
        <v>4</v>
      </c>
      <c r="F119" s="36" t="s">
        <v>271</v>
      </c>
      <c r="G119" s="5" t="s">
        <v>1272</v>
      </c>
    </row>
    <row r="120" spans="2:9" ht="25.5" customHeight="1" x14ac:dyDescent="0.35">
      <c r="B120" s="50" t="s">
        <v>173</v>
      </c>
      <c r="C120" s="26" t="s">
        <v>89</v>
      </c>
      <c r="D120" s="120" t="s">
        <v>807</v>
      </c>
      <c r="E120" s="49">
        <v>3</v>
      </c>
      <c r="F120" s="36" t="s">
        <v>277</v>
      </c>
      <c r="G120" s="5" t="s">
        <v>1273</v>
      </c>
      <c r="I120" s="1" t="s">
        <v>1274</v>
      </c>
    </row>
    <row r="121" spans="2:9" ht="25.5" customHeight="1" x14ac:dyDescent="0.35">
      <c r="B121" s="216" t="s">
        <v>174</v>
      </c>
      <c r="C121" s="26" t="s">
        <v>89</v>
      </c>
      <c r="D121" s="120" t="s">
        <v>808</v>
      </c>
      <c r="E121" s="49">
        <v>3</v>
      </c>
      <c r="F121" s="36" t="s">
        <v>277</v>
      </c>
      <c r="G121" s="5" t="s">
        <v>1275</v>
      </c>
    </row>
    <row r="122" spans="2:9" ht="60" customHeight="1" x14ac:dyDescent="0.35">
      <c r="B122" s="216" t="s">
        <v>175</v>
      </c>
      <c r="C122" s="26" t="s">
        <v>86</v>
      </c>
      <c r="D122" s="234" t="s">
        <v>1276</v>
      </c>
      <c r="E122" s="49">
        <v>4</v>
      </c>
      <c r="F122" s="36" t="s">
        <v>271</v>
      </c>
      <c r="G122" s="5" t="s">
        <v>1277</v>
      </c>
    </row>
    <row r="124" spans="2:9" ht="24" customHeight="1" x14ac:dyDescent="0.35">
      <c r="B124" s="100" t="s">
        <v>810</v>
      </c>
      <c r="C124" s="100"/>
      <c r="D124" s="100"/>
    </row>
    <row r="125" spans="2:9" ht="21.75" customHeight="1" x14ac:dyDescent="0.35">
      <c r="B125" s="6" t="s">
        <v>811</v>
      </c>
      <c r="C125" s="6" t="s">
        <v>812</v>
      </c>
      <c r="D125" s="6" t="s">
        <v>736</v>
      </c>
    </row>
    <row r="126" spans="2:9" ht="21.75" customHeight="1" x14ac:dyDescent="0.35">
      <c r="B126" s="13" t="s">
        <v>813</v>
      </c>
      <c r="C126" s="64" t="s">
        <v>496</v>
      </c>
      <c r="D126" s="70" t="s">
        <v>1278</v>
      </c>
    </row>
    <row r="127" spans="2:9" ht="21.75" customHeight="1" x14ac:dyDescent="0.35">
      <c r="B127" s="15" t="s">
        <v>814</v>
      </c>
      <c r="C127" s="64" t="s">
        <v>1279</v>
      </c>
      <c r="D127" s="70" t="s">
        <v>1280</v>
      </c>
    </row>
    <row r="128" spans="2:9" ht="21.75" customHeight="1" x14ac:dyDescent="0.35">
      <c r="B128" s="13" t="s">
        <v>817</v>
      </c>
      <c r="C128" s="64"/>
      <c r="D128" s="70" t="s">
        <v>1281</v>
      </c>
    </row>
    <row r="129" spans="2:23" ht="21.75" customHeight="1" x14ac:dyDescent="0.35">
      <c r="B129" s="15" t="s">
        <v>818</v>
      </c>
      <c r="C129" s="64"/>
      <c r="D129" s="70"/>
    </row>
    <row r="130" spans="2:23" ht="21.75" customHeight="1" x14ac:dyDescent="0.35">
      <c r="B130" s="13" t="s">
        <v>819</v>
      </c>
      <c r="C130" s="64"/>
      <c r="D130" s="70"/>
    </row>
    <row r="131" spans="2:23" ht="21.75" customHeight="1" x14ac:dyDescent="0.35">
      <c r="B131" s="15" t="s">
        <v>820</v>
      </c>
      <c r="C131" s="64" t="s">
        <v>1282</v>
      </c>
      <c r="D131" s="70" t="s">
        <v>1283</v>
      </c>
    </row>
    <row r="132" spans="2:23" ht="29.25" customHeight="1" x14ac:dyDescent="0.35">
      <c r="B132" s="122" t="s">
        <v>821</v>
      </c>
      <c r="C132" s="64" t="s">
        <v>1284</v>
      </c>
      <c r="D132" s="70" t="s">
        <v>1285</v>
      </c>
    </row>
    <row r="133" spans="2:23" ht="21.75" customHeight="1" x14ac:dyDescent="0.35">
      <c r="B133" s="123" t="s">
        <v>822</v>
      </c>
      <c r="C133" s="109" t="s">
        <v>1286</v>
      </c>
      <c r="D133" s="109" t="s">
        <v>1287</v>
      </c>
      <c r="G133" s="109"/>
    </row>
    <row r="135" spans="2:23" ht="24" customHeight="1" x14ac:dyDescent="0.35">
      <c r="B135" s="100" t="s">
        <v>823</v>
      </c>
      <c r="C135" s="100"/>
      <c r="D135" s="100"/>
      <c r="E135" s="100"/>
      <c r="F135" s="100"/>
    </row>
    <row r="136" spans="2:23" ht="21.75" customHeight="1" x14ac:dyDescent="0.35">
      <c r="B136" s="6" t="s">
        <v>824</v>
      </c>
      <c r="C136" s="6" t="s">
        <v>825</v>
      </c>
      <c r="D136" s="6" t="s">
        <v>826</v>
      </c>
      <c r="E136" s="6" t="s">
        <v>827</v>
      </c>
      <c r="F136" s="6" t="s">
        <v>269</v>
      </c>
    </row>
    <row r="137" spans="2:23" ht="21.75" customHeight="1" x14ac:dyDescent="0.35">
      <c r="B137" s="44" t="s">
        <v>828</v>
      </c>
      <c r="C137" s="99" t="s">
        <v>1288</v>
      </c>
      <c r="D137" s="45" t="s">
        <v>86</v>
      </c>
      <c r="E137" s="14" t="s">
        <v>1289</v>
      </c>
      <c r="F137" s="45" t="s">
        <v>277</v>
      </c>
      <c r="G137" s="1" t="s">
        <v>1290</v>
      </c>
    </row>
    <row r="138" spans="2:23" ht="21.75" customHeight="1" x14ac:dyDescent="0.35">
      <c r="B138" s="46" t="s">
        <v>830</v>
      </c>
      <c r="C138" s="99"/>
      <c r="D138" s="45"/>
      <c r="E138" s="16"/>
      <c r="F138" s="45"/>
    </row>
    <row r="139" spans="2:23" ht="21.75" customHeight="1" x14ac:dyDescent="0.35">
      <c r="B139" s="44" t="s">
        <v>831</v>
      </c>
      <c r="C139" s="99"/>
      <c r="D139" s="45"/>
      <c r="E139" s="14"/>
      <c r="F139" s="45"/>
    </row>
    <row r="140" spans="2:23" ht="21.75" customHeight="1" x14ac:dyDescent="0.35">
      <c r="B140" s="46" t="s">
        <v>832</v>
      </c>
      <c r="C140" s="99"/>
      <c r="D140" s="45"/>
      <c r="E140" s="16"/>
      <c r="F140" s="45"/>
    </row>
    <row r="141" spans="2:23" ht="34.5" customHeight="1" x14ac:dyDescent="0.35">
      <c r="B141" s="14" t="s">
        <v>833</v>
      </c>
      <c r="C141" s="99"/>
      <c r="D141" s="45"/>
      <c r="E141" s="14"/>
      <c r="F141" s="45"/>
      <c r="W141" s="217" t="s">
        <v>1291</v>
      </c>
    </row>
    <row r="142" spans="2:23" ht="31.5" customHeight="1" x14ac:dyDescent="0.35">
      <c r="B142" s="16" t="s">
        <v>834</v>
      </c>
      <c r="C142" s="99"/>
      <c r="D142" s="45"/>
      <c r="E142" s="16"/>
      <c r="F142" s="45"/>
    </row>
    <row r="143" spans="2:23" ht="21.75" customHeight="1" x14ac:dyDescent="0.35">
      <c r="B143" s="44" t="s">
        <v>835</v>
      </c>
      <c r="C143" s="99" t="s">
        <v>1292</v>
      </c>
      <c r="D143" s="45" t="s">
        <v>89</v>
      </c>
      <c r="E143" s="14" t="s">
        <v>1293</v>
      </c>
      <c r="F143" s="45" t="s">
        <v>271</v>
      </c>
    </row>
    <row r="144" spans="2:23" ht="21.75" customHeight="1" x14ac:dyDescent="0.35">
      <c r="B144" s="46" t="s">
        <v>836</v>
      </c>
      <c r="C144" s="99"/>
      <c r="D144" s="45"/>
      <c r="E144" s="16"/>
      <c r="F144" s="45"/>
    </row>
    <row r="145" spans="2:7" ht="21.75" customHeight="1" x14ac:dyDescent="0.35">
      <c r="B145" s="44" t="s">
        <v>837</v>
      </c>
      <c r="C145" s="99"/>
      <c r="D145" s="45"/>
      <c r="E145" s="14"/>
      <c r="F145" s="45"/>
    </row>
    <row r="146" spans="2:7" ht="21.75" customHeight="1" x14ac:dyDescent="0.35">
      <c r="B146" s="46" t="s">
        <v>838</v>
      </c>
      <c r="C146" s="99" t="s">
        <v>1294</v>
      </c>
      <c r="D146" s="45" t="s">
        <v>89</v>
      </c>
      <c r="E146" s="16" t="s">
        <v>1295</v>
      </c>
      <c r="F146" s="45" t="s">
        <v>271</v>
      </c>
    </row>
    <row r="148" spans="2:7" ht="24" customHeight="1" x14ac:dyDescent="0.35">
      <c r="B148" s="258" t="s">
        <v>841</v>
      </c>
      <c r="C148" s="258"/>
      <c r="D148" s="258"/>
      <c r="E148" s="258"/>
      <c r="F148" s="258"/>
      <c r="G148" s="258"/>
    </row>
    <row r="149" spans="2:7" ht="21.75" customHeight="1" x14ac:dyDescent="0.35">
      <c r="B149" s="6" t="s">
        <v>842</v>
      </c>
      <c r="C149" s="6" t="s">
        <v>843</v>
      </c>
    </row>
    <row r="150" spans="2:7" ht="21.75" customHeight="1" x14ac:dyDescent="0.35">
      <c r="B150" s="13" t="s">
        <v>844</v>
      </c>
      <c r="C150" s="251" t="s">
        <v>283</v>
      </c>
      <c r="D150" s="251"/>
      <c r="E150" s="251"/>
      <c r="F150" s="251"/>
      <c r="G150" s="251"/>
    </row>
    <row r="151" spans="2:7" ht="21.75" customHeight="1" x14ac:dyDescent="0.35">
      <c r="B151" s="15" t="s">
        <v>846</v>
      </c>
      <c r="C151" s="251"/>
      <c r="D151" s="251"/>
      <c r="E151" s="251"/>
      <c r="F151" s="251"/>
      <c r="G151" s="251"/>
    </row>
    <row r="152" spans="2:7" ht="21.75" customHeight="1" x14ac:dyDescent="0.35">
      <c r="B152" s="13" t="s">
        <v>847</v>
      </c>
      <c r="C152" s="251"/>
      <c r="D152" s="251"/>
      <c r="E152" s="251"/>
      <c r="F152" s="251"/>
      <c r="G152" s="251"/>
    </row>
    <row r="153" spans="2:7" ht="21.75" customHeight="1" x14ac:dyDescent="0.35">
      <c r="B153" s="15" t="s">
        <v>848</v>
      </c>
      <c r="C153" s="251"/>
      <c r="D153" s="251"/>
      <c r="E153" s="251"/>
      <c r="F153" s="251"/>
      <c r="G153" s="251"/>
    </row>
    <row r="154" spans="2:7" ht="21.75" customHeight="1" x14ac:dyDescent="0.35">
      <c r="B154" s="13" t="s">
        <v>849</v>
      </c>
      <c r="C154" s="251" t="s">
        <v>1296</v>
      </c>
      <c r="D154" s="251"/>
      <c r="E154" s="251"/>
      <c r="F154" s="251"/>
      <c r="G154" s="251"/>
    </row>
    <row r="155" spans="2:7" ht="21.75" customHeight="1" x14ac:dyDescent="0.35">
      <c r="B155" s="15" t="s">
        <v>850</v>
      </c>
      <c r="C155" s="251"/>
      <c r="D155" s="251"/>
      <c r="E155" s="251"/>
      <c r="F155" s="251"/>
      <c r="G155" s="251"/>
    </row>
    <row r="156" spans="2:7" ht="21.75" customHeight="1" x14ac:dyDescent="0.35">
      <c r="B156" s="13" t="s">
        <v>852</v>
      </c>
      <c r="C156" s="251" t="s">
        <v>1297</v>
      </c>
      <c r="D156" s="251"/>
      <c r="E156" s="251"/>
      <c r="F156" s="251"/>
      <c r="G156" s="251"/>
    </row>
    <row r="158" spans="2:7" ht="24" customHeight="1" x14ac:dyDescent="0.35">
      <c r="B158" s="258" t="s">
        <v>854</v>
      </c>
      <c r="C158" s="258"/>
      <c r="D158" s="258"/>
      <c r="E158" s="258"/>
      <c r="F158" s="258"/>
      <c r="G158" s="258"/>
    </row>
    <row r="159" spans="2:7" ht="21.75" customHeight="1" x14ac:dyDescent="0.35">
      <c r="B159" s="6" t="s">
        <v>855</v>
      </c>
      <c r="C159" s="6" t="s">
        <v>856</v>
      </c>
    </row>
    <row r="160" spans="2:7" ht="21" customHeight="1" x14ac:dyDescent="0.35">
      <c r="B160" s="51" t="s">
        <v>857</v>
      </c>
      <c r="C160" s="251" t="s">
        <v>1298</v>
      </c>
      <c r="D160" s="251"/>
      <c r="E160" s="251"/>
      <c r="F160" s="251"/>
      <c r="G160" s="251"/>
    </row>
    <row r="161" spans="2:11" ht="21" customHeight="1" x14ac:dyDescent="0.35">
      <c r="B161" s="52" t="s">
        <v>859</v>
      </c>
      <c r="C161" s="251" t="s">
        <v>1299</v>
      </c>
      <c r="D161" s="251"/>
      <c r="E161" s="251"/>
      <c r="F161" s="251"/>
      <c r="G161" s="251"/>
    </row>
    <row r="162" spans="2:11" ht="21" customHeight="1" x14ac:dyDescent="0.35">
      <c r="B162" s="51" t="s">
        <v>861</v>
      </c>
      <c r="C162" s="251" t="s">
        <v>1300</v>
      </c>
      <c r="D162" s="251"/>
      <c r="E162" s="251"/>
      <c r="F162" s="251"/>
      <c r="G162" s="251"/>
    </row>
    <row r="163" spans="2:11" ht="21" customHeight="1" x14ac:dyDescent="0.35">
      <c r="B163" s="52" t="s">
        <v>863</v>
      </c>
      <c r="C163" s="251" t="s">
        <v>1301</v>
      </c>
      <c r="D163" s="251"/>
      <c r="E163" s="251"/>
      <c r="F163" s="251"/>
      <c r="G163" s="251"/>
    </row>
    <row r="164" spans="2:11" ht="21" customHeight="1" x14ac:dyDescent="0.35">
      <c r="B164" s="51" t="s">
        <v>865</v>
      </c>
      <c r="C164" s="251" t="s">
        <v>1302</v>
      </c>
      <c r="D164" s="251"/>
      <c r="E164" s="251"/>
      <c r="F164" s="251"/>
      <c r="G164" s="251"/>
    </row>
    <row r="165" spans="2:11" ht="21" customHeight="1" x14ac:dyDescent="0.35">
      <c r="B165" s="52" t="s">
        <v>867</v>
      </c>
      <c r="C165" s="251" t="s">
        <v>1303</v>
      </c>
      <c r="D165" s="251"/>
      <c r="E165" s="251"/>
      <c r="F165" s="251"/>
      <c r="G165" s="251"/>
    </row>
    <row r="166" spans="2:11" ht="30" customHeight="1" x14ac:dyDescent="0.35">
      <c r="B166" s="51" t="s">
        <v>868</v>
      </c>
      <c r="C166" s="251" t="s">
        <v>1304</v>
      </c>
      <c r="D166" s="251"/>
      <c r="E166" s="251"/>
      <c r="F166" s="251"/>
      <c r="G166" s="251"/>
    </row>
    <row r="167" spans="2:11" ht="30" customHeight="1" x14ac:dyDescent="0.35">
      <c r="B167" s="52" t="s">
        <v>870</v>
      </c>
      <c r="C167" s="256" t="s">
        <v>1305</v>
      </c>
      <c r="D167" s="257"/>
      <c r="E167" s="257"/>
      <c r="F167" s="257"/>
      <c r="G167" s="257"/>
    </row>
    <row r="168" spans="2:11" ht="30" customHeight="1" x14ac:dyDescent="0.35">
      <c r="B168" s="51" t="s">
        <v>872</v>
      </c>
      <c r="C168" s="251" t="s">
        <v>1306</v>
      </c>
      <c r="D168" s="251"/>
      <c r="E168" s="251"/>
      <c r="F168" s="251"/>
      <c r="G168" s="251"/>
    </row>
    <row r="170" spans="2:11" ht="23.25" customHeight="1" x14ac:dyDescent="0.35">
      <c r="B170" s="255" t="s">
        <v>874</v>
      </c>
      <c r="C170" s="255"/>
      <c r="D170" s="255"/>
      <c r="E170" s="255"/>
      <c r="F170" s="255"/>
      <c r="G170" s="255"/>
      <c r="H170" s="238"/>
      <c r="I170" s="124" t="s">
        <v>877</v>
      </c>
      <c r="J170" s="124" t="s">
        <v>878</v>
      </c>
      <c r="K170" s="124" t="s">
        <v>879</v>
      </c>
    </row>
    <row r="171" spans="2:11" ht="26.5" x14ac:dyDescent="0.35">
      <c r="B171" s="92" t="s">
        <v>268</v>
      </c>
      <c r="C171" s="93"/>
      <c r="D171" s="92" t="s">
        <v>875</v>
      </c>
      <c r="E171" s="93"/>
      <c r="F171" s="92" t="s">
        <v>876</v>
      </c>
      <c r="G171" s="93"/>
      <c r="H171" s="238"/>
      <c r="I171" s="125" t="s">
        <v>881</v>
      </c>
      <c r="J171" s="114" t="s">
        <v>882</v>
      </c>
      <c r="K171" s="114" t="s">
        <v>883</v>
      </c>
    </row>
    <row r="172" spans="2:11" ht="26.5" x14ac:dyDescent="0.35">
      <c r="B172" s="94" t="s">
        <v>880</v>
      </c>
      <c r="C172" s="254"/>
      <c r="D172" s="254"/>
      <c r="E172" s="254"/>
      <c r="F172" s="254"/>
      <c r="G172" s="254"/>
      <c r="H172" s="238"/>
      <c r="I172" s="125" t="s">
        <v>885</v>
      </c>
      <c r="J172" s="114" t="s">
        <v>886</v>
      </c>
      <c r="K172" s="114" t="s">
        <v>887</v>
      </c>
    </row>
    <row r="173" spans="2:11" x14ac:dyDescent="0.35">
      <c r="B173" s="92" t="s">
        <v>884</v>
      </c>
      <c r="C173" s="254"/>
      <c r="D173" s="254"/>
      <c r="E173" s="254"/>
      <c r="F173" s="254"/>
      <c r="G173" s="254"/>
      <c r="H173" s="238"/>
      <c r="I173" s="125" t="s">
        <v>889</v>
      </c>
      <c r="J173" s="114" t="s">
        <v>890</v>
      </c>
      <c r="K173" s="114" t="s">
        <v>891</v>
      </c>
    </row>
    <row r="174" spans="2:11" ht="26.5" x14ac:dyDescent="0.35">
      <c r="B174" s="94" t="s">
        <v>888</v>
      </c>
      <c r="C174" s="254"/>
      <c r="D174" s="254"/>
      <c r="E174" s="254"/>
      <c r="F174" s="254"/>
      <c r="G174" s="254"/>
      <c r="H174" s="238"/>
      <c r="I174" s="125" t="s">
        <v>894</v>
      </c>
      <c r="J174" s="114" t="s">
        <v>895</v>
      </c>
      <c r="K174" s="114" t="s">
        <v>896</v>
      </c>
    </row>
    <row r="175" spans="2:11" ht="27.75" customHeight="1" x14ac:dyDescent="0.35">
      <c r="B175" s="92" t="s">
        <v>892</v>
      </c>
      <c r="C175" s="256" t="s">
        <v>1051</v>
      </c>
      <c r="D175" s="257"/>
      <c r="E175" s="257"/>
      <c r="F175" s="257"/>
      <c r="G175" s="257"/>
      <c r="H175" s="238"/>
      <c r="I175" s="125" t="s">
        <v>898</v>
      </c>
      <c r="J175" s="114" t="s">
        <v>899</v>
      </c>
      <c r="K175" s="114" t="s">
        <v>900</v>
      </c>
    </row>
    <row r="176" spans="2:11" x14ac:dyDescent="0.35">
      <c r="B176" s="92" t="s">
        <v>897</v>
      </c>
      <c r="C176" s="254"/>
      <c r="D176" s="254"/>
      <c r="E176" s="254"/>
      <c r="F176" s="254"/>
      <c r="G176" s="254"/>
      <c r="H176" s="238"/>
      <c r="I176" s="125" t="s">
        <v>904</v>
      </c>
      <c r="J176" s="114" t="s">
        <v>905</v>
      </c>
      <c r="K176" s="114" t="s">
        <v>906</v>
      </c>
    </row>
    <row r="177" spans="2:11" ht="26.5" x14ac:dyDescent="0.35">
      <c r="B177" s="94" t="s">
        <v>901</v>
      </c>
      <c r="C177" s="93"/>
      <c r="D177" s="92" t="s">
        <v>902</v>
      </c>
      <c r="E177" s="93"/>
      <c r="F177" s="92" t="s">
        <v>903</v>
      </c>
      <c r="G177" s="93"/>
      <c r="H177" s="238"/>
      <c r="I177" s="125" t="s">
        <v>910</v>
      </c>
      <c r="J177" s="114" t="s">
        <v>911</v>
      </c>
      <c r="K177" s="114" t="s">
        <v>912</v>
      </c>
    </row>
    <row r="178" spans="2:11" x14ac:dyDescent="0.35">
      <c r="B178" s="92" t="s">
        <v>907</v>
      </c>
      <c r="C178" s="93"/>
      <c r="D178" s="92" t="s">
        <v>908</v>
      </c>
      <c r="E178" s="93"/>
      <c r="F178" s="92" t="s">
        <v>909</v>
      </c>
      <c r="G178" s="93"/>
      <c r="H178" s="238"/>
      <c r="I178" s="125" t="s">
        <v>916</v>
      </c>
      <c r="J178" s="114" t="s">
        <v>917</v>
      </c>
      <c r="K178" s="114" t="s">
        <v>918</v>
      </c>
    </row>
    <row r="179" spans="2:11" x14ac:dyDescent="0.35">
      <c r="B179" s="94" t="s">
        <v>913</v>
      </c>
      <c r="C179" s="93"/>
      <c r="D179" s="92" t="s">
        <v>914</v>
      </c>
      <c r="E179" s="93"/>
      <c r="F179" s="92" t="s">
        <v>915</v>
      </c>
      <c r="G179" s="93"/>
      <c r="H179" s="238"/>
    </row>
    <row r="180" spans="2:11" x14ac:dyDescent="0.35">
      <c r="B180" s="92" t="s">
        <v>919</v>
      </c>
      <c r="C180" s="254"/>
      <c r="D180" s="254"/>
      <c r="E180" s="254"/>
      <c r="F180" s="254"/>
      <c r="G180" s="254"/>
      <c r="H180" s="238"/>
      <c r="I180" s="238"/>
      <c r="J180" s="238"/>
      <c r="K180" s="238"/>
    </row>
    <row r="181" spans="2:11" ht="29" x14ac:dyDescent="0.35">
      <c r="B181" s="94" t="s">
        <v>920</v>
      </c>
      <c r="C181" s="254"/>
      <c r="D181" s="254"/>
      <c r="E181" s="254"/>
      <c r="F181" s="254"/>
      <c r="G181" s="254"/>
      <c r="H181" s="238"/>
    </row>
    <row r="182" spans="2:11" ht="29" x14ac:dyDescent="0.35">
      <c r="B182" s="92" t="s">
        <v>921</v>
      </c>
      <c r="C182" s="254"/>
      <c r="D182" s="254"/>
      <c r="E182" s="254"/>
      <c r="F182" s="254"/>
      <c r="G182" s="254"/>
      <c r="H182" s="238"/>
    </row>
  </sheetData>
  <mergeCells count="42">
    <mergeCell ref="C12:E12"/>
    <mergeCell ref="C155:G155"/>
    <mergeCell ref="C156:G156"/>
    <mergeCell ref="B158:G158"/>
    <mergeCell ref="C7:E7"/>
    <mergeCell ref="C8:E8"/>
    <mergeCell ref="C9:E9"/>
    <mergeCell ref="C10:E10"/>
    <mergeCell ref="C11:E11"/>
    <mergeCell ref="B99:G99"/>
    <mergeCell ref="B58:C58"/>
    <mergeCell ref="B78:F78"/>
    <mergeCell ref="C28:E28"/>
    <mergeCell ref="B148:G148"/>
    <mergeCell ref="C150:G150"/>
    <mergeCell ref="C151:G151"/>
    <mergeCell ref="B2:G2"/>
    <mergeCell ref="B3:G3"/>
    <mergeCell ref="B4:G4"/>
    <mergeCell ref="C5:E5"/>
    <mergeCell ref="C6:E6"/>
    <mergeCell ref="C152:G152"/>
    <mergeCell ref="C164:G164"/>
    <mergeCell ref="C153:G153"/>
    <mergeCell ref="C154:G154"/>
    <mergeCell ref="C180:G180"/>
    <mergeCell ref="C167:G167"/>
    <mergeCell ref="C168:G168"/>
    <mergeCell ref="C176:G176"/>
    <mergeCell ref="C165:G165"/>
    <mergeCell ref="C166:G166"/>
    <mergeCell ref="C160:G160"/>
    <mergeCell ref="C161:G161"/>
    <mergeCell ref="C162:G162"/>
    <mergeCell ref="C163:G163"/>
    <mergeCell ref="C181:G181"/>
    <mergeCell ref="C182:G182"/>
    <mergeCell ref="B170:G170"/>
    <mergeCell ref="C172:G172"/>
    <mergeCell ref="C173:G173"/>
    <mergeCell ref="C174:G174"/>
    <mergeCell ref="C175:G175"/>
  </mergeCells>
  <dataValidations count="6">
    <dataValidation type="list" allowBlank="1" sqref="F34:F38 F41:F47 F50:F52 F55:F56" xr:uid="{00000000-0002-0000-0900-000003000000}">
      <formula1>"Alta,Media,Baja,Sin mejora"</formula1>
      <formula2>0</formula2>
    </dataValidation>
    <dataValidation type="list" allowBlank="1" sqref="C101:C122" xr:uid="{00000000-0002-0000-0900-000004000000}">
      <formula1>"Sí,No,Parcial"</formula1>
      <formula2>0</formula2>
    </dataValidation>
    <dataValidation type="list" allowBlank="1" showInputMessage="1" showErrorMessage="1" promptTitle="Seleccione herramienta" prompt="Seleccione una opción de la lista o escriba otra herramienta si aplica." sqref="C146" xr:uid="{9EEB8968-DA80-4053-BFBD-6C818D53AAC9}">
      <formula1>"API REST,Power Automate,Zapier,Make,Azure Logic Apps,MuleSoft,Boomi,Workato,ServiceNow IntegrationHub,Jira Automation"</formula1>
    </dataValidation>
    <dataValidation type="list" allowBlank="1" showInputMessage="1" showErrorMessage="1" promptTitle="Seleccione herramienta" prompt="Seleccione una opción de la lista o escriba otra herramienta si aplica." sqref="C142" xr:uid="{80782ACD-2B76-4870-BEC9-5607AFD81134}">
      <formula1>"Microsoft Teams Phone,Genesys Cloud,Avaya,3CX,Cisco Webex Contact Center,Amazon Connect,Twilio Flex,Five9,NICE CXone,Talkdesk"</formula1>
    </dataValidation>
    <dataValidation type="date" allowBlank="1" showInputMessage="1" showErrorMessage="1" sqref="C9:E9" xr:uid="{F2AE49A6-7A0E-4017-ABD5-D97E9F499B11}">
      <formula1>46174</formula1>
      <formula2>46368</formula2>
    </dataValidation>
    <dataValidation allowBlank="1" sqref="C15:E15" xr:uid="{57243F77-6D7F-46ED-A89F-A3B42C3A64CC}"/>
  </dataValidations>
  <pageMargins left="0.75" right="0.75" top="1" bottom="1" header="0.511811023622047" footer="0.511811023622047"/>
  <pageSetup paperSize="9" orientation="portrait" horizontalDpi="300" verticalDpi="300"/>
  <drawing r:id="rId1"/>
  <legacyDrawing r:id="rId2"/>
  <extLst>
    <ext xmlns:x14="http://schemas.microsoft.com/office/spreadsheetml/2009/9/main" uri="{CCE6A557-97BC-4b89-ADB6-D9C93CAAB3DF}">
      <x14:dataValidations xmlns:xm="http://schemas.microsoft.com/office/excel/2006/main" count="22">
        <x14:dataValidation type="list" allowBlank="1" xr:uid="{719D6AA2-BDC8-4D00-8089-F247CF19947D}">
          <x14:formula1>
            <xm:f>Listas!$D$5:$D$11</xm:f>
          </x14:formula1>
          <x14:formula2>
            <xm:f>0</xm:f>
          </x14:formula2>
          <xm:sqref>C13 C16</xm:sqref>
        </x14:dataValidation>
        <x14:dataValidation type="list" allowBlank="1" xr:uid="{00000000-0002-0000-0900-000002000000}">
          <x14:formula1>
            <xm:f>Listas!$B$5:$B$9</xm:f>
          </x14:formula1>
          <x14:formula2>
            <xm:f>0</xm:f>
          </x14:formula2>
          <xm:sqref>D34:D38 D41:D47 D50:D52 D55:D56</xm:sqref>
        </x14:dataValidation>
        <x14:dataValidation type="list" allowBlank="1" xr:uid="{00000000-0002-0000-0900-000005000000}">
          <x14:formula1>
            <xm:f>Listas!$F$5:$F$8</xm:f>
          </x14:formula1>
          <x14:formula2>
            <xm:f>0</xm:f>
          </x14:formula2>
          <xm:sqref>F101:F118</xm:sqref>
        </x14:dataValidation>
        <x14:dataValidation type="list" allowBlank="1" xr:uid="{00000000-0002-0000-0900-000006000000}">
          <x14:formula1>
            <xm:f>Listas!$L$5:$L$8</xm:f>
          </x14:formula1>
          <x14:formula2>
            <xm:f>0</xm:f>
          </x14:formula2>
          <xm:sqref>C164</xm:sqref>
        </x14:dataValidation>
        <x14:dataValidation type="list" allowBlank="1" showInputMessage="1" showErrorMessage="1" xr:uid="{5AA6C266-D8AF-4EBE-94E4-E0BEBB482A3E}">
          <x14:formula1>
            <xm:f>Listas!$N$5:$N$11</xm:f>
          </x14:formula1>
          <xm:sqref>C5</xm:sqref>
        </x14:dataValidation>
        <x14:dataValidation type="list" allowBlank="1" showInputMessage="1" showErrorMessage="1" xr:uid="{D79174D7-771E-4817-9A3B-D9246F2818E9}">
          <x14:formula1>
            <xm:f>Listas!$P$5:$P$9</xm:f>
          </x14:formula1>
          <xm:sqref>F137:F146</xm:sqref>
        </x14:dataValidation>
        <x14:dataValidation type="list" allowBlank="1" showInputMessage="1" showErrorMessage="1" xr:uid="{7CEC16F2-5996-4584-9060-BF63290D5E8B}">
          <x14:formula1>
            <xm:f>Listas!$R$5:$R$8</xm:f>
          </x14:formula1>
          <xm:sqref>D137:D146</xm:sqref>
        </x14:dataValidation>
        <x14:dataValidation type="list" allowBlank="1" showInputMessage="1" showErrorMessage="1" promptTitle="Seleccione herramienta" prompt="Seleccione una opción de la lista o escriba otra herramienta si aplica." xr:uid="{FE5720A6-FC9C-497B-A18F-A29804FF3D90}">
          <x14:formula1>
            <xm:f>Listas!$J$21:$J$35</xm:f>
          </x14:formula1>
          <xm:sqref>C145</xm:sqref>
        </x14:dataValidation>
        <x14:dataValidation type="list" allowBlank="1" showInputMessage="1" showErrorMessage="1" promptTitle="Seleccione herramienta" prompt="Seleccione una opción de la lista o escriba otra herramienta si aplica." xr:uid="{496857CB-6469-490A-A35E-BA66889E47CC}">
          <x14:formula1>
            <xm:f>Listas!$L$21:$L$35</xm:f>
          </x14:formula1>
          <xm:sqref>C144</xm:sqref>
        </x14:dataValidation>
        <x14:dataValidation type="list" allowBlank="1" showInputMessage="1" showErrorMessage="1" promptTitle="Seleccione herramienta" prompt="Seleccione una opción de la lista o escriba otra herramienta si aplica." xr:uid="{C6806D38-0EB0-4B83-B689-358F52618603}">
          <x14:formula1>
            <xm:f>Listas!$H$21:$H$35</xm:f>
          </x14:formula1>
          <xm:sqref>C143</xm:sqref>
        </x14:dataValidation>
        <x14:dataValidation type="list" allowBlank="1" showInputMessage="1" showErrorMessage="1" promptTitle="Seleccione herramienta" prompt="Seleccione una opción de la lista o escriba otra herramienta si aplica." xr:uid="{2D2EE06E-5CF9-402C-BBCD-F5E0957E9DDE}">
          <x14:formula1>
            <xm:f>Listas!$N$21:$N$35</xm:f>
          </x14:formula1>
          <xm:sqref>C141</xm:sqref>
        </x14:dataValidation>
        <x14:dataValidation type="list" allowBlank="1" showInputMessage="1" showErrorMessage="1" promptTitle="Seleccione herramienta" prompt="Seleccione una opción de la lista o escriba otra herramienta si aplica." xr:uid="{1640C14C-597F-4DB5-809C-00013457F6B0}">
          <x14:formula1>
            <xm:f>Listas!$P$21:$P$35</xm:f>
          </x14:formula1>
          <xm:sqref>C140</xm:sqref>
        </x14:dataValidation>
        <x14:dataValidation type="list" allowBlank="1" showInputMessage="1" showErrorMessage="1" promptTitle="Seleccione herramienta" prompt="Seleccione una opción de la lista o escriba otra herramienta si aplica." xr:uid="{0B486CC9-9E42-4C02-B40D-A7476C5E53FA}">
          <x14:formula1>
            <xm:f>Listas!$F$21:$F$35</xm:f>
          </x14:formula1>
          <xm:sqref>C139</xm:sqref>
        </x14:dataValidation>
        <x14:dataValidation type="list" allowBlank="1" showInputMessage="1" showErrorMessage="1" promptTitle="Seleccione herramienta" prompt="Seleccione una opción de la lista o escriba otra herramienta si aplica." xr:uid="{506B5C2B-08AA-43F5-B2C9-80B9F58FC70F}">
          <x14:formula1>
            <xm:f>Listas!$D$21:$D$35</xm:f>
          </x14:formula1>
          <xm:sqref>C138</xm:sqref>
        </x14:dataValidation>
        <x14:dataValidation type="list" allowBlank="1" showInputMessage="1" showErrorMessage="1" promptTitle="Seleccione herramienta" prompt="Seleccione una opción de la lista o escriba otra herramienta si aplica." xr:uid="{248DF416-B109-4ECB-92C6-664727204547}">
          <x14:formula1>
            <xm:f>Listas!$B$21:$B$35</xm:f>
          </x14:formula1>
          <xm:sqref>C137</xm:sqref>
        </x14:dataValidation>
        <x14:dataValidation type="list" allowBlank="1" showInputMessage="1" showErrorMessage="1" xr:uid="{EE3CB675-568B-4574-8934-DA39FE740B79}">
          <x14:formula1>
            <xm:f>Listas!$J$45:$J$49</xm:f>
          </x14:formula1>
          <xm:sqref>C97:D97</xm:sqref>
        </x14:dataValidation>
        <x14:dataValidation type="list" allowBlank="1" showInputMessage="1" showErrorMessage="1" xr:uid="{B30C9946-5F0C-4634-9BE0-453623BCA115}">
          <x14:formula1>
            <xm:f>Listas!$H$45:$H$48</xm:f>
          </x14:formula1>
          <xm:sqref>C96:D96</xm:sqref>
        </x14:dataValidation>
        <x14:dataValidation type="list" allowBlank="1" showInputMessage="1" showErrorMessage="1" xr:uid="{5F4DEC74-D7AD-46E7-B1E1-F1677813AAD7}">
          <x14:formula1>
            <xm:f>Listas!$F$45:$F$52</xm:f>
          </x14:formula1>
          <xm:sqref>C93:D93</xm:sqref>
        </x14:dataValidation>
        <x14:dataValidation type="list" allowBlank="1" showInputMessage="1" showErrorMessage="1" xr:uid="{ED248034-08E9-432C-9B12-E9843348EC00}">
          <x14:formula1>
            <xm:f>Listas!$D$45:$D$49</xm:f>
          </x14:formula1>
          <xm:sqref>C92:D92</xm:sqref>
        </x14:dataValidation>
        <x14:dataValidation type="list" allowBlank="1" showInputMessage="1" showErrorMessage="1" xr:uid="{22E1E543-AF76-4689-A595-660EC2875DCC}">
          <x14:formula1>
            <xm:f>Listas!$B$45:$B$48</xm:f>
          </x14:formula1>
          <xm:sqref>C91:D91</xm:sqref>
        </x14:dataValidation>
        <x14:dataValidation type="list" allowBlank="1" showInputMessage="1" showErrorMessage="1" xr:uid="{E10141BB-0A15-4F68-8F13-38A2EB643784}">
          <x14:formula1>
            <xm:f>Listas!$B$53:$B$58</xm:f>
          </x14:formula1>
          <xm:sqref>C132</xm:sqref>
        </x14:dataValidation>
        <x14:dataValidation type="list" allowBlank="1" showInputMessage="1" showErrorMessage="1" xr:uid="{277DC7FE-CE48-4E32-94DD-F463EB85DAE6}">
          <x14:formula1>
            <xm:f>Listas!$B$12:$B$17</xm:f>
          </x14:formula1>
          <xm:sqref>C14</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D711-5EF1-4F1C-801A-6BC278CBDB15}">
  <sheetPr>
    <tabColor rgb="FFD4A017"/>
  </sheetPr>
  <dimension ref="B1:K182"/>
  <sheetViews>
    <sheetView showGridLines="0" zoomScaleNormal="100" workbookViewId="0">
      <pane xSplit="2" ySplit="2" topLeftCell="C3" activePane="bottomRight" state="frozen"/>
      <selection pane="topRight" activeCell="C1" sqref="C1"/>
      <selection pane="bottomLeft" activeCell="A3" sqref="A3"/>
      <selection pane="bottomRight" activeCell="C102" sqref="C102"/>
    </sheetView>
  </sheetViews>
  <sheetFormatPr baseColWidth="10" defaultColWidth="8.54296875" defaultRowHeight="14.5" x14ac:dyDescent="0.35"/>
  <cols>
    <col min="1" max="1" width="3" style="1" customWidth="1"/>
    <col min="2" max="2" width="40.7265625" style="1" customWidth="1"/>
    <col min="3" max="3" width="45.7265625" style="1" customWidth="1"/>
    <col min="4" max="4" width="34.26953125" style="1" customWidth="1"/>
    <col min="5" max="5" width="40" style="1" customWidth="1"/>
    <col min="6" max="6" width="29.1796875" style="1" customWidth="1"/>
    <col min="7" max="7" width="26.54296875" style="1" customWidth="1"/>
    <col min="8" max="8" width="8.54296875" style="1"/>
    <col min="9" max="9" width="14.7265625" style="1" customWidth="1"/>
    <col min="10" max="10" width="32.1796875" style="1" customWidth="1"/>
    <col min="11" max="11" width="43.54296875" style="1" customWidth="1"/>
    <col min="12" max="16384" width="8.54296875" style="1"/>
  </cols>
  <sheetData>
    <row r="1" spans="2:11" ht="7.5" customHeight="1" x14ac:dyDescent="0.35"/>
    <row r="2" spans="2:11" ht="30" customHeight="1" x14ac:dyDescent="0.35">
      <c r="B2" s="259" t="s">
        <v>1307</v>
      </c>
      <c r="C2" s="259"/>
      <c r="D2" s="259"/>
      <c r="E2" s="259"/>
      <c r="F2" s="259"/>
      <c r="G2" s="259"/>
    </row>
    <row r="3" spans="2:11" ht="15.5" x14ac:dyDescent="0.35">
      <c r="I3" s="62" t="s">
        <v>60</v>
      </c>
      <c r="J3" s="62"/>
      <c r="K3" s="62"/>
    </row>
    <row r="4" spans="2:11" ht="24" customHeight="1" x14ac:dyDescent="0.35">
      <c r="B4" s="384" t="s">
        <v>647</v>
      </c>
      <c r="C4" s="384"/>
      <c r="D4" s="384"/>
      <c r="E4" s="384"/>
      <c r="F4" s="258"/>
      <c r="G4" s="258"/>
      <c r="I4" s="6" t="s">
        <v>61</v>
      </c>
      <c r="J4" s="6" t="s">
        <v>62</v>
      </c>
      <c r="K4" s="6" t="s">
        <v>22</v>
      </c>
    </row>
    <row r="5" spans="2:11" ht="17" x14ac:dyDescent="0.35">
      <c r="B5" s="37" t="s">
        <v>648</v>
      </c>
      <c r="C5" s="386" t="s">
        <v>281</v>
      </c>
      <c r="D5" s="386"/>
      <c r="E5" s="398"/>
      <c r="F5" s="91"/>
      <c r="G5" s="91"/>
      <c r="I5" s="17" t="s">
        <v>63</v>
      </c>
      <c r="J5" s="18" t="s">
        <v>64</v>
      </c>
      <c r="K5" s="63" t="s">
        <v>65</v>
      </c>
    </row>
    <row r="6" spans="2:11" ht="15" customHeight="1" x14ac:dyDescent="0.35">
      <c r="B6" s="37" t="s">
        <v>649</v>
      </c>
      <c r="C6" s="252" t="s">
        <v>1308</v>
      </c>
      <c r="D6" s="252"/>
      <c r="E6" s="396"/>
      <c r="F6" s="91"/>
      <c r="G6" s="91"/>
      <c r="I6" s="19" t="s">
        <v>66</v>
      </c>
      <c r="J6" s="122" t="s">
        <v>67</v>
      </c>
      <c r="K6" s="63" t="s">
        <v>68</v>
      </c>
    </row>
    <row r="7" spans="2:11" ht="18" customHeight="1" x14ac:dyDescent="0.35">
      <c r="B7" s="37" t="s">
        <v>651</v>
      </c>
      <c r="C7" s="386" t="s">
        <v>1309</v>
      </c>
      <c r="D7" s="386"/>
      <c r="E7" s="398"/>
      <c r="F7" s="91"/>
      <c r="G7" s="91"/>
      <c r="I7" s="20" t="s">
        <v>69</v>
      </c>
      <c r="J7" s="122" t="s">
        <v>70</v>
      </c>
      <c r="K7" s="63" t="s">
        <v>71</v>
      </c>
    </row>
    <row r="8" spans="2:11" ht="15" customHeight="1" x14ac:dyDescent="0.35">
      <c r="B8" s="37" t="s">
        <v>1201</v>
      </c>
      <c r="C8" s="252" t="s">
        <v>1202</v>
      </c>
      <c r="D8" s="252"/>
      <c r="E8" s="396"/>
      <c r="F8" s="91"/>
      <c r="G8" s="91"/>
      <c r="I8" s="21" t="s">
        <v>72</v>
      </c>
      <c r="J8" s="122" t="s">
        <v>73</v>
      </c>
      <c r="K8" s="63" t="s">
        <v>74</v>
      </c>
    </row>
    <row r="9" spans="2:11" ht="15" customHeight="1" x14ac:dyDescent="0.35">
      <c r="B9" s="37" t="s">
        <v>655</v>
      </c>
      <c r="C9" s="263">
        <v>46213</v>
      </c>
      <c r="D9" s="264"/>
      <c r="E9" s="264"/>
      <c r="F9" s="91"/>
      <c r="G9" s="91"/>
      <c r="I9" s="22" t="s">
        <v>75</v>
      </c>
      <c r="J9" s="122" t="s">
        <v>76</v>
      </c>
      <c r="K9" s="63" t="s">
        <v>77</v>
      </c>
    </row>
    <row r="10" spans="2:11" x14ac:dyDescent="0.35">
      <c r="B10" s="37" t="s">
        <v>656</v>
      </c>
      <c r="C10" s="386" t="s">
        <v>657</v>
      </c>
      <c r="D10" s="386"/>
      <c r="E10" s="398"/>
      <c r="F10" s="91"/>
      <c r="G10" s="91"/>
    </row>
    <row r="11" spans="2:11" x14ac:dyDescent="0.35">
      <c r="B11" s="37" t="s">
        <v>658</v>
      </c>
      <c r="C11" s="377">
        <v>7</v>
      </c>
      <c r="D11" s="377"/>
      <c r="E11" s="399"/>
      <c r="F11" s="91"/>
      <c r="G11" s="91"/>
      <c r="I11" s="6" t="s">
        <v>659</v>
      </c>
      <c r="J11" s="6" t="s">
        <v>292</v>
      </c>
      <c r="K11" s="6" t="s">
        <v>660</v>
      </c>
    </row>
    <row r="12" spans="2:11" x14ac:dyDescent="0.35">
      <c r="B12" s="37" t="s">
        <v>661</v>
      </c>
      <c r="C12" s="252" t="s">
        <v>283</v>
      </c>
      <c r="D12" s="252"/>
      <c r="E12" s="396"/>
      <c r="F12" s="91"/>
      <c r="G12" s="91"/>
      <c r="I12" s="18" t="s">
        <v>662</v>
      </c>
      <c r="J12" s="63" t="s">
        <v>663</v>
      </c>
      <c r="K12" s="63" t="s">
        <v>664</v>
      </c>
    </row>
    <row r="13" spans="2:11" ht="18.5" x14ac:dyDescent="0.35">
      <c r="B13" s="133" t="s">
        <v>1310</v>
      </c>
      <c r="C13" s="140" t="s">
        <v>66</v>
      </c>
      <c r="D13" s="141" t="s">
        <v>666</v>
      </c>
      <c r="E13" s="70"/>
      <c r="F13" s="91"/>
      <c r="G13" s="91"/>
      <c r="I13" s="122" t="s">
        <v>672</v>
      </c>
      <c r="J13" s="63" t="s">
        <v>673</v>
      </c>
      <c r="K13" s="63" t="s">
        <v>674</v>
      </c>
    </row>
    <row r="14" spans="2:11" ht="15.5" x14ac:dyDescent="0.35">
      <c r="B14" s="133" t="s">
        <v>1311</v>
      </c>
      <c r="C14" s="138" t="s">
        <v>297</v>
      </c>
      <c r="D14" s="141"/>
      <c r="E14" s="70"/>
      <c r="F14" s="91"/>
      <c r="G14" s="91"/>
    </row>
    <row r="15" spans="2:11" ht="15.5" x14ac:dyDescent="0.35">
      <c r="B15" s="133" t="s">
        <v>675</v>
      </c>
      <c r="C15" s="230" t="s">
        <v>1203</v>
      </c>
      <c r="D15" s="141"/>
      <c r="E15" s="70"/>
      <c r="F15" s="91"/>
      <c r="G15" s="91"/>
    </row>
    <row r="16" spans="2:11" x14ac:dyDescent="0.35">
      <c r="B16" s="133" t="s">
        <v>678</v>
      </c>
      <c r="C16" s="251" t="s">
        <v>679</v>
      </c>
      <c r="D16" s="262" t="s">
        <v>666</v>
      </c>
      <c r="E16" s="262"/>
      <c r="F16" s="91"/>
      <c r="G16" s="91"/>
    </row>
    <row r="17" spans="2:7" ht="17.25" customHeight="1" x14ac:dyDescent="0.35">
      <c r="B17" s="133" t="s">
        <v>1312</v>
      </c>
      <c r="C17" s="38" t="s">
        <v>432</v>
      </c>
      <c r="D17" s="134"/>
      <c r="F17" s="91"/>
      <c r="G17" s="91"/>
    </row>
    <row r="18" spans="2:7" ht="14.25" customHeight="1" x14ac:dyDescent="0.35">
      <c r="B18" s="37" t="s">
        <v>680</v>
      </c>
      <c r="C18" s="252" t="s">
        <v>1313</v>
      </c>
      <c r="D18" s="252"/>
      <c r="E18" s="396"/>
      <c r="F18" s="91"/>
      <c r="G18" s="91"/>
    </row>
    <row r="19" spans="2:7" ht="45" customHeight="1" x14ac:dyDescent="0.35">
      <c r="B19" s="37" t="s">
        <v>682</v>
      </c>
      <c r="C19" s="252"/>
      <c r="D19" s="252"/>
      <c r="E19" s="396"/>
      <c r="F19" s="91"/>
      <c r="G19" s="91"/>
    </row>
    <row r="20" spans="2:7" x14ac:dyDescent="0.35">
      <c r="B20" s="37" t="s">
        <v>684</v>
      </c>
      <c r="C20" s="252"/>
      <c r="D20" s="252"/>
      <c r="E20" s="396"/>
      <c r="F20" s="91"/>
      <c r="G20" s="91"/>
    </row>
    <row r="21" spans="2:7" x14ac:dyDescent="0.35">
      <c r="B21" s="37" t="s">
        <v>686</v>
      </c>
      <c r="C21" s="252"/>
      <c r="D21" s="252"/>
      <c r="E21" s="396"/>
      <c r="F21" s="91"/>
      <c r="G21" s="91"/>
    </row>
    <row r="22" spans="2:7" x14ac:dyDescent="0.35">
      <c r="B22" s="37" t="s">
        <v>688</v>
      </c>
      <c r="C22" s="252"/>
      <c r="D22" s="252"/>
      <c r="E22" s="396"/>
      <c r="F22" s="91"/>
      <c r="G22" s="91"/>
    </row>
    <row r="23" spans="2:7" x14ac:dyDescent="0.35">
      <c r="B23" s="37" t="s">
        <v>690</v>
      </c>
      <c r="C23" s="252"/>
      <c r="D23" s="252"/>
      <c r="E23" s="396"/>
      <c r="F23" s="91"/>
      <c r="G23" s="91"/>
    </row>
    <row r="24" spans="2:7" ht="15" x14ac:dyDescent="0.35">
      <c r="B24" s="37" t="s">
        <v>692</v>
      </c>
      <c r="C24" s="252" t="s">
        <v>1206</v>
      </c>
      <c r="D24" s="252"/>
      <c r="E24" s="396"/>
      <c r="F24" s="91"/>
      <c r="G24" s="91"/>
    </row>
    <row r="25" spans="2:7" x14ac:dyDescent="0.35">
      <c r="B25" s="37" t="s">
        <v>935</v>
      </c>
      <c r="C25" s="397"/>
      <c r="D25" s="397"/>
      <c r="E25" s="391"/>
      <c r="F25" s="91"/>
      <c r="G25" s="91"/>
    </row>
    <row r="26" spans="2:7" x14ac:dyDescent="0.35">
      <c r="B26" s="37" t="s">
        <v>936</v>
      </c>
      <c r="C26" s="174" t="s">
        <v>1207</v>
      </c>
      <c r="D26" s="174"/>
      <c r="E26" s="174"/>
      <c r="F26" s="91"/>
      <c r="G26" s="91"/>
    </row>
    <row r="27" spans="2:7" ht="15" x14ac:dyDescent="0.35">
      <c r="B27" s="37" t="s">
        <v>938</v>
      </c>
      <c r="C27" s="252" t="s">
        <v>1208</v>
      </c>
      <c r="D27" s="252"/>
      <c r="E27" s="253"/>
      <c r="F27" s="91"/>
      <c r="G27" s="91"/>
    </row>
    <row r="28" spans="2:7" ht="15" x14ac:dyDescent="0.35">
      <c r="B28" s="199" t="s">
        <v>698</v>
      </c>
      <c r="C28" s="252" t="s">
        <v>1210</v>
      </c>
      <c r="D28" s="252"/>
      <c r="E28" s="253"/>
      <c r="F28" s="91"/>
      <c r="G28" s="91"/>
    </row>
    <row r="29" spans="2:7" x14ac:dyDescent="0.35">
      <c r="B29" s="199"/>
      <c r="C29" s="252"/>
      <c r="D29" s="252"/>
      <c r="E29" s="253"/>
      <c r="F29" s="91"/>
      <c r="G29" s="91"/>
    </row>
    <row r="31" spans="2:7" ht="24" customHeight="1" x14ac:dyDescent="0.35">
      <c r="B31" s="100" t="s">
        <v>699</v>
      </c>
      <c r="C31" s="100"/>
      <c r="D31" s="100"/>
      <c r="E31" s="100"/>
      <c r="F31" s="100"/>
    </row>
    <row r="32" spans="2:7" ht="27.75" customHeight="1" x14ac:dyDescent="0.35">
      <c r="B32" s="6" t="s">
        <v>19</v>
      </c>
      <c r="C32" s="6" t="s">
        <v>700</v>
      </c>
      <c r="D32" s="6" t="s">
        <v>701</v>
      </c>
      <c r="E32" s="6" t="s">
        <v>702</v>
      </c>
      <c r="F32" s="6" t="s">
        <v>703</v>
      </c>
    </row>
    <row r="33" spans="2:6" ht="21.75" customHeight="1" x14ac:dyDescent="0.35">
      <c r="B33" s="170" t="s">
        <v>704</v>
      </c>
      <c r="C33" s="170"/>
      <c r="D33" s="170"/>
      <c r="E33" s="170"/>
      <c r="F33" s="170"/>
    </row>
    <row r="34" spans="2:6" ht="27.75" customHeight="1" x14ac:dyDescent="0.35">
      <c r="B34" s="40" t="s">
        <v>939</v>
      </c>
      <c r="C34" s="65" t="s">
        <v>705</v>
      </c>
      <c r="D34" s="26" t="s">
        <v>86</v>
      </c>
      <c r="E34" s="5" t="s">
        <v>1211</v>
      </c>
      <c r="F34" s="36" t="s">
        <v>277</v>
      </c>
    </row>
    <row r="35" spans="2:6" ht="27.75" customHeight="1" x14ac:dyDescent="0.35">
      <c r="B35" s="41" t="s">
        <v>941</v>
      </c>
      <c r="C35" s="66" t="s">
        <v>706</v>
      </c>
      <c r="D35" s="26" t="s">
        <v>93</v>
      </c>
      <c r="E35" s="5" t="s">
        <v>1212</v>
      </c>
      <c r="F35" s="36" t="s">
        <v>271</v>
      </c>
    </row>
    <row r="36" spans="2:6" ht="27.75" customHeight="1" x14ac:dyDescent="0.35">
      <c r="B36" s="40" t="s">
        <v>943</v>
      </c>
      <c r="C36" s="65" t="s">
        <v>707</v>
      </c>
      <c r="D36" s="26" t="s">
        <v>86</v>
      </c>
      <c r="E36" s="5" t="s">
        <v>1213</v>
      </c>
      <c r="F36" s="36" t="s">
        <v>277</v>
      </c>
    </row>
    <row r="37" spans="2:6" ht="27.75" customHeight="1" x14ac:dyDescent="0.35">
      <c r="B37" s="41" t="s">
        <v>945</v>
      </c>
      <c r="C37" s="66" t="s">
        <v>708</v>
      </c>
      <c r="D37" s="26" t="s">
        <v>89</v>
      </c>
      <c r="E37" s="5" t="s">
        <v>1214</v>
      </c>
      <c r="F37" s="36" t="s">
        <v>277</v>
      </c>
    </row>
    <row r="38" spans="2:6" ht="27.75" customHeight="1" x14ac:dyDescent="0.35">
      <c r="B38" s="40" t="s">
        <v>947</v>
      </c>
      <c r="C38" s="65" t="s">
        <v>709</v>
      </c>
      <c r="D38" s="26" t="s">
        <v>89</v>
      </c>
      <c r="E38" s="5" t="s">
        <v>1215</v>
      </c>
      <c r="F38" s="36" t="s">
        <v>277</v>
      </c>
    </row>
    <row r="40" spans="2:6" ht="21.75" customHeight="1" x14ac:dyDescent="0.35">
      <c r="B40" s="129" t="s">
        <v>711</v>
      </c>
      <c r="C40" s="129"/>
      <c r="D40" s="129"/>
      <c r="E40" s="129"/>
      <c r="F40" s="129"/>
    </row>
    <row r="41" spans="2:6" ht="27.75" customHeight="1" x14ac:dyDescent="0.35">
      <c r="B41" s="41" t="s">
        <v>949</v>
      </c>
      <c r="C41" s="66" t="s">
        <v>712</v>
      </c>
      <c r="D41" s="26" t="s">
        <v>86</v>
      </c>
      <c r="E41" s="5" t="s">
        <v>1216</v>
      </c>
      <c r="F41" s="36" t="s">
        <v>277</v>
      </c>
    </row>
    <row r="42" spans="2:6" ht="27.75" customHeight="1" x14ac:dyDescent="0.35">
      <c r="B42" s="40" t="s">
        <v>951</v>
      </c>
      <c r="C42" s="65" t="s">
        <v>714</v>
      </c>
      <c r="D42" s="26" t="s">
        <v>86</v>
      </c>
      <c r="E42" s="5" t="s">
        <v>1217</v>
      </c>
      <c r="F42" s="36" t="s">
        <v>277</v>
      </c>
    </row>
    <row r="43" spans="2:6" ht="27.75" customHeight="1" x14ac:dyDescent="0.35">
      <c r="B43" s="41" t="s">
        <v>953</v>
      </c>
      <c r="C43" s="66" t="s">
        <v>716</v>
      </c>
      <c r="D43" s="26" t="s">
        <v>86</v>
      </c>
      <c r="E43" s="5" t="s">
        <v>1218</v>
      </c>
      <c r="F43" s="36" t="s">
        <v>277</v>
      </c>
    </row>
    <row r="44" spans="2:6" ht="43.5" x14ac:dyDescent="0.35">
      <c r="B44" s="40" t="s">
        <v>955</v>
      </c>
      <c r="C44" s="65" t="s">
        <v>718</v>
      </c>
      <c r="D44" s="26" t="s">
        <v>89</v>
      </c>
      <c r="E44" s="5" t="s">
        <v>1219</v>
      </c>
      <c r="F44" s="36" t="s">
        <v>271</v>
      </c>
    </row>
    <row r="45" spans="2:6" ht="43.5" x14ac:dyDescent="0.35">
      <c r="B45" s="41" t="s">
        <v>957</v>
      </c>
      <c r="C45" s="66" t="s">
        <v>719</v>
      </c>
      <c r="D45" s="26" t="s">
        <v>89</v>
      </c>
      <c r="E45" s="5" t="s">
        <v>1220</v>
      </c>
      <c r="F45" s="36" t="s">
        <v>277</v>
      </c>
    </row>
    <row r="46" spans="2:6" ht="27.75" customHeight="1" x14ac:dyDescent="0.35">
      <c r="B46" s="40" t="s">
        <v>958</v>
      </c>
      <c r="C46" s="65" t="s">
        <v>721</v>
      </c>
      <c r="D46" s="26" t="s">
        <v>89</v>
      </c>
      <c r="E46" s="5" t="s">
        <v>1221</v>
      </c>
      <c r="F46" s="36" t="s">
        <v>277</v>
      </c>
    </row>
    <row r="47" spans="2:6" ht="27.75" customHeight="1" x14ac:dyDescent="0.35">
      <c r="B47" s="41" t="s">
        <v>959</v>
      </c>
      <c r="C47" s="66" t="s">
        <v>722</v>
      </c>
      <c r="D47" s="26" t="s">
        <v>86</v>
      </c>
      <c r="E47" s="5" t="s">
        <v>1222</v>
      </c>
      <c r="F47" s="36" t="s">
        <v>277</v>
      </c>
    </row>
    <row r="49" spans="2:6" ht="21.75" customHeight="1" x14ac:dyDescent="0.35">
      <c r="B49" s="129" t="s">
        <v>723</v>
      </c>
      <c r="C49" s="129"/>
      <c r="D49" s="129"/>
      <c r="E49" s="129"/>
      <c r="F49" s="129"/>
    </row>
    <row r="50" spans="2:6" ht="27.75" customHeight="1" x14ac:dyDescent="0.35">
      <c r="B50" s="40" t="s">
        <v>961</v>
      </c>
      <c r="C50" s="65" t="s">
        <v>724</v>
      </c>
      <c r="D50" s="26" t="s">
        <v>86</v>
      </c>
      <c r="E50" s="5" t="s">
        <v>1223</v>
      </c>
      <c r="F50" s="36" t="s">
        <v>277</v>
      </c>
    </row>
    <row r="51" spans="2:6" ht="43.5" x14ac:dyDescent="0.35">
      <c r="B51" s="41" t="s">
        <v>963</v>
      </c>
      <c r="C51" s="66" t="s">
        <v>726</v>
      </c>
      <c r="D51" s="26" t="s">
        <v>86</v>
      </c>
      <c r="E51" s="5" t="s">
        <v>1224</v>
      </c>
      <c r="F51" s="36" t="s">
        <v>277</v>
      </c>
    </row>
    <row r="52" spans="2:6" ht="27.75" customHeight="1" x14ac:dyDescent="0.35">
      <c r="B52" s="40" t="s">
        <v>965</v>
      </c>
      <c r="C52" s="65" t="s">
        <v>727</v>
      </c>
      <c r="D52" s="26" t="s">
        <v>89</v>
      </c>
      <c r="E52" s="5" t="s">
        <v>1225</v>
      </c>
      <c r="F52" s="36" t="s">
        <v>271</v>
      </c>
    </row>
    <row r="54" spans="2:6" ht="21.75" customHeight="1" x14ac:dyDescent="0.35">
      <c r="B54" s="129" t="s">
        <v>728</v>
      </c>
      <c r="C54" s="129"/>
      <c r="D54" s="129"/>
      <c r="E54" s="129"/>
      <c r="F54" s="129"/>
    </row>
    <row r="55" spans="2:6" ht="27.75" customHeight="1" x14ac:dyDescent="0.35">
      <c r="B55" s="41" t="s">
        <v>967</v>
      </c>
      <c r="C55" s="66" t="s">
        <v>729</v>
      </c>
      <c r="D55" s="26" t="s">
        <v>86</v>
      </c>
      <c r="E55" s="5" t="s">
        <v>1226</v>
      </c>
      <c r="F55" s="36" t="s">
        <v>277</v>
      </c>
    </row>
    <row r="56" spans="2:6" ht="27.75" customHeight="1" x14ac:dyDescent="0.35">
      <c r="B56" s="40" t="s">
        <v>969</v>
      </c>
      <c r="C56" s="65" t="s">
        <v>731</v>
      </c>
      <c r="D56" s="26" t="s">
        <v>89</v>
      </c>
      <c r="E56" s="5" t="s">
        <v>1227</v>
      </c>
      <c r="F56" s="36" t="s">
        <v>271</v>
      </c>
    </row>
    <row r="58" spans="2:6" ht="27.75" customHeight="1" x14ac:dyDescent="0.35">
      <c r="B58" s="260" t="s">
        <v>732</v>
      </c>
      <c r="C58" s="260"/>
      <c r="D58" s="42">
        <f>IF(D34="Sí",1,IF(D34="Parcial",0.5,0))+IF(D35="Sí",1,IF(D35="Parcial",0.5,0))+IF(D36="Sí",1,IF(D36="Parcial",0.5,0))+IF(D37="Sí",1,IF(D37="Parcial",0.5,0))+IF(D38="Sí",1,IF(D38="Parcial",0.5,0))+IF(D41="Sí",1,IF(D41="Parcial",0.5,0))+IF(D42="Sí",1,IF(D42="Parcial",0.5,0))+IF(D43="Sí",1,IF(D43="Parcial",0.5,0))+IF(D44="Sí",1,IF(D44="Parcial",0.5,0))+IF(D45="Sí",1,IF(D45="Parcial",0.5,0))+IF(D46="Sí",1,IF(D46="Parcial",0.5,0))+IF(D47="Sí",1,IF(D47="Parcial",0.5,0))+IF(D50="Sí",1,IF(D50="Parcial",0.5,0))+IF(D51="Sí",1,IF(D51="Parcial",0.5,0))+IF(D52="Sí",1,IF(D52="Parcial",0.5,0))+IF(D55="Sí",1,IF(D55="Parcial",0.5,0))+IF(D56="Sí",1,IF(D56="Parcial",0.5,0))</f>
        <v>12.5</v>
      </c>
      <c r="E58" s="43">
        <f>D58/17</f>
        <v>0.73529411764705888</v>
      </c>
    </row>
    <row r="60" spans="2:6" ht="24" customHeight="1" x14ac:dyDescent="0.35">
      <c r="B60" s="100" t="s">
        <v>733</v>
      </c>
      <c r="C60" s="100"/>
      <c r="D60" s="100"/>
      <c r="E60" s="100"/>
      <c r="F60" s="100"/>
    </row>
    <row r="61" spans="2:6" ht="21.75" customHeight="1" x14ac:dyDescent="0.35">
      <c r="B61" s="6" t="s">
        <v>464</v>
      </c>
      <c r="C61" s="6" t="s">
        <v>466</v>
      </c>
      <c r="D61" s="6" t="s">
        <v>734</v>
      </c>
      <c r="E61" s="6" t="s">
        <v>735</v>
      </c>
      <c r="F61" s="6" t="s">
        <v>736</v>
      </c>
    </row>
    <row r="62" spans="2:6" ht="33" customHeight="1" x14ac:dyDescent="0.35">
      <c r="B62" s="44" t="s">
        <v>467</v>
      </c>
      <c r="C62" s="166" t="s">
        <v>1228</v>
      </c>
      <c r="D62" s="45"/>
      <c r="E62" s="45" t="s">
        <v>1229</v>
      </c>
      <c r="F62" s="206" t="s">
        <v>1230</v>
      </c>
    </row>
    <row r="63" spans="2:6" ht="21.75" customHeight="1" x14ac:dyDescent="0.35">
      <c r="B63" s="210" t="s">
        <v>972</v>
      </c>
      <c r="C63" s="166" t="s">
        <v>1231</v>
      </c>
      <c r="D63" s="45"/>
      <c r="E63" s="45"/>
      <c r="F63" s="206" t="s">
        <v>1232</v>
      </c>
    </row>
    <row r="64" spans="2:6" ht="21.75" customHeight="1" x14ac:dyDescent="0.35">
      <c r="B64" s="210" t="s">
        <v>973</v>
      </c>
      <c r="C64" s="166" t="s">
        <v>1233</v>
      </c>
      <c r="D64" s="45"/>
      <c r="E64" s="45"/>
      <c r="F64" s="206" t="s">
        <v>1234</v>
      </c>
    </row>
    <row r="65" spans="2:6" ht="21.75" customHeight="1" x14ac:dyDescent="0.35">
      <c r="B65" s="46" t="s">
        <v>470</v>
      </c>
      <c r="C65" s="215" t="s">
        <v>1235</v>
      </c>
      <c r="D65" s="47"/>
      <c r="E65" s="47" t="s">
        <v>1236</v>
      </c>
      <c r="F65" s="206" t="s">
        <v>1237</v>
      </c>
    </row>
    <row r="66" spans="2:6" ht="21.75" customHeight="1" x14ac:dyDescent="0.35">
      <c r="B66" s="44" t="s">
        <v>472</v>
      </c>
      <c r="C66" s="166"/>
      <c r="D66" s="45" t="s">
        <v>97</v>
      </c>
      <c r="E66" s="45" t="s">
        <v>97</v>
      </c>
      <c r="F66" s="206" t="s">
        <v>1314</v>
      </c>
    </row>
    <row r="67" spans="2:6" ht="21.75" customHeight="1" x14ac:dyDescent="0.35">
      <c r="B67" s="46" t="s">
        <v>737</v>
      </c>
      <c r="C67" s="215"/>
      <c r="D67" s="47" t="s">
        <v>97</v>
      </c>
      <c r="E67" s="47" t="s">
        <v>97</v>
      </c>
      <c r="F67" s="206" t="s">
        <v>1315</v>
      </c>
    </row>
    <row r="68" spans="2:6" ht="21.75" customHeight="1" x14ac:dyDescent="0.35">
      <c r="B68" s="44" t="s">
        <v>475</v>
      </c>
      <c r="C68" s="215" t="s">
        <v>476</v>
      </c>
      <c r="D68" s="45" t="s">
        <v>496</v>
      </c>
      <c r="E68" s="45" t="s">
        <v>496</v>
      </c>
      <c r="F68" s="206" t="s">
        <v>1238</v>
      </c>
    </row>
    <row r="69" spans="2:6" ht="21.75" customHeight="1" x14ac:dyDescent="0.35">
      <c r="B69" s="46" t="s">
        <v>477</v>
      </c>
      <c r="C69" s="219" t="s">
        <v>1239</v>
      </c>
      <c r="D69" s="47"/>
      <c r="E69" s="47" t="s">
        <v>1236</v>
      </c>
      <c r="F69" s="206" t="s">
        <v>1316</v>
      </c>
    </row>
    <row r="70" spans="2:6" ht="21.75" customHeight="1" x14ac:dyDescent="0.35">
      <c r="B70" s="44" t="s">
        <v>257</v>
      </c>
      <c r="C70" s="219" t="s">
        <v>479</v>
      </c>
      <c r="D70" s="45" t="s">
        <v>1240</v>
      </c>
      <c r="E70" s="45"/>
      <c r="F70" s="206" t="s">
        <v>1241</v>
      </c>
    </row>
    <row r="71" spans="2:6" ht="21.75" customHeight="1" x14ac:dyDescent="0.35">
      <c r="B71" s="46" t="s">
        <v>480</v>
      </c>
      <c r="C71" s="219" t="s">
        <v>1242</v>
      </c>
      <c r="D71" s="47"/>
      <c r="E71" s="47"/>
      <c r="F71" s="206" t="s">
        <v>1243</v>
      </c>
    </row>
    <row r="72" spans="2:6" ht="21.75" customHeight="1" x14ac:dyDescent="0.35">
      <c r="B72" s="44" t="s">
        <v>482</v>
      </c>
      <c r="C72" s="219" t="s">
        <v>1244</v>
      </c>
      <c r="D72" s="45"/>
      <c r="E72" s="45" t="s">
        <v>1236</v>
      </c>
      <c r="F72" s="206" t="s">
        <v>1245</v>
      </c>
    </row>
    <row r="73" spans="2:6" ht="21.75" customHeight="1" x14ac:dyDescent="0.35">
      <c r="B73" s="46" t="s">
        <v>484</v>
      </c>
      <c r="C73" s="219" t="s">
        <v>485</v>
      </c>
      <c r="D73" s="47" t="s">
        <v>496</v>
      </c>
      <c r="E73" s="47" t="s">
        <v>496</v>
      </c>
      <c r="F73" s="206" t="s">
        <v>1317</v>
      </c>
    </row>
    <row r="74" spans="2:6" ht="21.75" customHeight="1" x14ac:dyDescent="0.35">
      <c r="B74" s="44" t="s">
        <v>486</v>
      </c>
      <c r="C74" s="166">
        <v>7</v>
      </c>
      <c r="D74" s="45"/>
      <c r="E74" s="45"/>
      <c r="F74" s="206" t="s">
        <v>1318</v>
      </c>
    </row>
    <row r="75" spans="2:6" ht="21.75" customHeight="1" x14ac:dyDescent="0.35">
      <c r="B75" s="46" t="s">
        <v>488</v>
      </c>
      <c r="C75" s="215"/>
      <c r="D75" s="47" t="s">
        <v>496</v>
      </c>
      <c r="E75" s="47" t="s">
        <v>496</v>
      </c>
      <c r="F75" s="206"/>
    </row>
    <row r="77" spans="2:6" ht="24" customHeight="1" x14ac:dyDescent="0.35">
      <c r="B77" s="100" t="s">
        <v>37</v>
      </c>
      <c r="C77" s="100"/>
      <c r="D77" s="100"/>
      <c r="E77" s="100"/>
      <c r="F77" s="100"/>
    </row>
    <row r="78" spans="2:6" ht="24" customHeight="1" x14ac:dyDescent="0.35">
      <c r="B78" s="266" t="s">
        <v>739</v>
      </c>
      <c r="C78" s="266"/>
      <c r="D78" s="266"/>
      <c r="E78" s="266"/>
      <c r="F78" s="266"/>
    </row>
    <row r="79" spans="2:6" ht="21.75" customHeight="1" x14ac:dyDescent="0.35">
      <c r="B79" s="6" t="s">
        <v>740</v>
      </c>
      <c r="C79" s="6" t="s">
        <v>741</v>
      </c>
      <c r="D79" s="6" t="s">
        <v>742</v>
      </c>
      <c r="E79" s="6" t="s">
        <v>743</v>
      </c>
      <c r="F79" s="6" t="s">
        <v>744</v>
      </c>
    </row>
    <row r="80" spans="2:6" ht="19.5" customHeight="1" x14ac:dyDescent="0.35">
      <c r="B80" s="44" t="s">
        <v>745</v>
      </c>
      <c r="C80" s="45"/>
      <c r="D80" s="45"/>
      <c r="E80" s="45"/>
      <c r="F80" s="45"/>
    </row>
    <row r="81" spans="2:6" ht="19.5" customHeight="1" x14ac:dyDescent="0.35">
      <c r="B81" s="46" t="s">
        <v>746</v>
      </c>
      <c r="C81" s="47"/>
      <c r="D81" s="47"/>
      <c r="E81" s="47"/>
      <c r="F81" s="47"/>
    </row>
    <row r="82" spans="2:6" ht="19.5" customHeight="1" x14ac:dyDescent="0.35">
      <c r="B82" s="44" t="s">
        <v>748</v>
      </c>
      <c r="C82" s="45" t="s">
        <v>1228</v>
      </c>
      <c r="D82" s="45" t="s">
        <v>496</v>
      </c>
      <c r="E82" s="45" t="s">
        <v>1247</v>
      </c>
      <c r="F82" s="45" t="s">
        <v>1248</v>
      </c>
    </row>
    <row r="83" spans="2:6" ht="19.5" customHeight="1" x14ac:dyDescent="0.35">
      <c r="B83" s="46" t="s">
        <v>749</v>
      </c>
      <c r="C83" s="47"/>
      <c r="D83" s="47"/>
      <c r="E83" s="47"/>
      <c r="F83" s="47"/>
    </row>
    <row r="84" spans="2:6" ht="19.5" customHeight="1" x14ac:dyDescent="0.35">
      <c r="B84" s="44" t="s">
        <v>751</v>
      </c>
      <c r="C84" s="45"/>
      <c r="D84" s="45"/>
      <c r="E84" s="45"/>
      <c r="F84" s="45"/>
    </row>
    <row r="85" spans="2:6" ht="19.5" customHeight="1" x14ac:dyDescent="0.35">
      <c r="B85" s="46" t="s">
        <v>752</v>
      </c>
      <c r="C85" s="47"/>
      <c r="D85" s="47"/>
      <c r="E85" s="47"/>
      <c r="F85" s="47"/>
    </row>
    <row r="86" spans="2:6" ht="19.5" customHeight="1" x14ac:dyDescent="0.35">
      <c r="B86" s="44" t="s">
        <v>753</v>
      </c>
      <c r="C86" s="45"/>
      <c r="D86" s="45"/>
      <c r="E86" s="45"/>
      <c r="F86" s="45"/>
    </row>
    <row r="87" spans="2:6" ht="19.5" customHeight="1" x14ac:dyDescent="0.35">
      <c r="B87" s="46" t="s">
        <v>755</v>
      </c>
      <c r="C87" s="47"/>
      <c r="D87" s="47"/>
      <c r="E87" s="47"/>
      <c r="F87" s="47"/>
    </row>
    <row r="88" spans="2:6" ht="14.5" customHeight="1" x14ac:dyDescent="0.35"/>
    <row r="89" spans="2:6" ht="24" customHeight="1" x14ac:dyDescent="0.35">
      <c r="B89" s="100" t="s">
        <v>757</v>
      </c>
      <c r="C89" s="100"/>
      <c r="D89" s="100"/>
      <c r="E89" s="100"/>
      <c r="F89" s="100"/>
    </row>
    <row r="90" spans="2:6" ht="21.75" customHeight="1" x14ac:dyDescent="0.35">
      <c r="B90" s="6" t="s">
        <v>758</v>
      </c>
      <c r="C90" s="6" t="s">
        <v>466</v>
      </c>
      <c r="D90" s="6" t="s">
        <v>201</v>
      </c>
      <c r="E90" s="6" t="s">
        <v>759</v>
      </c>
      <c r="F90" s="6" t="s">
        <v>744</v>
      </c>
    </row>
    <row r="91" spans="2:6" ht="21.75" customHeight="1" x14ac:dyDescent="0.35">
      <c r="B91" s="14" t="s">
        <v>760</v>
      </c>
      <c r="C91" s="45"/>
      <c r="D91" s="45"/>
      <c r="E91" s="45"/>
      <c r="F91" s="45"/>
    </row>
    <row r="92" spans="2:6" ht="43.5" x14ac:dyDescent="0.35">
      <c r="B92" s="16" t="s">
        <v>428</v>
      </c>
      <c r="C92" s="36" t="s">
        <v>496</v>
      </c>
      <c r="D92" s="36"/>
      <c r="E92" s="207" t="s">
        <v>1249</v>
      </c>
      <c r="F92" s="207" t="s">
        <v>1250</v>
      </c>
    </row>
    <row r="93" spans="2:6" ht="21.75" customHeight="1" x14ac:dyDescent="0.35">
      <c r="B93" s="14" t="s">
        <v>429</v>
      </c>
      <c r="C93" s="45"/>
      <c r="D93" s="45"/>
      <c r="E93" s="149"/>
      <c r="F93" s="149"/>
    </row>
    <row r="94" spans="2:6" ht="43.5" x14ac:dyDescent="0.35">
      <c r="B94" s="16" t="s">
        <v>761</v>
      </c>
      <c r="C94" s="47" t="s">
        <v>496</v>
      </c>
      <c r="D94" s="47"/>
      <c r="E94" s="207" t="s">
        <v>1251</v>
      </c>
      <c r="F94" s="207" t="s">
        <v>1252</v>
      </c>
    </row>
    <row r="95" spans="2:6" ht="29" x14ac:dyDescent="0.35">
      <c r="B95" s="14" t="s">
        <v>762</v>
      </c>
      <c r="C95" s="45"/>
      <c r="D95" s="45"/>
      <c r="E95" s="45"/>
      <c r="F95" s="45"/>
    </row>
    <row r="96" spans="2:6" ht="21.75" customHeight="1" x14ac:dyDescent="0.35">
      <c r="B96" s="16" t="s">
        <v>430</v>
      </c>
      <c r="C96" s="47"/>
      <c r="D96" s="47"/>
      <c r="E96" s="47"/>
      <c r="F96" s="47"/>
    </row>
    <row r="97" spans="2:7" x14ac:dyDescent="0.35">
      <c r="B97" s="14" t="s">
        <v>431</v>
      </c>
      <c r="C97" s="45"/>
      <c r="D97" s="45"/>
      <c r="E97" s="45"/>
      <c r="F97" s="45"/>
    </row>
    <row r="99" spans="2:7" ht="24" customHeight="1" x14ac:dyDescent="0.35">
      <c r="B99" s="258" t="s">
        <v>763</v>
      </c>
      <c r="C99" s="258"/>
      <c r="D99" s="258"/>
      <c r="E99" s="258"/>
      <c r="F99" s="258"/>
      <c r="G99" s="258"/>
    </row>
    <row r="100" spans="2:7" ht="27.75" customHeight="1" x14ac:dyDescent="0.35">
      <c r="B100" s="6" t="s">
        <v>142</v>
      </c>
      <c r="C100" s="6" t="s">
        <v>764</v>
      </c>
      <c r="D100" s="6" t="s">
        <v>765</v>
      </c>
      <c r="E100" s="6" t="s">
        <v>766</v>
      </c>
      <c r="F100" s="6" t="s">
        <v>767</v>
      </c>
      <c r="G100" s="6" t="s">
        <v>768</v>
      </c>
    </row>
    <row r="101" spans="2:7" ht="25.5" customHeight="1" x14ac:dyDescent="0.35">
      <c r="B101" s="48" t="s">
        <v>153</v>
      </c>
      <c r="C101" s="26" t="s">
        <v>89</v>
      </c>
      <c r="D101" s="69" t="s">
        <v>769</v>
      </c>
      <c r="E101" s="49">
        <v>3</v>
      </c>
      <c r="F101" s="36" t="s">
        <v>277</v>
      </c>
      <c r="G101" s="5" t="s">
        <v>1254</v>
      </c>
    </row>
    <row r="102" spans="2:7" ht="25.5" customHeight="1" x14ac:dyDescent="0.35">
      <c r="B102" s="50" t="s">
        <v>154</v>
      </c>
      <c r="C102" s="26" t="s">
        <v>93</v>
      </c>
      <c r="D102" s="68" t="s">
        <v>771</v>
      </c>
      <c r="E102" s="49">
        <v>2</v>
      </c>
      <c r="F102" s="36" t="s">
        <v>282</v>
      </c>
      <c r="G102" s="5" t="s">
        <v>1255</v>
      </c>
    </row>
    <row r="103" spans="2:7" ht="25.5" customHeight="1" x14ac:dyDescent="0.35">
      <c r="B103" s="48" t="s">
        <v>155</v>
      </c>
      <c r="C103" s="26" t="s">
        <v>89</v>
      </c>
      <c r="D103" s="69" t="s">
        <v>773</v>
      </c>
      <c r="E103" s="49">
        <v>3</v>
      </c>
      <c r="F103" s="36" t="s">
        <v>277</v>
      </c>
      <c r="G103" s="5" t="s">
        <v>1256</v>
      </c>
    </row>
    <row r="104" spans="2:7" ht="25.5" customHeight="1" x14ac:dyDescent="0.35">
      <c r="B104" s="50" t="s">
        <v>156</v>
      </c>
      <c r="C104" s="26" t="s">
        <v>93</v>
      </c>
      <c r="D104" s="68" t="s">
        <v>775</v>
      </c>
      <c r="E104" s="49">
        <v>2</v>
      </c>
      <c r="F104" s="36" t="s">
        <v>282</v>
      </c>
      <c r="G104" s="5" t="s">
        <v>1257</v>
      </c>
    </row>
    <row r="105" spans="2:7" ht="25.5" customHeight="1" x14ac:dyDescent="0.35">
      <c r="B105" s="48" t="s">
        <v>157</v>
      </c>
      <c r="C105" s="26" t="s">
        <v>93</v>
      </c>
      <c r="D105" s="67" t="s">
        <v>777</v>
      </c>
      <c r="E105" s="49">
        <v>2</v>
      </c>
      <c r="F105" s="36" t="s">
        <v>282</v>
      </c>
      <c r="G105" s="5" t="s">
        <v>1258</v>
      </c>
    </row>
    <row r="106" spans="2:7" ht="25.5" customHeight="1" x14ac:dyDescent="0.35">
      <c r="B106" s="50" t="s">
        <v>158</v>
      </c>
      <c r="C106" s="26" t="s">
        <v>93</v>
      </c>
      <c r="D106" s="68" t="s">
        <v>779</v>
      </c>
      <c r="E106" s="49">
        <v>2</v>
      </c>
      <c r="F106" s="36" t="s">
        <v>282</v>
      </c>
      <c r="G106" s="5" t="s">
        <v>1259</v>
      </c>
    </row>
    <row r="107" spans="2:7" ht="25.5" customHeight="1" x14ac:dyDescent="0.35">
      <c r="B107" s="48" t="s">
        <v>159</v>
      </c>
      <c r="C107" s="26" t="s">
        <v>93</v>
      </c>
      <c r="D107" s="67" t="s">
        <v>781</v>
      </c>
      <c r="E107" s="49">
        <v>2</v>
      </c>
      <c r="F107" s="36" t="s">
        <v>282</v>
      </c>
      <c r="G107" s="5" t="s">
        <v>1260</v>
      </c>
    </row>
    <row r="108" spans="2:7" ht="25.5" customHeight="1" x14ac:dyDescent="0.35">
      <c r="B108" s="50" t="s">
        <v>160</v>
      </c>
      <c r="C108" s="26" t="s">
        <v>89</v>
      </c>
      <c r="D108" s="74" t="s">
        <v>783</v>
      </c>
      <c r="E108" s="49">
        <v>3</v>
      </c>
      <c r="F108" s="36" t="s">
        <v>277</v>
      </c>
      <c r="G108" s="5" t="s">
        <v>1261</v>
      </c>
    </row>
    <row r="109" spans="2:7" ht="43.5" x14ac:dyDescent="0.35">
      <c r="B109" s="48" t="s">
        <v>161</v>
      </c>
      <c r="C109" s="26" t="s">
        <v>89</v>
      </c>
      <c r="D109" s="69" t="s">
        <v>785</v>
      </c>
      <c r="E109" s="49">
        <v>3</v>
      </c>
      <c r="F109" s="36" t="s">
        <v>277</v>
      </c>
      <c r="G109" s="5" t="s">
        <v>1262</v>
      </c>
    </row>
    <row r="110" spans="2:7" ht="25.5" customHeight="1" x14ac:dyDescent="0.35">
      <c r="B110" s="50" t="s">
        <v>162</v>
      </c>
      <c r="C110" s="26" t="s">
        <v>89</v>
      </c>
      <c r="D110" s="74" t="s">
        <v>787</v>
      </c>
      <c r="E110" s="49">
        <v>3</v>
      </c>
      <c r="F110" s="36" t="s">
        <v>277</v>
      </c>
      <c r="G110" s="5" t="s">
        <v>1263</v>
      </c>
    </row>
    <row r="111" spans="2:7" ht="25.5" customHeight="1" x14ac:dyDescent="0.35">
      <c r="B111" s="48" t="s">
        <v>163</v>
      </c>
      <c r="C111" s="26" t="s">
        <v>93</v>
      </c>
      <c r="D111" s="67" t="s">
        <v>789</v>
      </c>
      <c r="E111" s="49">
        <v>2</v>
      </c>
      <c r="F111" s="36" t="s">
        <v>282</v>
      </c>
      <c r="G111" s="5" t="s">
        <v>1264</v>
      </c>
    </row>
    <row r="112" spans="2:7" ht="25.5" customHeight="1" x14ac:dyDescent="0.35">
      <c r="B112" s="50" t="s">
        <v>164</v>
      </c>
      <c r="C112" s="26" t="s">
        <v>89</v>
      </c>
      <c r="D112" s="74" t="s">
        <v>791</v>
      </c>
      <c r="E112" s="49">
        <v>3</v>
      </c>
      <c r="F112" s="36" t="s">
        <v>277</v>
      </c>
      <c r="G112" s="5" t="s">
        <v>1265</v>
      </c>
    </row>
    <row r="113" spans="2:7" ht="25.5" customHeight="1" x14ac:dyDescent="0.35">
      <c r="B113" s="48" t="s">
        <v>165</v>
      </c>
      <c r="C113" s="26" t="s">
        <v>89</v>
      </c>
      <c r="D113" s="69" t="s">
        <v>793</v>
      </c>
      <c r="E113" s="49">
        <v>3</v>
      </c>
      <c r="F113" s="36" t="s">
        <v>277</v>
      </c>
      <c r="G113" s="5" t="s">
        <v>1266</v>
      </c>
    </row>
    <row r="114" spans="2:7" ht="25.5" customHeight="1" x14ac:dyDescent="0.35">
      <c r="B114" s="50" t="s">
        <v>166</v>
      </c>
      <c r="C114" s="26" t="s">
        <v>89</v>
      </c>
      <c r="D114" s="74" t="s">
        <v>795</v>
      </c>
      <c r="E114" s="49">
        <v>3</v>
      </c>
      <c r="F114" s="36" t="s">
        <v>277</v>
      </c>
      <c r="G114" s="5" t="s">
        <v>1267</v>
      </c>
    </row>
    <row r="115" spans="2:7" ht="25.5" customHeight="1" x14ac:dyDescent="0.35">
      <c r="B115" s="48" t="s">
        <v>167</v>
      </c>
      <c r="C115" s="26" t="s">
        <v>89</v>
      </c>
      <c r="D115" s="69" t="s">
        <v>797</v>
      </c>
      <c r="E115" s="49">
        <v>3</v>
      </c>
      <c r="F115" s="36" t="s">
        <v>277</v>
      </c>
      <c r="G115" s="5" t="s">
        <v>1268</v>
      </c>
    </row>
    <row r="116" spans="2:7" ht="25.5" customHeight="1" x14ac:dyDescent="0.35">
      <c r="B116" s="50" t="s">
        <v>168</v>
      </c>
      <c r="C116" s="26" t="s">
        <v>86</v>
      </c>
      <c r="D116" s="74" t="s">
        <v>799</v>
      </c>
      <c r="E116" s="49">
        <v>4</v>
      </c>
      <c r="F116" s="36" t="s">
        <v>271</v>
      </c>
      <c r="G116" s="5" t="s">
        <v>1269</v>
      </c>
    </row>
    <row r="117" spans="2:7" ht="25.5" customHeight="1" x14ac:dyDescent="0.35">
      <c r="B117" s="48" t="s">
        <v>169</v>
      </c>
      <c r="C117" s="26" t="s">
        <v>89</v>
      </c>
      <c r="D117" s="69" t="s">
        <v>801</v>
      </c>
      <c r="E117" s="49">
        <v>3</v>
      </c>
      <c r="F117" s="36" t="s">
        <v>277</v>
      </c>
      <c r="G117" s="5" t="s">
        <v>1270</v>
      </c>
    </row>
    <row r="118" spans="2:7" ht="43.5" x14ac:dyDescent="0.35">
      <c r="B118" s="50" t="s">
        <v>170</v>
      </c>
      <c r="C118" s="26" t="s">
        <v>89</v>
      </c>
      <c r="D118" s="74" t="s">
        <v>803</v>
      </c>
      <c r="E118" s="49">
        <v>3</v>
      </c>
      <c r="F118" s="36" t="s">
        <v>277</v>
      </c>
      <c r="G118" s="5" t="s">
        <v>1271</v>
      </c>
    </row>
    <row r="119" spans="2:7" ht="58" x14ac:dyDescent="0.35">
      <c r="B119" s="50" t="s">
        <v>172</v>
      </c>
      <c r="C119" s="26" t="s">
        <v>86</v>
      </c>
      <c r="D119" s="74" t="s">
        <v>805</v>
      </c>
      <c r="E119" s="49">
        <v>4</v>
      </c>
      <c r="F119" s="36" t="s">
        <v>271</v>
      </c>
      <c r="G119" s="5" t="s">
        <v>1272</v>
      </c>
    </row>
    <row r="120" spans="2:7" ht="73.5" customHeight="1" x14ac:dyDescent="0.35">
      <c r="B120" s="50" t="s">
        <v>173</v>
      </c>
      <c r="C120" s="26" t="s">
        <v>89</v>
      </c>
      <c r="D120" s="74" t="s">
        <v>807</v>
      </c>
      <c r="E120" s="49">
        <v>3</v>
      </c>
      <c r="F120" s="36" t="s">
        <v>277</v>
      </c>
      <c r="G120" s="5" t="s">
        <v>1273</v>
      </c>
    </row>
    <row r="121" spans="2:7" ht="73.5" customHeight="1" x14ac:dyDescent="0.35">
      <c r="B121" s="50" t="s">
        <v>174</v>
      </c>
      <c r="C121" s="26" t="s">
        <v>89</v>
      </c>
      <c r="D121" s="74" t="s">
        <v>808</v>
      </c>
      <c r="E121" s="49">
        <v>3</v>
      </c>
      <c r="F121" s="36" t="s">
        <v>277</v>
      </c>
      <c r="G121" s="5" t="s">
        <v>1275</v>
      </c>
    </row>
    <row r="122" spans="2:7" ht="73.5" customHeight="1" x14ac:dyDescent="0.35">
      <c r="B122" s="216" t="s">
        <v>175</v>
      </c>
      <c r="C122" s="26" t="s">
        <v>86</v>
      </c>
      <c r="D122" s="218" t="s">
        <v>809</v>
      </c>
      <c r="E122" s="49">
        <v>4</v>
      </c>
      <c r="F122" s="36" t="s">
        <v>271</v>
      </c>
      <c r="G122" s="5" t="s">
        <v>1277</v>
      </c>
    </row>
    <row r="124" spans="2:7" ht="24" customHeight="1" x14ac:dyDescent="0.35">
      <c r="B124" s="100" t="s">
        <v>810</v>
      </c>
      <c r="C124" s="100"/>
      <c r="D124" s="100"/>
    </row>
    <row r="125" spans="2:7" ht="21.75" customHeight="1" x14ac:dyDescent="0.35">
      <c r="B125" s="6" t="s">
        <v>811</v>
      </c>
      <c r="C125" s="6" t="s">
        <v>812</v>
      </c>
      <c r="D125" s="6" t="s">
        <v>736</v>
      </c>
    </row>
    <row r="126" spans="2:7" ht="21.75" customHeight="1" x14ac:dyDescent="0.35">
      <c r="B126" s="13" t="s">
        <v>813</v>
      </c>
      <c r="C126" s="64" t="s">
        <v>496</v>
      </c>
      <c r="D126" s="1" t="s">
        <v>1278</v>
      </c>
    </row>
    <row r="127" spans="2:7" ht="21.75" customHeight="1" x14ac:dyDescent="0.35">
      <c r="B127" s="15" t="s">
        <v>814</v>
      </c>
      <c r="C127" s="64" t="s">
        <v>1279</v>
      </c>
      <c r="D127" s="1" t="s">
        <v>1280</v>
      </c>
    </row>
    <row r="128" spans="2:7" ht="21.75" customHeight="1" x14ac:dyDescent="0.35">
      <c r="B128" s="13" t="s">
        <v>817</v>
      </c>
      <c r="C128" s="64" t="s">
        <v>496</v>
      </c>
      <c r="D128" s="1" t="s">
        <v>1281</v>
      </c>
    </row>
    <row r="129" spans="2:6" ht="21.75" customHeight="1" x14ac:dyDescent="0.35">
      <c r="B129" s="15" t="s">
        <v>818</v>
      </c>
      <c r="C129" s="64"/>
    </row>
    <row r="130" spans="2:6" ht="21.75" customHeight="1" x14ac:dyDescent="0.35">
      <c r="B130" s="13" t="s">
        <v>819</v>
      </c>
      <c r="C130" s="64"/>
    </row>
    <row r="131" spans="2:6" ht="21.75" customHeight="1" x14ac:dyDescent="0.35">
      <c r="B131" s="15" t="s">
        <v>820</v>
      </c>
      <c r="C131" s="64" t="s">
        <v>1282</v>
      </c>
      <c r="D131" s="1" t="s">
        <v>1283</v>
      </c>
    </row>
    <row r="132" spans="2:6" ht="27.75" customHeight="1" x14ac:dyDescent="0.35">
      <c r="B132" s="122" t="s">
        <v>821</v>
      </c>
      <c r="C132" s="64" t="s">
        <v>1284</v>
      </c>
      <c r="D132" s="1" t="s">
        <v>1285</v>
      </c>
    </row>
    <row r="133" spans="2:6" ht="21.75" customHeight="1" x14ac:dyDescent="0.35">
      <c r="B133" s="123" t="s">
        <v>822</v>
      </c>
      <c r="C133" s="109" t="s">
        <v>1286</v>
      </c>
      <c r="D133" s="109" t="s">
        <v>1287</v>
      </c>
    </row>
    <row r="135" spans="2:6" ht="24" customHeight="1" x14ac:dyDescent="0.35">
      <c r="B135" s="100" t="s">
        <v>823</v>
      </c>
      <c r="C135" s="100"/>
      <c r="D135" s="100"/>
      <c r="E135" s="100"/>
      <c r="F135" s="100"/>
    </row>
    <row r="136" spans="2:6" ht="21.75" customHeight="1" x14ac:dyDescent="0.35">
      <c r="B136" s="6" t="s">
        <v>824</v>
      </c>
      <c r="C136" s="6" t="s">
        <v>825</v>
      </c>
      <c r="D136" s="6" t="s">
        <v>826</v>
      </c>
      <c r="E136" s="6" t="s">
        <v>827</v>
      </c>
      <c r="F136" s="6" t="s">
        <v>269</v>
      </c>
    </row>
    <row r="137" spans="2:6" ht="21.75" customHeight="1" x14ac:dyDescent="0.35">
      <c r="B137" s="44" t="s">
        <v>828</v>
      </c>
      <c r="C137" s="99" t="s">
        <v>1288</v>
      </c>
      <c r="D137" s="45" t="s">
        <v>86</v>
      </c>
      <c r="E137" s="14" t="s">
        <v>1289</v>
      </c>
      <c r="F137" s="45" t="s">
        <v>277</v>
      </c>
    </row>
    <row r="138" spans="2:6" ht="21.75" customHeight="1" x14ac:dyDescent="0.35">
      <c r="B138" s="46" t="s">
        <v>830</v>
      </c>
      <c r="C138" s="99"/>
      <c r="D138" s="45"/>
      <c r="E138" s="16"/>
      <c r="F138" s="45"/>
    </row>
    <row r="139" spans="2:6" ht="21.75" customHeight="1" x14ac:dyDescent="0.35">
      <c r="B139" s="44" t="s">
        <v>831</v>
      </c>
      <c r="C139" s="99"/>
      <c r="D139" s="45"/>
      <c r="E139" s="14"/>
      <c r="F139" s="45"/>
    </row>
    <row r="140" spans="2:6" ht="21.75" customHeight="1" x14ac:dyDescent="0.35">
      <c r="B140" s="46" t="s">
        <v>832</v>
      </c>
      <c r="C140" s="99"/>
      <c r="D140" s="45"/>
      <c r="E140" s="16"/>
      <c r="F140" s="45"/>
    </row>
    <row r="141" spans="2:6" ht="21.75" customHeight="1" x14ac:dyDescent="0.35">
      <c r="B141" s="14" t="s">
        <v>833</v>
      </c>
      <c r="C141" s="99"/>
      <c r="D141" s="45"/>
      <c r="E141" s="14"/>
      <c r="F141" s="45"/>
    </row>
    <row r="142" spans="2:6" ht="30" customHeight="1" x14ac:dyDescent="0.35">
      <c r="B142" s="16" t="s">
        <v>834</v>
      </c>
      <c r="C142" s="99"/>
      <c r="D142" s="45"/>
      <c r="E142" s="16"/>
      <c r="F142" s="45"/>
    </row>
    <row r="143" spans="2:6" ht="21.75" customHeight="1" x14ac:dyDescent="0.35">
      <c r="B143" s="44" t="s">
        <v>835</v>
      </c>
      <c r="C143" s="99" t="s">
        <v>1292</v>
      </c>
      <c r="D143" s="45" t="s">
        <v>89</v>
      </c>
      <c r="E143" s="14" t="s">
        <v>1293</v>
      </c>
      <c r="F143" s="45" t="s">
        <v>271</v>
      </c>
    </row>
    <row r="144" spans="2:6" ht="21.75" customHeight="1" x14ac:dyDescent="0.35">
      <c r="B144" s="46" t="s">
        <v>836</v>
      </c>
      <c r="C144" s="99"/>
      <c r="D144" s="45"/>
      <c r="E144" s="16"/>
      <c r="F144" s="45"/>
    </row>
    <row r="145" spans="2:7" ht="21.75" customHeight="1" x14ac:dyDescent="0.35">
      <c r="B145" s="44" t="s">
        <v>837</v>
      </c>
      <c r="C145" s="99"/>
      <c r="D145" s="45"/>
      <c r="E145" s="14"/>
      <c r="F145" s="45"/>
    </row>
    <row r="146" spans="2:7" ht="21.75" customHeight="1" x14ac:dyDescent="0.35">
      <c r="B146" s="46" t="s">
        <v>838</v>
      </c>
      <c r="C146" s="99" t="s">
        <v>1294</v>
      </c>
      <c r="D146" s="45" t="s">
        <v>89</v>
      </c>
      <c r="E146" s="16" t="s">
        <v>1295</v>
      </c>
      <c r="F146" s="45" t="s">
        <v>271</v>
      </c>
    </row>
    <row r="148" spans="2:7" ht="24" customHeight="1" x14ac:dyDescent="0.35">
      <c r="B148" s="258" t="s">
        <v>841</v>
      </c>
      <c r="C148" s="258"/>
      <c r="D148" s="258"/>
      <c r="E148" s="258"/>
      <c r="F148" s="258"/>
      <c r="G148" s="258"/>
    </row>
    <row r="149" spans="2:7" ht="21.75" customHeight="1" x14ac:dyDescent="0.35">
      <c r="B149" s="6" t="s">
        <v>842</v>
      </c>
      <c r="C149" s="6" t="s">
        <v>843</v>
      </c>
    </row>
    <row r="150" spans="2:7" ht="21.75" customHeight="1" x14ac:dyDescent="0.35">
      <c r="B150" s="13" t="s">
        <v>844</v>
      </c>
      <c r="C150" s="251" t="s">
        <v>283</v>
      </c>
      <c r="D150" s="251"/>
      <c r="E150" s="251"/>
      <c r="F150" s="251"/>
      <c r="G150" s="251"/>
    </row>
    <row r="151" spans="2:7" ht="21.75" customHeight="1" x14ac:dyDescent="0.35">
      <c r="B151" s="15" t="s">
        <v>846</v>
      </c>
      <c r="C151" s="251" t="s">
        <v>496</v>
      </c>
      <c r="D151" s="251"/>
      <c r="E151" s="251"/>
      <c r="F151" s="251"/>
      <c r="G151" s="251"/>
    </row>
    <row r="152" spans="2:7" ht="21.75" customHeight="1" x14ac:dyDescent="0.35">
      <c r="B152" s="13" t="s">
        <v>847</v>
      </c>
      <c r="C152" s="251" t="s">
        <v>496</v>
      </c>
      <c r="D152" s="251"/>
      <c r="E152" s="251"/>
      <c r="F152" s="251"/>
      <c r="G152" s="251"/>
    </row>
    <row r="153" spans="2:7" ht="21.75" customHeight="1" x14ac:dyDescent="0.35">
      <c r="B153" s="15" t="s">
        <v>848</v>
      </c>
      <c r="C153" s="251" t="s">
        <v>485</v>
      </c>
      <c r="D153" s="251"/>
      <c r="E153" s="251"/>
      <c r="F153" s="251"/>
      <c r="G153" s="251"/>
    </row>
    <row r="154" spans="2:7" ht="21.75" customHeight="1" x14ac:dyDescent="0.35">
      <c r="B154" s="13" t="s">
        <v>849</v>
      </c>
      <c r="C154" s="251" t="s">
        <v>1296</v>
      </c>
      <c r="D154" s="251"/>
      <c r="E154" s="251"/>
      <c r="F154" s="251"/>
      <c r="G154" s="251"/>
    </row>
    <row r="155" spans="2:7" ht="21.75" customHeight="1" x14ac:dyDescent="0.35">
      <c r="B155" s="15" t="s">
        <v>850</v>
      </c>
      <c r="C155" s="251" t="s">
        <v>496</v>
      </c>
      <c r="D155" s="251"/>
      <c r="E155" s="251"/>
      <c r="F155" s="251"/>
      <c r="G155" s="251"/>
    </row>
    <row r="156" spans="2:7" ht="21.75" customHeight="1" x14ac:dyDescent="0.35">
      <c r="B156" s="13" t="s">
        <v>852</v>
      </c>
      <c r="C156" s="251" t="s">
        <v>1297</v>
      </c>
      <c r="D156" s="251"/>
      <c r="E156" s="251"/>
      <c r="F156" s="251"/>
      <c r="G156" s="251"/>
    </row>
    <row r="158" spans="2:7" ht="24" customHeight="1" x14ac:dyDescent="0.35">
      <c r="B158" s="258" t="s">
        <v>854</v>
      </c>
      <c r="C158" s="258"/>
      <c r="D158" s="258"/>
      <c r="E158" s="258"/>
      <c r="F158" s="258"/>
      <c r="G158" s="258"/>
    </row>
    <row r="159" spans="2:7" ht="21.75" customHeight="1" x14ac:dyDescent="0.35">
      <c r="B159" s="6" t="s">
        <v>855</v>
      </c>
      <c r="C159" s="6" t="s">
        <v>856</v>
      </c>
    </row>
    <row r="160" spans="2:7" ht="30" customHeight="1" x14ac:dyDescent="0.35">
      <c r="B160" s="51" t="s">
        <v>857</v>
      </c>
      <c r="C160" s="251" t="s">
        <v>1298</v>
      </c>
      <c r="D160" s="251"/>
      <c r="E160" s="251"/>
      <c r="F160" s="251"/>
      <c r="G160" s="251"/>
    </row>
    <row r="161" spans="2:11" ht="30" customHeight="1" x14ac:dyDescent="0.35">
      <c r="B161" s="52" t="s">
        <v>859</v>
      </c>
      <c r="C161" s="251" t="s">
        <v>1299</v>
      </c>
      <c r="D161" s="251"/>
      <c r="E161" s="251"/>
      <c r="F161" s="251"/>
      <c r="G161" s="251"/>
    </row>
    <row r="162" spans="2:11" ht="30" customHeight="1" x14ac:dyDescent="0.35">
      <c r="B162" s="51" t="s">
        <v>861</v>
      </c>
      <c r="C162" s="251" t="s">
        <v>1300</v>
      </c>
      <c r="D162" s="251"/>
      <c r="E162" s="251"/>
      <c r="F162" s="251"/>
      <c r="G162" s="251"/>
    </row>
    <row r="163" spans="2:11" ht="30" customHeight="1" x14ac:dyDescent="0.35">
      <c r="B163" s="52" t="s">
        <v>863</v>
      </c>
      <c r="C163" s="251" t="s">
        <v>1301</v>
      </c>
      <c r="D163" s="251"/>
      <c r="E163" s="251"/>
      <c r="F163" s="251"/>
      <c r="G163" s="251"/>
    </row>
    <row r="164" spans="2:11" ht="30" customHeight="1" x14ac:dyDescent="0.35">
      <c r="B164" s="51" t="s">
        <v>865</v>
      </c>
      <c r="C164" s="251" t="s">
        <v>1302</v>
      </c>
      <c r="D164" s="251"/>
      <c r="E164" s="251"/>
      <c r="F164" s="251"/>
      <c r="G164" s="251"/>
    </row>
    <row r="165" spans="2:11" ht="30" customHeight="1" x14ac:dyDescent="0.35">
      <c r="B165" s="52" t="s">
        <v>867</v>
      </c>
      <c r="C165" s="251" t="s">
        <v>1303</v>
      </c>
      <c r="D165" s="251"/>
      <c r="E165" s="251"/>
      <c r="F165" s="251"/>
      <c r="G165" s="251"/>
    </row>
    <row r="166" spans="2:11" ht="30" customHeight="1" x14ac:dyDescent="0.35">
      <c r="B166" s="51" t="s">
        <v>868</v>
      </c>
      <c r="C166" s="251" t="s">
        <v>1304</v>
      </c>
      <c r="D166" s="251"/>
      <c r="E166" s="251"/>
      <c r="F166" s="251"/>
      <c r="G166" s="251"/>
    </row>
    <row r="167" spans="2:11" ht="30" customHeight="1" x14ac:dyDescent="0.35">
      <c r="B167" s="52" t="s">
        <v>870</v>
      </c>
      <c r="C167" s="256" t="s">
        <v>1305</v>
      </c>
      <c r="D167" s="257"/>
      <c r="E167" s="257"/>
      <c r="F167" s="257"/>
      <c r="G167" s="257"/>
    </row>
    <row r="168" spans="2:11" ht="30" customHeight="1" x14ac:dyDescent="0.35">
      <c r="B168" s="51" t="s">
        <v>872</v>
      </c>
      <c r="C168" s="251" t="s">
        <v>1306</v>
      </c>
      <c r="D168" s="251"/>
      <c r="E168" s="251"/>
      <c r="F168" s="251"/>
      <c r="G168" s="251"/>
    </row>
    <row r="170" spans="2:11" ht="24.75" customHeight="1" x14ac:dyDescent="0.35">
      <c r="B170" s="255" t="s">
        <v>874</v>
      </c>
      <c r="C170" s="255"/>
      <c r="D170" s="255"/>
      <c r="E170" s="255"/>
      <c r="F170" s="255"/>
      <c r="G170" s="255"/>
      <c r="H170" s="238"/>
      <c r="I170" s="124" t="s">
        <v>877</v>
      </c>
      <c r="J170" s="124" t="s">
        <v>878</v>
      </c>
      <c r="K170" s="124" t="s">
        <v>879</v>
      </c>
    </row>
    <row r="171" spans="2:11" ht="32.25" customHeight="1" x14ac:dyDescent="0.35">
      <c r="B171" s="92" t="s">
        <v>268</v>
      </c>
      <c r="C171" s="93"/>
      <c r="D171" s="92" t="s">
        <v>875</v>
      </c>
      <c r="E171" s="93"/>
      <c r="F171" s="92" t="s">
        <v>876</v>
      </c>
      <c r="G171" s="93"/>
      <c r="H171" s="238"/>
      <c r="I171" s="125" t="s">
        <v>881</v>
      </c>
      <c r="J171" s="114" t="s">
        <v>882</v>
      </c>
      <c r="K171" s="114" t="s">
        <v>883</v>
      </c>
    </row>
    <row r="172" spans="2:11" ht="26.5" x14ac:dyDescent="0.35">
      <c r="B172" s="94" t="s">
        <v>880</v>
      </c>
      <c r="C172" s="254"/>
      <c r="D172" s="254"/>
      <c r="E172" s="254"/>
      <c r="F172" s="254"/>
      <c r="G172" s="254"/>
      <c r="H172" s="238"/>
      <c r="I172" s="125" t="s">
        <v>885</v>
      </c>
      <c r="J172" s="114" t="s">
        <v>886</v>
      </c>
      <c r="K172" s="114" t="s">
        <v>887</v>
      </c>
    </row>
    <row r="173" spans="2:11" x14ac:dyDescent="0.35">
      <c r="B173" s="92" t="s">
        <v>884</v>
      </c>
      <c r="C173" s="254"/>
      <c r="D173" s="254"/>
      <c r="E173" s="254"/>
      <c r="F173" s="254"/>
      <c r="G173" s="254"/>
      <c r="H173" s="238"/>
      <c r="I173" s="125" t="s">
        <v>889</v>
      </c>
      <c r="J173" s="114" t="s">
        <v>890</v>
      </c>
      <c r="K173" s="114" t="s">
        <v>891</v>
      </c>
    </row>
    <row r="174" spans="2:11" ht="26.5" x14ac:dyDescent="0.35">
      <c r="B174" s="94" t="s">
        <v>888</v>
      </c>
      <c r="C174" s="254"/>
      <c r="D174" s="254"/>
      <c r="E174" s="254"/>
      <c r="F174" s="254"/>
      <c r="G174" s="254"/>
      <c r="H174" s="238"/>
      <c r="I174" s="125" t="s">
        <v>894</v>
      </c>
      <c r="J174" s="114" t="s">
        <v>895</v>
      </c>
      <c r="K174" s="114" t="s">
        <v>896</v>
      </c>
    </row>
    <row r="175" spans="2:11" ht="29.25" customHeight="1" x14ac:dyDescent="0.35">
      <c r="B175" s="92" t="s">
        <v>892</v>
      </c>
      <c r="C175" s="256" t="s">
        <v>1051</v>
      </c>
      <c r="D175" s="257"/>
      <c r="E175" s="257"/>
      <c r="F175" s="257"/>
      <c r="G175" s="257"/>
      <c r="H175" s="238"/>
      <c r="I175" s="125" t="s">
        <v>898</v>
      </c>
      <c r="J175" s="114" t="s">
        <v>899</v>
      </c>
      <c r="K175" s="114" t="s">
        <v>900</v>
      </c>
    </row>
    <row r="176" spans="2:11" x14ac:dyDescent="0.35">
      <c r="B176" s="92" t="s">
        <v>897</v>
      </c>
      <c r="C176" s="254"/>
      <c r="D176" s="254"/>
      <c r="E176" s="254"/>
      <c r="F176" s="254"/>
      <c r="G176" s="254"/>
      <c r="H176" s="238"/>
      <c r="I176" s="125" t="s">
        <v>904</v>
      </c>
      <c r="J176" s="114" t="s">
        <v>905</v>
      </c>
      <c r="K176" s="114" t="s">
        <v>906</v>
      </c>
    </row>
    <row r="177" spans="2:11" ht="26.5" x14ac:dyDescent="0.35">
      <c r="B177" s="94" t="s">
        <v>901</v>
      </c>
      <c r="C177" s="93"/>
      <c r="D177" s="92" t="s">
        <v>902</v>
      </c>
      <c r="E177" s="93"/>
      <c r="F177" s="92" t="s">
        <v>903</v>
      </c>
      <c r="G177" s="93"/>
      <c r="H177" s="238"/>
      <c r="I177" s="125" t="s">
        <v>910</v>
      </c>
      <c r="J177" s="114" t="s">
        <v>911</v>
      </c>
      <c r="K177" s="114" t="s">
        <v>912</v>
      </c>
    </row>
    <row r="178" spans="2:11" ht="29" x14ac:dyDescent="0.35">
      <c r="B178" s="92" t="s">
        <v>907</v>
      </c>
      <c r="C178" s="93"/>
      <c r="D178" s="92" t="s">
        <v>908</v>
      </c>
      <c r="E178" s="93"/>
      <c r="F178" s="92" t="s">
        <v>909</v>
      </c>
      <c r="G178" s="93"/>
      <c r="H178" s="238"/>
      <c r="I178" s="125" t="s">
        <v>916</v>
      </c>
      <c r="J178" s="114" t="s">
        <v>917</v>
      </c>
      <c r="K178" s="114" t="s">
        <v>918</v>
      </c>
    </row>
    <row r="179" spans="2:11" x14ac:dyDescent="0.35">
      <c r="B179" s="94" t="s">
        <v>913</v>
      </c>
      <c r="C179" s="93"/>
      <c r="D179" s="92" t="s">
        <v>914</v>
      </c>
      <c r="E179" s="93"/>
      <c r="F179" s="92" t="s">
        <v>915</v>
      </c>
      <c r="G179" s="93"/>
      <c r="H179" s="238"/>
    </row>
    <row r="180" spans="2:11" x14ac:dyDescent="0.35">
      <c r="B180" s="92" t="s">
        <v>919</v>
      </c>
      <c r="C180" s="254"/>
      <c r="D180" s="254"/>
      <c r="E180" s="254"/>
      <c r="F180" s="254"/>
      <c r="G180" s="254"/>
      <c r="H180" s="238"/>
      <c r="I180" s="238"/>
      <c r="J180" s="238"/>
      <c r="K180" s="238"/>
    </row>
    <row r="181" spans="2:11" x14ac:dyDescent="0.35">
      <c r="B181" s="94" t="s">
        <v>920</v>
      </c>
      <c r="C181" s="254"/>
      <c r="D181" s="254"/>
      <c r="E181" s="254"/>
      <c r="F181" s="254"/>
      <c r="G181" s="254"/>
      <c r="H181" s="238"/>
    </row>
    <row r="182" spans="2:11" ht="29" x14ac:dyDescent="0.35">
      <c r="B182" s="92" t="s">
        <v>921</v>
      </c>
      <c r="C182" s="254"/>
      <c r="D182" s="254"/>
      <c r="E182" s="254"/>
      <c r="F182" s="254"/>
      <c r="G182" s="254"/>
      <c r="H182" s="238"/>
    </row>
  </sheetData>
  <mergeCells count="52">
    <mergeCell ref="C167:G167"/>
    <mergeCell ref="C168:G168"/>
    <mergeCell ref="B2:G2"/>
    <mergeCell ref="B4:G4"/>
    <mergeCell ref="C5:E5"/>
    <mergeCell ref="C6:E6"/>
    <mergeCell ref="C7:E7"/>
    <mergeCell ref="C8:E8"/>
    <mergeCell ref="C9:E9"/>
    <mergeCell ref="C10:E10"/>
    <mergeCell ref="C11:E11"/>
    <mergeCell ref="C12:E12"/>
    <mergeCell ref="B58:C58"/>
    <mergeCell ref="C18:E18"/>
    <mergeCell ref="C19:E19"/>
    <mergeCell ref="C22:E22"/>
    <mergeCell ref="C23:E23"/>
    <mergeCell ref="C24:E24"/>
    <mergeCell ref="B99:G99"/>
    <mergeCell ref="C25:E25"/>
    <mergeCell ref="C27:E27"/>
    <mergeCell ref="C28:E28"/>
    <mergeCell ref="C29:E29"/>
    <mergeCell ref="B148:G148"/>
    <mergeCell ref="C150:G150"/>
    <mergeCell ref="C151:G151"/>
    <mergeCell ref="C152:G152"/>
    <mergeCell ref="C162:G162"/>
    <mergeCell ref="C163:G163"/>
    <mergeCell ref="C164:G164"/>
    <mergeCell ref="C165:G165"/>
    <mergeCell ref="C153:G153"/>
    <mergeCell ref="C154:G154"/>
    <mergeCell ref="C155:G155"/>
    <mergeCell ref="C156:G156"/>
    <mergeCell ref="B158:G158"/>
    <mergeCell ref="C16:E16"/>
    <mergeCell ref="C20:E20"/>
    <mergeCell ref="C21:E21"/>
    <mergeCell ref="C182:G182"/>
    <mergeCell ref="B170:G170"/>
    <mergeCell ref="C172:G172"/>
    <mergeCell ref="C173:G173"/>
    <mergeCell ref="C174:G174"/>
    <mergeCell ref="C175:G175"/>
    <mergeCell ref="C160:G160"/>
    <mergeCell ref="B78:F78"/>
    <mergeCell ref="C176:G176"/>
    <mergeCell ref="C180:G180"/>
    <mergeCell ref="C181:G181"/>
    <mergeCell ref="C166:G166"/>
    <mergeCell ref="C161:G161"/>
  </mergeCells>
  <dataValidations count="7">
    <dataValidation type="list" allowBlank="1" sqref="F34:F38 F41:F47 F50:F52 F55:F56" xr:uid="{00000000-0002-0000-0A00-000003000000}">
      <formula1>"Alta,Media,Baja,Sin mejora"</formula1>
      <formula2>0</formula2>
    </dataValidation>
    <dataValidation type="list" allowBlank="1" sqref="C101:C122" xr:uid="{00000000-0002-0000-0A00-000004000000}">
      <formula1>"Sí,No,Parcial"</formula1>
      <formula2>0</formula2>
    </dataValidation>
    <dataValidation type="list" allowBlank="1" showInputMessage="1" showErrorMessage="1" promptTitle="Seleccione herramienta" prompt="Seleccione una opción de la lista o escriba otra herramienta si aplica." sqref="C146" xr:uid="{A134B7F8-3EB4-48BF-9A0B-4BCB3B01BD7E}">
      <formula1>"API REST,Power Automate,Zapier,Make,Azure Logic Apps,MuleSoft,Boomi,Workato,ServiceNow IntegrationHub,Jira Automation"</formula1>
    </dataValidation>
    <dataValidation type="list" allowBlank="1" showInputMessage="1" showErrorMessage="1" promptTitle="Seleccione herramienta" prompt="Seleccione una opción de la lista o escriba otra herramienta si aplica." sqref="C142" xr:uid="{B3035F4F-11B2-42AD-9574-832202D87C14}">
      <formula1>"Microsoft Teams Phone,Genesys Cloud,Avaya,3CX,Cisco Webex Contact Center,Amazon Connect,Twilio Flex,Five9,NICE CXone,Talkdesk"</formula1>
    </dataValidation>
    <dataValidation allowBlank="1" sqref="C16:E16" xr:uid="{8B428F4F-629C-45B7-91EA-3369A2161FFD}"/>
    <dataValidation type="date" allowBlank="1" showInputMessage="1" showErrorMessage="1" sqref="C9:E9" xr:uid="{C2E68431-4C21-4ABA-94E6-EC5B9FC7ED2A}">
      <formula1>46174</formula1>
      <formula2>46368</formula2>
    </dataValidation>
    <dataValidation allowBlank="1" showInputMessage="1" showErrorMessage="1" sqref="C15" xr:uid="{79EF6B1F-919B-4D00-B9DF-F838D96FB764}"/>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2">
        <x14:dataValidation type="list" allowBlank="1" xr:uid="{4C17C988-EFB4-4323-B980-51B3425A8D0F}">
          <x14:formula1>
            <xm:f>Listas!$D$5:$D$11</xm:f>
          </x14:formula1>
          <x14:formula2>
            <xm:f>0</xm:f>
          </x14:formula2>
          <xm:sqref>C13 C17</xm:sqref>
        </x14:dataValidation>
        <x14:dataValidation type="list" allowBlank="1" xr:uid="{00000000-0002-0000-0A00-000002000000}">
          <x14:formula1>
            <xm:f>Listas!$B$5:$B$9</xm:f>
          </x14:formula1>
          <x14:formula2>
            <xm:f>0</xm:f>
          </x14:formula2>
          <xm:sqref>D34:D38 D41:D47 D50:D52 D55:D56</xm:sqref>
        </x14:dataValidation>
        <x14:dataValidation type="list" allowBlank="1" xr:uid="{00000000-0002-0000-0A00-000005000000}">
          <x14:formula1>
            <xm:f>Listas!$F$5:$F$8</xm:f>
          </x14:formula1>
          <x14:formula2>
            <xm:f>0</xm:f>
          </x14:formula2>
          <xm:sqref>F101:F118</xm:sqref>
        </x14:dataValidation>
        <x14:dataValidation type="list" allowBlank="1" xr:uid="{00000000-0002-0000-0A00-000006000000}">
          <x14:formula1>
            <xm:f>Listas!$L$5:$L$8</xm:f>
          </x14:formula1>
          <x14:formula2>
            <xm:f>0</xm:f>
          </x14:formula2>
          <xm:sqref>C164</xm:sqref>
        </x14:dataValidation>
        <x14:dataValidation type="list" allowBlank="1" showInputMessage="1" showErrorMessage="1" xr:uid="{B4729F01-DCDE-4DC4-919A-EAB816B5E2C2}">
          <x14:formula1>
            <xm:f>Listas!$N$5:$N$11</xm:f>
          </x14:formula1>
          <xm:sqref>C5</xm:sqref>
        </x14:dataValidation>
        <x14:dataValidation type="list" allowBlank="1" showInputMessage="1" showErrorMessage="1" xr:uid="{58A5D88B-B12F-4AEB-8AA5-3AB391382175}">
          <x14:formula1>
            <xm:f>Listas!$P$5:$P$9</xm:f>
          </x14:formula1>
          <xm:sqref>F137:F146</xm:sqref>
        </x14:dataValidation>
        <x14:dataValidation type="list" allowBlank="1" showInputMessage="1" showErrorMessage="1" xr:uid="{5BA9B84D-5CCC-4F91-996D-32ABCCB725DB}">
          <x14:formula1>
            <xm:f>Listas!$R$5:$R$8</xm:f>
          </x14:formula1>
          <xm:sqref>D137:D146</xm:sqref>
        </x14:dataValidation>
        <x14:dataValidation type="list" allowBlank="1" showInputMessage="1" showErrorMessage="1" promptTitle="Seleccione herramienta" prompt="Seleccione una opción de la lista o escriba otra herramienta si aplica." xr:uid="{FF463059-B452-4D82-BC3E-13CDD9A001B6}">
          <x14:formula1>
            <xm:f>Listas!$J$21:$J$35</xm:f>
          </x14:formula1>
          <xm:sqref>C145</xm:sqref>
        </x14:dataValidation>
        <x14:dataValidation type="list" allowBlank="1" showInputMessage="1" showErrorMessage="1" promptTitle="Seleccione herramienta" prompt="Seleccione una opción de la lista o escriba otra herramienta si aplica." xr:uid="{0AAD2D66-1513-4D93-ABFD-69175EBEA241}">
          <x14:formula1>
            <xm:f>Listas!$L$21:$L$35</xm:f>
          </x14:formula1>
          <xm:sqref>C144</xm:sqref>
        </x14:dataValidation>
        <x14:dataValidation type="list" allowBlank="1" showInputMessage="1" showErrorMessage="1" promptTitle="Seleccione herramienta" prompt="Seleccione una opción de la lista o escriba otra herramienta si aplica." xr:uid="{FB2BB415-66F3-42EC-BD27-F4CE20F6CFC6}">
          <x14:formula1>
            <xm:f>Listas!$H$21:$H$35</xm:f>
          </x14:formula1>
          <xm:sqref>C143</xm:sqref>
        </x14:dataValidation>
        <x14:dataValidation type="list" allowBlank="1" showInputMessage="1" showErrorMessage="1" promptTitle="Seleccione herramienta" prompt="Seleccione una opción de la lista o escriba otra herramienta si aplica." xr:uid="{5A1068A2-D16A-4759-A392-4189C7968ED0}">
          <x14:formula1>
            <xm:f>Listas!$N$21:$N$35</xm:f>
          </x14:formula1>
          <xm:sqref>C141</xm:sqref>
        </x14:dataValidation>
        <x14:dataValidation type="list" allowBlank="1" showInputMessage="1" showErrorMessage="1" promptTitle="Seleccione herramienta" prompt="Seleccione una opción de la lista o escriba otra herramienta si aplica." xr:uid="{AA533D0E-DB8E-4740-9E97-037D92899B60}">
          <x14:formula1>
            <xm:f>Listas!$P$21:$P$35</xm:f>
          </x14:formula1>
          <xm:sqref>C140</xm:sqref>
        </x14:dataValidation>
        <x14:dataValidation type="list" allowBlank="1" showInputMessage="1" showErrorMessage="1" promptTitle="Seleccione herramienta" prompt="Seleccione una opción de la lista o escriba otra herramienta si aplica." xr:uid="{71C2600A-A6FE-485B-B0F0-F31DBF5F2C3E}">
          <x14:formula1>
            <xm:f>Listas!$F$21:$F$35</xm:f>
          </x14:formula1>
          <xm:sqref>C139</xm:sqref>
        </x14:dataValidation>
        <x14:dataValidation type="list" allowBlank="1" showInputMessage="1" showErrorMessage="1" promptTitle="Seleccione herramienta" prompt="Seleccione una opción de la lista o escriba otra herramienta si aplica." xr:uid="{5F101F58-BF8B-4B29-BD7F-6B1E861F851B}">
          <x14:formula1>
            <xm:f>Listas!$D$21:$D$35</xm:f>
          </x14:formula1>
          <xm:sqref>C138</xm:sqref>
        </x14:dataValidation>
        <x14:dataValidation type="list" allowBlank="1" showInputMessage="1" showErrorMessage="1" promptTitle="Seleccione herramienta" prompt="Seleccione una opción de la lista o escriba otra herramienta si aplica." xr:uid="{E034CB5D-F2F5-46FB-8776-74AC9BD40640}">
          <x14:formula1>
            <xm:f>Listas!$B$21:$B$35</xm:f>
          </x14:formula1>
          <xm:sqref>C137</xm:sqref>
        </x14:dataValidation>
        <x14:dataValidation type="list" allowBlank="1" showInputMessage="1" showErrorMessage="1" xr:uid="{DE91A76C-0A8C-4F5C-9E74-9B9E11D70488}">
          <x14:formula1>
            <xm:f>Listas!$J$45:$J$49</xm:f>
          </x14:formula1>
          <xm:sqref>C97:D97</xm:sqref>
        </x14:dataValidation>
        <x14:dataValidation type="list" allowBlank="1" showInputMessage="1" showErrorMessage="1" xr:uid="{780B1415-1673-42E5-80B9-FB4EBFC8A26B}">
          <x14:formula1>
            <xm:f>Listas!$H$45:$H$48</xm:f>
          </x14:formula1>
          <xm:sqref>C96:D96</xm:sqref>
        </x14:dataValidation>
        <x14:dataValidation type="list" allowBlank="1" showInputMessage="1" showErrorMessage="1" xr:uid="{F4FEF02A-1560-4D60-9D79-C4DB4218C899}">
          <x14:formula1>
            <xm:f>Listas!$F$45:$F$52</xm:f>
          </x14:formula1>
          <xm:sqref>C93:D93</xm:sqref>
        </x14:dataValidation>
        <x14:dataValidation type="list" allowBlank="1" showInputMessage="1" showErrorMessage="1" xr:uid="{F1879E18-2EB4-4C05-A496-30318E851498}">
          <x14:formula1>
            <xm:f>Listas!$D$45:$D$49</xm:f>
          </x14:formula1>
          <xm:sqref>C92:D92</xm:sqref>
        </x14:dataValidation>
        <x14:dataValidation type="list" allowBlank="1" showInputMessage="1" showErrorMessage="1" xr:uid="{7D2BA583-85E5-4223-A11C-B80B2349BCE6}">
          <x14:formula1>
            <xm:f>Listas!$B$45:$B$48</xm:f>
          </x14:formula1>
          <xm:sqref>C91:D91</xm:sqref>
        </x14:dataValidation>
        <x14:dataValidation type="list" allowBlank="1" showInputMessage="1" showErrorMessage="1" xr:uid="{8986A0F1-0702-4945-BA0A-7B0556163C27}">
          <x14:formula1>
            <xm:f>Listas!$B$53:$B$58</xm:f>
          </x14:formula1>
          <xm:sqref>C132</xm:sqref>
        </x14:dataValidation>
        <x14:dataValidation type="list" allowBlank="1" showInputMessage="1" showErrorMessage="1" xr:uid="{F6081988-D440-49CE-94A2-D65A3C086137}">
          <x14:formula1>
            <xm:f>Listas!$B$12:$B$17</xm:f>
          </x14:formula1>
          <xm:sqref>C14</xm:sqref>
        </x14:dataValidation>
      </x14:dataValidation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A9EA7-32A8-4270-80FB-289E21FDD907}">
  <sheetPr>
    <tabColor rgb="FFD4A017"/>
  </sheetPr>
  <dimension ref="B1:K183"/>
  <sheetViews>
    <sheetView showGridLines="0" zoomScaleNormal="100" workbookViewId="0">
      <pane xSplit="2" ySplit="2" topLeftCell="C3" activePane="bottomRight" state="frozen"/>
      <selection pane="topRight" activeCell="C1" sqref="C1"/>
      <selection pane="bottomLeft" activeCell="A3" sqref="A3"/>
      <selection pane="bottomRight" activeCell="C19" sqref="C19:E19"/>
    </sheetView>
  </sheetViews>
  <sheetFormatPr baseColWidth="10" defaultColWidth="8.54296875" defaultRowHeight="14.5" x14ac:dyDescent="0.35"/>
  <cols>
    <col min="1" max="1" width="3" style="1" customWidth="1"/>
    <col min="2" max="2" width="39.81640625" style="1" customWidth="1"/>
    <col min="3" max="3" width="46.1796875" style="1" customWidth="1"/>
    <col min="4" max="4" width="37.81640625" style="1" customWidth="1"/>
    <col min="5" max="5" width="40" style="1" customWidth="1"/>
    <col min="6" max="6" width="24.7265625" style="1" customWidth="1"/>
    <col min="7" max="7" width="31" style="1" customWidth="1"/>
    <col min="8" max="8" width="8.54296875" style="1"/>
    <col min="9" max="9" width="13.7265625" style="1" customWidth="1"/>
    <col min="10" max="10" width="32.26953125" style="1" customWidth="1"/>
    <col min="11" max="11" width="35.1796875" style="1" customWidth="1"/>
    <col min="12" max="16384" width="8.54296875" style="1"/>
  </cols>
  <sheetData>
    <row r="1" spans="2:11" ht="7.5" customHeight="1" x14ac:dyDescent="0.35"/>
    <row r="2" spans="2:11" ht="30" customHeight="1" x14ac:dyDescent="0.35">
      <c r="B2" s="259" t="s">
        <v>1319</v>
      </c>
      <c r="C2" s="259"/>
      <c r="D2" s="259"/>
      <c r="E2" s="259"/>
      <c r="F2" s="259"/>
      <c r="G2" s="259"/>
    </row>
    <row r="3" spans="2:11" ht="15.5" x14ac:dyDescent="0.35">
      <c r="I3" s="62" t="s">
        <v>60</v>
      </c>
      <c r="J3" s="62"/>
      <c r="K3" s="62"/>
    </row>
    <row r="4" spans="2:11" ht="24" customHeight="1" x14ac:dyDescent="0.35">
      <c r="B4" s="258" t="s">
        <v>647</v>
      </c>
      <c r="C4" s="258"/>
      <c r="D4" s="258"/>
      <c r="E4" s="258"/>
      <c r="F4" s="258"/>
      <c r="G4" s="258"/>
      <c r="I4" s="6" t="s">
        <v>61</v>
      </c>
      <c r="J4" s="6" t="s">
        <v>62</v>
      </c>
      <c r="K4" s="6" t="s">
        <v>22</v>
      </c>
    </row>
    <row r="5" spans="2:11" ht="17" x14ac:dyDescent="0.35">
      <c r="B5" s="37" t="s">
        <v>648</v>
      </c>
      <c r="C5" s="251" t="s">
        <v>281</v>
      </c>
      <c r="D5" s="251"/>
      <c r="E5" s="251"/>
      <c r="I5" s="17" t="s">
        <v>63</v>
      </c>
      <c r="J5" s="18" t="s">
        <v>64</v>
      </c>
      <c r="K5" s="63" t="s">
        <v>65</v>
      </c>
    </row>
    <row r="6" spans="2:11" ht="17.25" customHeight="1" x14ac:dyDescent="0.35">
      <c r="B6" s="37" t="s">
        <v>649</v>
      </c>
      <c r="C6" s="251" t="s">
        <v>1320</v>
      </c>
      <c r="D6" s="251"/>
      <c r="E6" s="251"/>
      <c r="I6" s="19" t="s">
        <v>66</v>
      </c>
      <c r="J6" s="122" t="s">
        <v>67</v>
      </c>
      <c r="K6" s="63" t="s">
        <v>68</v>
      </c>
    </row>
    <row r="7" spans="2:11" ht="17.25" customHeight="1" x14ac:dyDescent="0.35">
      <c r="B7" s="37" t="s">
        <v>651</v>
      </c>
      <c r="C7" s="251" t="s">
        <v>1321</v>
      </c>
      <c r="D7" s="251"/>
      <c r="E7" s="251"/>
      <c r="I7" s="20" t="s">
        <v>69</v>
      </c>
      <c r="J7" s="122" t="s">
        <v>70</v>
      </c>
      <c r="K7" s="63" t="s">
        <v>71</v>
      </c>
    </row>
    <row r="8" spans="2:11" ht="17.25" customHeight="1" x14ac:dyDescent="0.35">
      <c r="B8" s="37" t="s">
        <v>1201</v>
      </c>
      <c r="C8" s="261" t="s">
        <v>1202</v>
      </c>
      <c r="D8" s="262"/>
      <c r="E8" s="262"/>
      <c r="I8" s="21" t="s">
        <v>72</v>
      </c>
      <c r="J8" s="122" t="s">
        <v>73</v>
      </c>
      <c r="K8" s="63" t="s">
        <v>74</v>
      </c>
    </row>
    <row r="9" spans="2:11" ht="17.25" customHeight="1" x14ac:dyDescent="0.35">
      <c r="B9" s="37" t="s">
        <v>655</v>
      </c>
      <c r="C9" s="263">
        <v>46213</v>
      </c>
      <c r="D9" s="264"/>
      <c r="E9" s="264"/>
      <c r="I9" s="22" t="s">
        <v>75</v>
      </c>
      <c r="J9" s="122" t="s">
        <v>76</v>
      </c>
      <c r="K9" s="63" t="s">
        <v>77</v>
      </c>
    </row>
    <row r="10" spans="2:11" x14ac:dyDescent="0.35">
      <c r="B10" s="37" t="s">
        <v>656</v>
      </c>
      <c r="C10" s="251" t="s">
        <v>657</v>
      </c>
      <c r="D10" s="251"/>
      <c r="E10" s="251"/>
    </row>
    <row r="11" spans="2:11" x14ac:dyDescent="0.35">
      <c r="B11" s="37" t="s">
        <v>658</v>
      </c>
      <c r="C11" s="265">
        <v>13</v>
      </c>
      <c r="D11" s="264"/>
      <c r="E11" s="264"/>
      <c r="I11" s="6" t="s">
        <v>659</v>
      </c>
      <c r="J11" s="6" t="s">
        <v>292</v>
      </c>
      <c r="K11" s="6" t="s">
        <v>660</v>
      </c>
    </row>
    <row r="12" spans="2:11" x14ac:dyDescent="0.35">
      <c r="B12" s="37" t="s">
        <v>661</v>
      </c>
      <c r="C12" s="251" t="s">
        <v>283</v>
      </c>
      <c r="D12" s="251"/>
      <c r="E12" s="251"/>
      <c r="I12" s="18" t="s">
        <v>662</v>
      </c>
      <c r="J12" s="63" t="s">
        <v>663</v>
      </c>
      <c r="K12" s="63" t="s">
        <v>664</v>
      </c>
    </row>
    <row r="13" spans="2:11" ht="18.5" x14ac:dyDescent="0.35">
      <c r="B13" s="133" t="s">
        <v>1310</v>
      </c>
      <c r="C13" s="140" t="s">
        <v>66</v>
      </c>
      <c r="D13" s="141" t="s">
        <v>666</v>
      </c>
      <c r="E13" s="70"/>
      <c r="I13" s="122" t="s">
        <v>667</v>
      </c>
      <c r="J13" s="63" t="s">
        <v>668</v>
      </c>
      <c r="K13" s="63" t="s">
        <v>669</v>
      </c>
    </row>
    <row r="14" spans="2:11" ht="15.5" x14ac:dyDescent="0.35">
      <c r="B14" s="133" t="s">
        <v>1311</v>
      </c>
      <c r="C14" s="138" t="s">
        <v>297</v>
      </c>
      <c r="D14" s="141"/>
      <c r="E14" s="70"/>
      <c r="I14" s="122" t="s">
        <v>672</v>
      </c>
      <c r="J14" s="63" t="s">
        <v>673</v>
      </c>
      <c r="K14" s="63" t="s">
        <v>674</v>
      </c>
    </row>
    <row r="15" spans="2:11" ht="15.5" x14ac:dyDescent="0.35">
      <c r="B15" s="133" t="s">
        <v>675</v>
      </c>
      <c r="C15" s="230" t="s">
        <v>1203</v>
      </c>
      <c r="D15" s="141"/>
      <c r="E15" s="70"/>
    </row>
    <row r="16" spans="2:11" ht="15" customHeight="1" x14ac:dyDescent="0.35">
      <c r="B16" s="133" t="s">
        <v>678</v>
      </c>
      <c r="C16" s="251" t="s">
        <v>679</v>
      </c>
      <c r="D16" s="262" t="s">
        <v>666</v>
      </c>
      <c r="E16" s="262"/>
    </row>
    <row r="17" spans="2:6" ht="15" customHeight="1" x14ac:dyDescent="0.35">
      <c r="B17" s="133" t="s">
        <v>1312</v>
      </c>
      <c r="C17" s="38" t="s">
        <v>432</v>
      </c>
      <c r="D17" s="134"/>
    </row>
    <row r="18" spans="2:6" x14ac:dyDescent="0.35">
      <c r="B18" s="37" t="s">
        <v>680</v>
      </c>
      <c r="C18" s="251" t="s">
        <v>1322</v>
      </c>
      <c r="D18" s="251"/>
      <c r="E18" s="251"/>
    </row>
    <row r="19" spans="2:6" ht="51" customHeight="1" x14ac:dyDescent="0.35">
      <c r="B19" s="37" t="s">
        <v>682</v>
      </c>
      <c r="C19" s="251" t="s">
        <v>1323</v>
      </c>
      <c r="D19" s="251"/>
      <c r="E19" s="251"/>
    </row>
    <row r="20" spans="2:6" x14ac:dyDescent="0.35">
      <c r="B20" s="37" t="s">
        <v>684</v>
      </c>
      <c r="C20" s="251"/>
      <c r="D20" s="251"/>
      <c r="E20" s="251"/>
    </row>
    <row r="21" spans="2:6" x14ac:dyDescent="0.35">
      <c r="B21" s="37" t="s">
        <v>686</v>
      </c>
      <c r="C21" s="251"/>
      <c r="D21" s="251"/>
      <c r="E21" s="251"/>
    </row>
    <row r="22" spans="2:6" x14ac:dyDescent="0.35">
      <c r="B22" s="37" t="s">
        <v>688</v>
      </c>
      <c r="C22" s="251"/>
      <c r="D22" s="251"/>
      <c r="E22" s="251"/>
    </row>
    <row r="23" spans="2:6" x14ac:dyDescent="0.35">
      <c r="B23" s="37" t="s">
        <v>690</v>
      </c>
      <c r="C23" s="251"/>
      <c r="D23" s="251"/>
      <c r="E23" s="251"/>
    </row>
    <row r="24" spans="2:6" x14ac:dyDescent="0.35">
      <c r="B24" s="37" t="s">
        <v>692</v>
      </c>
      <c r="C24" s="251" t="s">
        <v>1206</v>
      </c>
      <c r="D24" s="251"/>
      <c r="E24" s="251"/>
    </row>
    <row r="25" spans="2:6" x14ac:dyDescent="0.35">
      <c r="B25" s="37" t="s">
        <v>935</v>
      </c>
      <c r="C25" s="251"/>
      <c r="D25" s="251"/>
      <c r="E25" s="251"/>
    </row>
    <row r="26" spans="2:6" x14ac:dyDescent="0.35">
      <c r="B26" s="37" t="s">
        <v>936</v>
      </c>
      <c r="C26" s="174" t="s">
        <v>1207</v>
      </c>
      <c r="D26" s="174"/>
      <c r="E26" s="174"/>
    </row>
    <row r="27" spans="2:6" ht="15" x14ac:dyDescent="0.35">
      <c r="B27" s="37" t="s">
        <v>938</v>
      </c>
      <c r="C27" s="252" t="s">
        <v>1208</v>
      </c>
      <c r="D27" s="252"/>
      <c r="E27" s="253"/>
    </row>
    <row r="28" spans="2:6" ht="15" x14ac:dyDescent="0.35">
      <c r="B28" s="199" t="s">
        <v>698</v>
      </c>
      <c r="C28" s="252" t="s">
        <v>1210</v>
      </c>
      <c r="D28" s="252"/>
      <c r="E28" s="253"/>
    </row>
    <row r="29" spans="2:6" x14ac:dyDescent="0.35">
      <c r="B29" s="199"/>
      <c r="C29" s="252"/>
      <c r="D29" s="252"/>
      <c r="E29" s="253"/>
    </row>
    <row r="31" spans="2:6" ht="24" customHeight="1" x14ac:dyDescent="0.35">
      <c r="B31" s="100" t="s">
        <v>699</v>
      </c>
      <c r="C31" s="100"/>
      <c r="D31" s="100"/>
      <c r="E31" s="100"/>
      <c r="F31" s="100"/>
    </row>
    <row r="32" spans="2:6" ht="27.75" customHeight="1" x14ac:dyDescent="0.35">
      <c r="B32" s="6" t="s">
        <v>19</v>
      </c>
      <c r="C32" s="6" t="s">
        <v>700</v>
      </c>
      <c r="D32" s="6" t="s">
        <v>701</v>
      </c>
      <c r="E32" s="6" t="s">
        <v>702</v>
      </c>
      <c r="F32" s="6" t="s">
        <v>703</v>
      </c>
    </row>
    <row r="33" spans="2:6" ht="21.75" customHeight="1" x14ac:dyDescent="0.35">
      <c r="B33" s="170" t="s">
        <v>704</v>
      </c>
      <c r="C33" s="170"/>
      <c r="D33" s="170"/>
      <c r="E33" s="170"/>
      <c r="F33" s="170"/>
    </row>
    <row r="34" spans="2:6" ht="27.75" customHeight="1" x14ac:dyDescent="0.35">
      <c r="B34" s="40" t="s">
        <v>939</v>
      </c>
      <c r="C34" s="65" t="s">
        <v>705</v>
      </c>
      <c r="D34" s="26" t="s">
        <v>86</v>
      </c>
      <c r="E34" s="5" t="s">
        <v>1211</v>
      </c>
      <c r="F34" s="36" t="s">
        <v>277</v>
      </c>
    </row>
    <row r="35" spans="2:6" ht="27.75" customHeight="1" x14ac:dyDescent="0.35">
      <c r="B35" s="41" t="s">
        <v>941</v>
      </c>
      <c r="C35" s="66" t="s">
        <v>706</v>
      </c>
      <c r="D35" s="26" t="s">
        <v>93</v>
      </c>
      <c r="E35" s="5" t="s">
        <v>1212</v>
      </c>
      <c r="F35" s="36" t="s">
        <v>271</v>
      </c>
    </row>
    <row r="36" spans="2:6" ht="27.75" customHeight="1" x14ac:dyDescent="0.35">
      <c r="B36" s="40" t="s">
        <v>943</v>
      </c>
      <c r="C36" s="65" t="s">
        <v>707</v>
      </c>
      <c r="D36" s="26" t="s">
        <v>86</v>
      </c>
      <c r="E36" s="5" t="s">
        <v>1213</v>
      </c>
      <c r="F36" s="36" t="s">
        <v>277</v>
      </c>
    </row>
    <row r="37" spans="2:6" ht="27.75" customHeight="1" x14ac:dyDescent="0.35">
      <c r="B37" s="41" t="s">
        <v>945</v>
      </c>
      <c r="C37" s="66" t="s">
        <v>708</v>
      </c>
      <c r="D37" s="26" t="s">
        <v>89</v>
      </c>
      <c r="E37" s="5" t="s">
        <v>1214</v>
      </c>
      <c r="F37" s="36" t="s">
        <v>277</v>
      </c>
    </row>
    <row r="38" spans="2:6" ht="27.75" customHeight="1" x14ac:dyDescent="0.35">
      <c r="B38" s="40" t="s">
        <v>947</v>
      </c>
      <c r="C38" s="65" t="s">
        <v>709</v>
      </c>
      <c r="D38" s="26" t="s">
        <v>89</v>
      </c>
      <c r="E38" s="5" t="s">
        <v>1215</v>
      </c>
      <c r="F38" s="36" t="s">
        <v>277</v>
      </c>
    </row>
    <row r="40" spans="2:6" ht="21.75" customHeight="1" x14ac:dyDescent="0.35">
      <c r="B40" s="129" t="s">
        <v>711</v>
      </c>
      <c r="C40" s="129"/>
      <c r="D40" s="129"/>
      <c r="E40" s="129"/>
      <c r="F40" s="129"/>
    </row>
    <row r="41" spans="2:6" ht="27.75" customHeight="1" x14ac:dyDescent="0.35">
      <c r="B41" s="41" t="s">
        <v>949</v>
      </c>
      <c r="C41" s="66" t="s">
        <v>712</v>
      </c>
      <c r="D41" s="26" t="s">
        <v>86</v>
      </c>
      <c r="E41" s="5" t="s">
        <v>1216</v>
      </c>
      <c r="F41" s="36" t="s">
        <v>277</v>
      </c>
    </row>
    <row r="42" spans="2:6" ht="27.75" customHeight="1" x14ac:dyDescent="0.35">
      <c r="B42" s="40" t="s">
        <v>951</v>
      </c>
      <c r="C42" s="65" t="s">
        <v>714</v>
      </c>
      <c r="D42" s="26" t="s">
        <v>86</v>
      </c>
      <c r="E42" s="5" t="s">
        <v>1217</v>
      </c>
      <c r="F42" s="36" t="s">
        <v>277</v>
      </c>
    </row>
    <row r="43" spans="2:6" ht="27.75" customHeight="1" x14ac:dyDescent="0.35">
      <c r="B43" s="41" t="s">
        <v>953</v>
      </c>
      <c r="C43" s="66" t="s">
        <v>716</v>
      </c>
      <c r="D43" s="26" t="s">
        <v>86</v>
      </c>
      <c r="E43" s="5" t="s">
        <v>1218</v>
      </c>
      <c r="F43" s="36" t="s">
        <v>277</v>
      </c>
    </row>
    <row r="44" spans="2:6" ht="43.5" x14ac:dyDescent="0.35">
      <c r="B44" s="40" t="s">
        <v>955</v>
      </c>
      <c r="C44" s="65" t="s">
        <v>718</v>
      </c>
      <c r="D44" s="26" t="s">
        <v>89</v>
      </c>
      <c r="E44" s="5" t="s">
        <v>1219</v>
      </c>
      <c r="F44" s="36" t="s">
        <v>271</v>
      </c>
    </row>
    <row r="45" spans="2:6" ht="43.5" x14ac:dyDescent="0.35">
      <c r="B45" s="41" t="s">
        <v>957</v>
      </c>
      <c r="C45" s="66" t="s">
        <v>719</v>
      </c>
      <c r="D45" s="26" t="s">
        <v>89</v>
      </c>
      <c r="E45" s="5" t="s">
        <v>1220</v>
      </c>
      <c r="F45" s="36" t="s">
        <v>277</v>
      </c>
    </row>
    <row r="46" spans="2:6" ht="27.75" customHeight="1" x14ac:dyDescent="0.35">
      <c r="B46" s="40" t="s">
        <v>958</v>
      </c>
      <c r="C46" s="65" t="s">
        <v>721</v>
      </c>
      <c r="D46" s="26" t="s">
        <v>89</v>
      </c>
      <c r="E46" s="5" t="s">
        <v>1221</v>
      </c>
      <c r="F46" s="36" t="s">
        <v>277</v>
      </c>
    </row>
    <row r="47" spans="2:6" ht="27.75" customHeight="1" x14ac:dyDescent="0.35">
      <c r="B47" s="41" t="s">
        <v>959</v>
      </c>
      <c r="C47" s="66" t="s">
        <v>722</v>
      </c>
      <c r="D47" s="26" t="s">
        <v>86</v>
      </c>
      <c r="E47" s="5" t="s">
        <v>1222</v>
      </c>
      <c r="F47" s="36" t="s">
        <v>277</v>
      </c>
    </row>
    <row r="49" spans="2:6" ht="21.75" customHeight="1" x14ac:dyDescent="0.35">
      <c r="B49" s="129" t="s">
        <v>723</v>
      </c>
      <c r="C49" s="129"/>
      <c r="D49" s="129"/>
      <c r="E49" s="129"/>
      <c r="F49" s="129"/>
    </row>
    <row r="50" spans="2:6" ht="27.75" customHeight="1" x14ac:dyDescent="0.35">
      <c r="B50" s="40" t="s">
        <v>961</v>
      </c>
      <c r="C50" s="65" t="s">
        <v>724</v>
      </c>
      <c r="D50" s="26" t="s">
        <v>86</v>
      </c>
      <c r="E50" s="5" t="s">
        <v>1223</v>
      </c>
      <c r="F50" s="36" t="s">
        <v>277</v>
      </c>
    </row>
    <row r="51" spans="2:6" ht="43.5" x14ac:dyDescent="0.35">
      <c r="B51" s="41" t="s">
        <v>963</v>
      </c>
      <c r="C51" s="66" t="s">
        <v>726</v>
      </c>
      <c r="D51" s="26" t="s">
        <v>86</v>
      </c>
      <c r="E51" s="5" t="s">
        <v>1224</v>
      </c>
      <c r="F51" s="36" t="s">
        <v>277</v>
      </c>
    </row>
    <row r="52" spans="2:6" ht="27.75" customHeight="1" x14ac:dyDescent="0.35">
      <c r="B52" s="40" t="s">
        <v>965</v>
      </c>
      <c r="C52" s="65" t="s">
        <v>727</v>
      </c>
      <c r="D52" s="26" t="s">
        <v>89</v>
      </c>
      <c r="E52" s="5" t="s">
        <v>1225</v>
      </c>
      <c r="F52" s="36" t="s">
        <v>271</v>
      </c>
    </row>
    <row r="54" spans="2:6" ht="21.75" customHeight="1" x14ac:dyDescent="0.35">
      <c r="B54" s="129" t="s">
        <v>728</v>
      </c>
      <c r="C54" s="129"/>
      <c r="D54" s="129"/>
      <c r="E54" s="129"/>
      <c r="F54" s="129"/>
    </row>
    <row r="55" spans="2:6" ht="27.75" customHeight="1" x14ac:dyDescent="0.35">
      <c r="B55" s="41" t="s">
        <v>967</v>
      </c>
      <c r="C55" s="66" t="s">
        <v>729</v>
      </c>
      <c r="D55" s="26" t="s">
        <v>86</v>
      </c>
      <c r="E55" s="5" t="s">
        <v>1226</v>
      </c>
      <c r="F55" s="36" t="s">
        <v>277</v>
      </c>
    </row>
    <row r="56" spans="2:6" ht="27.75" customHeight="1" x14ac:dyDescent="0.35">
      <c r="B56" s="40" t="s">
        <v>969</v>
      </c>
      <c r="C56" s="65" t="s">
        <v>731</v>
      </c>
      <c r="D56" s="26" t="s">
        <v>89</v>
      </c>
      <c r="E56" s="5" t="s">
        <v>1227</v>
      </c>
      <c r="F56" s="36" t="s">
        <v>271</v>
      </c>
    </row>
    <row r="58" spans="2:6" ht="27.75" customHeight="1" x14ac:dyDescent="0.35">
      <c r="B58" s="260" t="s">
        <v>732</v>
      </c>
      <c r="C58" s="260"/>
      <c r="D58" s="42">
        <f>IF(D34="Sí",1,IF(D34="Parcial",0.5,0))+IF(D35="Sí",1,IF(D35="Parcial",0.5,0))+IF(D36="Sí",1,IF(D36="Parcial",0.5,0))+IF(D37="Sí",1,IF(D37="Parcial",0.5,0))+IF(D38="Sí",1,IF(D38="Parcial",0.5,0))+IF(D41="Sí",1,IF(D41="Parcial",0.5,0))+IF(D42="Sí",1,IF(D42="Parcial",0.5,0))+IF(D43="Sí",1,IF(D43="Parcial",0.5,0))+IF(D44="Sí",1,IF(D44="Parcial",0.5,0))+IF(D45="Sí",1,IF(D45="Parcial",0.5,0))+IF(D46="Sí",1,IF(D46="Parcial",0.5,0))+IF(D47="Sí",1,IF(D47="Parcial",0.5,0))+IF(D50="Sí",1,IF(D50="Parcial",0.5,0))+IF(D51="Sí",1,IF(D51="Parcial",0.5,0))+IF(D52="Sí",1,IF(D52="Parcial",0.5,0))+IF(D55="Sí",1,IF(D55="Parcial",0.5,0))+IF(D56="Sí",1,IF(D56="Parcial",0.5,0))</f>
        <v>12.5</v>
      </c>
      <c r="E58" s="43">
        <f>D58/17</f>
        <v>0.73529411764705888</v>
      </c>
    </row>
    <row r="60" spans="2:6" ht="24" customHeight="1" x14ac:dyDescent="0.35">
      <c r="B60" s="100" t="s">
        <v>733</v>
      </c>
      <c r="C60" s="100"/>
      <c r="D60" s="100"/>
      <c r="E60" s="100"/>
      <c r="F60" s="100"/>
    </row>
    <row r="61" spans="2:6" ht="21.75" customHeight="1" x14ac:dyDescent="0.35">
      <c r="B61" s="6" t="s">
        <v>464</v>
      </c>
      <c r="C61" s="6" t="s">
        <v>466</v>
      </c>
      <c r="D61" s="6" t="s">
        <v>734</v>
      </c>
      <c r="E61" s="6" t="s">
        <v>735</v>
      </c>
      <c r="F61" s="6" t="s">
        <v>736</v>
      </c>
    </row>
    <row r="62" spans="2:6" ht="36" customHeight="1" x14ac:dyDescent="0.35">
      <c r="B62" s="44" t="s">
        <v>467</v>
      </c>
      <c r="C62" s="166" t="s">
        <v>1228</v>
      </c>
      <c r="D62" s="45"/>
      <c r="E62" s="45" t="s">
        <v>1229</v>
      </c>
      <c r="F62" s="206" t="s">
        <v>1230</v>
      </c>
    </row>
    <row r="63" spans="2:6" ht="21.75" customHeight="1" x14ac:dyDescent="0.35">
      <c r="B63" s="210" t="s">
        <v>972</v>
      </c>
      <c r="C63" s="166" t="s">
        <v>1231</v>
      </c>
      <c r="D63" s="45"/>
      <c r="E63" s="45"/>
      <c r="F63" s="206" t="s">
        <v>1232</v>
      </c>
    </row>
    <row r="64" spans="2:6" ht="21.75" customHeight="1" x14ac:dyDescent="0.35">
      <c r="B64" s="210" t="s">
        <v>973</v>
      </c>
      <c r="C64" s="166" t="s">
        <v>1233</v>
      </c>
      <c r="D64" s="45"/>
      <c r="E64" s="45"/>
      <c r="F64" s="206" t="s">
        <v>1234</v>
      </c>
    </row>
    <row r="65" spans="2:6" ht="21.75" customHeight="1" x14ac:dyDescent="0.35">
      <c r="B65" s="46" t="s">
        <v>470</v>
      </c>
      <c r="C65" s="215" t="s">
        <v>1235</v>
      </c>
      <c r="D65" s="47"/>
      <c r="E65" s="47" t="s">
        <v>1236</v>
      </c>
      <c r="F65" s="206" t="s">
        <v>1237</v>
      </c>
    </row>
    <row r="66" spans="2:6" ht="21.75" customHeight="1" x14ac:dyDescent="0.35">
      <c r="B66" s="44" t="s">
        <v>472</v>
      </c>
      <c r="C66" s="166"/>
      <c r="D66" s="45"/>
      <c r="E66" s="45"/>
      <c r="F66" s="206" t="s">
        <v>1314</v>
      </c>
    </row>
    <row r="67" spans="2:6" ht="21.75" customHeight="1" x14ac:dyDescent="0.35">
      <c r="B67" s="46" t="s">
        <v>737</v>
      </c>
      <c r="C67" s="215"/>
      <c r="D67" s="47"/>
      <c r="E67" s="47"/>
      <c r="F67" s="206" t="s">
        <v>1315</v>
      </c>
    </row>
    <row r="68" spans="2:6" ht="21.75" customHeight="1" x14ac:dyDescent="0.35">
      <c r="B68" s="44" t="s">
        <v>475</v>
      </c>
      <c r="C68" s="215" t="s">
        <v>476</v>
      </c>
      <c r="D68" s="45"/>
      <c r="E68" s="45"/>
      <c r="F68" s="206" t="s">
        <v>1238</v>
      </c>
    </row>
    <row r="69" spans="2:6" ht="21.75" customHeight="1" x14ac:dyDescent="0.35">
      <c r="B69" s="46" t="s">
        <v>477</v>
      </c>
      <c r="C69" s="219" t="s">
        <v>1239</v>
      </c>
      <c r="D69" s="47"/>
      <c r="E69" s="47" t="s">
        <v>1236</v>
      </c>
      <c r="F69" s="206" t="s">
        <v>1316</v>
      </c>
    </row>
    <row r="70" spans="2:6" ht="21.75" customHeight="1" x14ac:dyDescent="0.35">
      <c r="B70" s="44" t="s">
        <v>257</v>
      </c>
      <c r="C70" s="219" t="s">
        <v>479</v>
      </c>
      <c r="D70" s="45" t="s">
        <v>1240</v>
      </c>
      <c r="E70" s="45"/>
      <c r="F70" s="206" t="s">
        <v>1241</v>
      </c>
    </row>
    <row r="71" spans="2:6" ht="21.75" customHeight="1" x14ac:dyDescent="0.35">
      <c r="B71" s="46" t="s">
        <v>480</v>
      </c>
      <c r="C71" s="219" t="s">
        <v>1242</v>
      </c>
      <c r="D71" s="47"/>
      <c r="E71" s="47"/>
      <c r="F71" s="206" t="s">
        <v>1243</v>
      </c>
    </row>
    <row r="72" spans="2:6" ht="21.75" customHeight="1" x14ac:dyDescent="0.35">
      <c r="B72" s="44" t="s">
        <v>482</v>
      </c>
      <c r="C72" s="219" t="s">
        <v>1244</v>
      </c>
      <c r="D72" s="45"/>
      <c r="E72" s="45" t="s">
        <v>1236</v>
      </c>
      <c r="F72" s="206" t="s">
        <v>1245</v>
      </c>
    </row>
    <row r="73" spans="2:6" ht="21.75" customHeight="1" x14ac:dyDescent="0.35">
      <c r="B73" s="46" t="s">
        <v>484</v>
      </c>
      <c r="C73" s="219" t="s">
        <v>485</v>
      </c>
      <c r="D73" s="47"/>
      <c r="E73" s="47"/>
      <c r="F73" s="206" t="s">
        <v>1317</v>
      </c>
    </row>
    <row r="74" spans="2:6" ht="21.75" customHeight="1" x14ac:dyDescent="0.35">
      <c r="B74" s="44" t="s">
        <v>486</v>
      </c>
      <c r="C74" s="166">
        <v>13</v>
      </c>
      <c r="D74" s="45"/>
      <c r="E74" s="45"/>
      <c r="F74" s="206" t="s">
        <v>1324</v>
      </c>
    </row>
    <row r="75" spans="2:6" ht="21.75" customHeight="1" x14ac:dyDescent="0.35">
      <c r="B75" s="46" t="s">
        <v>488</v>
      </c>
      <c r="C75" s="72"/>
      <c r="D75" s="47"/>
      <c r="E75" s="47"/>
      <c r="F75" s="206"/>
    </row>
    <row r="77" spans="2:6" ht="24" customHeight="1" x14ac:dyDescent="0.35">
      <c r="B77" s="100" t="s">
        <v>37</v>
      </c>
      <c r="C77" s="100"/>
      <c r="D77" s="100"/>
      <c r="E77" s="100"/>
      <c r="F77" s="100"/>
    </row>
    <row r="78" spans="2:6" ht="24" customHeight="1" x14ac:dyDescent="0.35">
      <c r="B78" s="266" t="s">
        <v>739</v>
      </c>
      <c r="C78" s="266"/>
      <c r="D78" s="266"/>
      <c r="E78" s="266"/>
      <c r="F78" s="266"/>
    </row>
    <row r="79" spans="2:6" ht="21.75" customHeight="1" x14ac:dyDescent="0.35">
      <c r="B79" s="6" t="s">
        <v>740</v>
      </c>
      <c r="C79" s="6" t="s">
        <v>741</v>
      </c>
      <c r="D79" s="6" t="s">
        <v>742</v>
      </c>
      <c r="E79" s="6" t="s">
        <v>743</v>
      </c>
      <c r="F79" s="6" t="s">
        <v>744</v>
      </c>
    </row>
    <row r="80" spans="2:6" ht="19.5" customHeight="1" x14ac:dyDescent="0.35">
      <c r="B80" s="44" t="s">
        <v>745</v>
      </c>
      <c r="C80" s="45"/>
      <c r="D80" s="45"/>
      <c r="E80" s="45"/>
      <c r="F80" s="45"/>
    </row>
    <row r="81" spans="2:6" ht="19.5" customHeight="1" x14ac:dyDescent="0.35">
      <c r="B81" s="46" t="s">
        <v>746</v>
      </c>
      <c r="C81" s="47"/>
      <c r="D81" s="47"/>
      <c r="E81" s="47"/>
      <c r="F81" s="47"/>
    </row>
    <row r="82" spans="2:6" ht="19.5" customHeight="1" x14ac:dyDescent="0.35">
      <c r="B82" s="44" t="s">
        <v>748</v>
      </c>
      <c r="C82" s="45" t="s">
        <v>1228</v>
      </c>
      <c r="D82" s="45" t="s">
        <v>496</v>
      </c>
      <c r="E82" s="45" t="s">
        <v>1247</v>
      </c>
      <c r="F82" s="45" t="s">
        <v>1248</v>
      </c>
    </row>
    <row r="83" spans="2:6" ht="19.5" customHeight="1" x14ac:dyDescent="0.35">
      <c r="B83" s="46" t="s">
        <v>749</v>
      </c>
      <c r="C83" s="47"/>
      <c r="D83" s="47"/>
      <c r="E83" s="47"/>
      <c r="F83" s="47"/>
    </row>
    <row r="84" spans="2:6" ht="19.5" customHeight="1" x14ac:dyDescent="0.35">
      <c r="B84" s="44" t="s">
        <v>751</v>
      </c>
      <c r="C84" s="45"/>
      <c r="D84" s="45"/>
      <c r="E84" s="45"/>
      <c r="F84" s="45"/>
    </row>
    <row r="85" spans="2:6" ht="19.5" customHeight="1" x14ac:dyDescent="0.35">
      <c r="B85" s="46" t="s">
        <v>752</v>
      </c>
      <c r="C85" s="47"/>
      <c r="D85" s="47"/>
      <c r="E85" s="47"/>
      <c r="F85" s="47"/>
    </row>
    <row r="86" spans="2:6" ht="19.5" customHeight="1" x14ac:dyDescent="0.35">
      <c r="B86" s="44" t="s">
        <v>753</v>
      </c>
      <c r="C86" s="45"/>
      <c r="D86" s="45"/>
      <c r="E86" s="45"/>
      <c r="F86" s="45"/>
    </row>
    <row r="87" spans="2:6" ht="19.5" customHeight="1" x14ac:dyDescent="0.35">
      <c r="B87" s="46" t="s">
        <v>755</v>
      </c>
      <c r="C87" s="47"/>
      <c r="D87" s="47"/>
      <c r="E87" s="47"/>
      <c r="F87" s="47"/>
    </row>
    <row r="88" spans="2:6" ht="14.5" customHeight="1" x14ac:dyDescent="0.35"/>
    <row r="89" spans="2:6" ht="24" customHeight="1" x14ac:dyDescent="0.35">
      <c r="B89" s="100" t="s">
        <v>757</v>
      </c>
      <c r="C89" s="100"/>
      <c r="D89" s="100"/>
      <c r="E89" s="100"/>
      <c r="F89" s="100"/>
    </row>
    <row r="90" spans="2:6" ht="21.75" customHeight="1" x14ac:dyDescent="0.35">
      <c r="B90" s="6" t="s">
        <v>758</v>
      </c>
      <c r="C90" s="6" t="s">
        <v>466</v>
      </c>
      <c r="D90" s="6" t="s">
        <v>201</v>
      </c>
      <c r="E90" s="6" t="s">
        <v>759</v>
      </c>
      <c r="F90" s="6" t="s">
        <v>744</v>
      </c>
    </row>
    <row r="91" spans="2:6" ht="21.75" customHeight="1" x14ac:dyDescent="0.35">
      <c r="B91" s="14" t="s">
        <v>760</v>
      </c>
      <c r="C91" s="45"/>
      <c r="D91" s="45"/>
      <c r="E91" s="45"/>
      <c r="F91" s="45"/>
    </row>
    <row r="92" spans="2:6" ht="58" x14ac:dyDescent="0.35">
      <c r="B92" s="16" t="s">
        <v>428</v>
      </c>
      <c r="C92" s="36"/>
      <c r="D92" s="36"/>
      <c r="E92" s="207" t="s">
        <v>1249</v>
      </c>
      <c r="F92" s="207" t="s">
        <v>1250</v>
      </c>
    </row>
    <row r="93" spans="2:6" ht="21.75" customHeight="1" x14ac:dyDescent="0.35">
      <c r="B93" s="14" t="s">
        <v>429</v>
      </c>
      <c r="C93" s="45"/>
      <c r="D93" s="45"/>
      <c r="E93" s="149"/>
      <c r="F93" s="149"/>
    </row>
    <row r="94" spans="2:6" ht="43.5" x14ac:dyDescent="0.35">
      <c r="B94" s="16" t="s">
        <v>761</v>
      </c>
      <c r="C94" s="47"/>
      <c r="D94" s="47"/>
      <c r="E94" s="207" t="s">
        <v>1251</v>
      </c>
      <c r="F94" s="207" t="s">
        <v>1252</v>
      </c>
    </row>
    <row r="95" spans="2:6" ht="29" x14ac:dyDescent="0.35">
      <c r="B95" s="14" t="s">
        <v>762</v>
      </c>
      <c r="C95" s="45"/>
      <c r="D95" s="45"/>
      <c r="E95" s="45"/>
      <c r="F95" s="45"/>
    </row>
    <row r="96" spans="2:6" ht="21.75" customHeight="1" x14ac:dyDescent="0.35">
      <c r="B96" s="16" t="s">
        <v>430</v>
      </c>
      <c r="C96" s="47"/>
      <c r="D96" s="47"/>
      <c r="E96" s="47"/>
      <c r="F96" s="47"/>
    </row>
    <row r="97" spans="2:7" x14ac:dyDescent="0.35">
      <c r="B97" s="14" t="s">
        <v>431</v>
      </c>
      <c r="C97" s="45"/>
      <c r="D97" s="45"/>
      <c r="E97" s="45"/>
      <c r="F97" s="45"/>
    </row>
    <row r="98" spans="2:7" x14ac:dyDescent="0.35">
      <c r="B98" s="204"/>
      <c r="C98" s="205"/>
      <c r="D98" s="205"/>
      <c r="E98" s="205"/>
      <c r="F98" s="205"/>
    </row>
    <row r="100" spans="2:7" ht="24" customHeight="1" x14ac:dyDescent="0.35">
      <c r="B100" s="258" t="s">
        <v>1253</v>
      </c>
      <c r="C100" s="258"/>
      <c r="D100" s="258"/>
      <c r="E100" s="258"/>
      <c r="F100" s="258"/>
      <c r="G100" s="258"/>
    </row>
    <row r="101" spans="2:7" ht="27.75" customHeight="1" x14ac:dyDescent="0.35">
      <c r="B101" s="6" t="s">
        <v>142</v>
      </c>
      <c r="C101" s="6" t="s">
        <v>89</v>
      </c>
      <c r="D101" s="6" t="s">
        <v>765</v>
      </c>
      <c r="E101" s="6">
        <v>3</v>
      </c>
      <c r="F101" s="6" t="s">
        <v>277</v>
      </c>
      <c r="G101" s="6" t="s">
        <v>1254</v>
      </c>
    </row>
    <row r="102" spans="2:7" ht="25.5" customHeight="1" x14ac:dyDescent="0.35">
      <c r="B102" s="48" t="s">
        <v>153</v>
      </c>
      <c r="C102" s="26" t="s">
        <v>93</v>
      </c>
      <c r="D102" s="69" t="s">
        <v>769</v>
      </c>
      <c r="E102" s="49">
        <v>2</v>
      </c>
      <c r="F102" s="36" t="s">
        <v>282</v>
      </c>
      <c r="G102" s="5" t="s">
        <v>1255</v>
      </c>
    </row>
    <row r="103" spans="2:7" ht="25.5" customHeight="1" x14ac:dyDescent="0.35">
      <c r="B103" s="50" t="s">
        <v>154</v>
      </c>
      <c r="C103" s="26" t="s">
        <v>89</v>
      </c>
      <c r="D103" s="68" t="s">
        <v>771</v>
      </c>
      <c r="E103" s="49">
        <v>3</v>
      </c>
      <c r="F103" s="36" t="s">
        <v>277</v>
      </c>
      <c r="G103" s="5" t="s">
        <v>1256</v>
      </c>
    </row>
    <row r="104" spans="2:7" ht="25.5" customHeight="1" x14ac:dyDescent="0.35">
      <c r="B104" s="48" t="s">
        <v>155</v>
      </c>
      <c r="C104" s="26" t="s">
        <v>93</v>
      </c>
      <c r="D104" s="69" t="s">
        <v>773</v>
      </c>
      <c r="E104" s="49">
        <v>2</v>
      </c>
      <c r="F104" s="36" t="s">
        <v>282</v>
      </c>
      <c r="G104" s="5" t="s">
        <v>1257</v>
      </c>
    </row>
    <row r="105" spans="2:7" ht="25.5" customHeight="1" x14ac:dyDescent="0.35">
      <c r="B105" s="50" t="s">
        <v>156</v>
      </c>
      <c r="C105" s="26" t="s">
        <v>93</v>
      </c>
      <c r="D105" s="68" t="s">
        <v>775</v>
      </c>
      <c r="E105" s="49">
        <v>2</v>
      </c>
      <c r="F105" s="36" t="s">
        <v>282</v>
      </c>
      <c r="G105" s="5" t="s">
        <v>1258</v>
      </c>
    </row>
    <row r="106" spans="2:7" ht="25.5" customHeight="1" x14ac:dyDescent="0.35">
      <c r="B106" s="48" t="s">
        <v>157</v>
      </c>
      <c r="C106" s="26" t="s">
        <v>93</v>
      </c>
      <c r="D106" s="67" t="s">
        <v>777</v>
      </c>
      <c r="E106" s="49">
        <v>2</v>
      </c>
      <c r="F106" s="36" t="s">
        <v>282</v>
      </c>
      <c r="G106" s="5" t="s">
        <v>1259</v>
      </c>
    </row>
    <row r="107" spans="2:7" ht="25.5" customHeight="1" x14ac:dyDescent="0.35">
      <c r="B107" s="50" t="s">
        <v>158</v>
      </c>
      <c r="C107" s="26" t="s">
        <v>93</v>
      </c>
      <c r="D107" s="68" t="s">
        <v>779</v>
      </c>
      <c r="E107" s="49">
        <v>2</v>
      </c>
      <c r="F107" s="36" t="s">
        <v>282</v>
      </c>
      <c r="G107" s="5" t="s">
        <v>1260</v>
      </c>
    </row>
    <row r="108" spans="2:7" ht="25.5" customHeight="1" x14ac:dyDescent="0.35">
      <c r="B108" s="48" t="s">
        <v>159</v>
      </c>
      <c r="C108" s="26" t="s">
        <v>89</v>
      </c>
      <c r="D108" s="67" t="s">
        <v>781</v>
      </c>
      <c r="E108" s="49">
        <v>3</v>
      </c>
      <c r="F108" s="36" t="s">
        <v>277</v>
      </c>
      <c r="G108" s="5" t="s">
        <v>1261</v>
      </c>
    </row>
    <row r="109" spans="2:7" ht="29" x14ac:dyDescent="0.35">
      <c r="B109" s="50" t="s">
        <v>160</v>
      </c>
      <c r="C109" s="26" t="s">
        <v>89</v>
      </c>
      <c r="D109" s="74" t="s">
        <v>783</v>
      </c>
      <c r="E109" s="49">
        <v>3</v>
      </c>
      <c r="F109" s="36" t="s">
        <v>277</v>
      </c>
      <c r="G109" s="5" t="s">
        <v>1262</v>
      </c>
    </row>
    <row r="110" spans="2:7" ht="43.5" x14ac:dyDescent="0.35">
      <c r="B110" s="48" t="s">
        <v>161</v>
      </c>
      <c r="C110" s="26" t="s">
        <v>89</v>
      </c>
      <c r="D110" s="69" t="s">
        <v>785</v>
      </c>
      <c r="E110" s="49">
        <v>3</v>
      </c>
      <c r="F110" s="36" t="s">
        <v>277</v>
      </c>
      <c r="G110" s="5" t="s">
        <v>1263</v>
      </c>
    </row>
    <row r="111" spans="2:7" ht="58" x14ac:dyDescent="0.35">
      <c r="B111" s="50" t="s">
        <v>162</v>
      </c>
      <c r="C111" s="26" t="s">
        <v>93</v>
      </c>
      <c r="D111" s="74" t="s">
        <v>787</v>
      </c>
      <c r="E111" s="49">
        <v>2</v>
      </c>
      <c r="F111" s="36" t="s">
        <v>282</v>
      </c>
      <c r="G111" s="5" t="s">
        <v>1264</v>
      </c>
    </row>
    <row r="112" spans="2:7" ht="25.5" customHeight="1" x14ac:dyDescent="0.35">
      <c r="B112" s="48" t="s">
        <v>163</v>
      </c>
      <c r="C112" s="26" t="s">
        <v>89</v>
      </c>
      <c r="D112" s="67" t="s">
        <v>789</v>
      </c>
      <c r="E112" s="49">
        <v>3</v>
      </c>
      <c r="F112" s="36" t="s">
        <v>277</v>
      </c>
      <c r="G112" s="5" t="s">
        <v>1265</v>
      </c>
    </row>
    <row r="113" spans="2:7" ht="25.5" customHeight="1" x14ac:dyDescent="0.35">
      <c r="B113" s="50" t="s">
        <v>164</v>
      </c>
      <c r="C113" s="26" t="s">
        <v>89</v>
      </c>
      <c r="D113" s="74" t="s">
        <v>791</v>
      </c>
      <c r="E113" s="49">
        <v>3</v>
      </c>
      <c r="F113" s="36" t="s">
        <v>277</v>
      </c>
      <c r="G113" s="5" t="s">
        <v>1266</v>
      </c>
    </row>
    <row r="114" spans="2:7" ht="25.5" customHeight="1" x14ac:dyDescent="0.35">
      <c r="B114" s="48" t="s">
        <v>165</v>
      </c>
      <c r="C114" s="26" t="s">
        <v>89</v>
      </c>
      <c r="D114" s="69" t="s">
        <v>793</v>
      </c>
      <c r="E114" s="49">
        <v>3</v>
      </c>
      <c r="F114" s="36" t="s">
        <v>277</v>
      </c>
      <c r="G114" s="5" t="s">
        <v>1267</v>
      </c>
    </row>
    <row r="115" spans="2:7" ht="25.5" customHeight="1" x14ac:dyDescent="0.35">
      <c r="B115" s="50" t="s">
        <v>166</v>
      </c>
      <c r="C115" s="26" t="s">
        <v>89</v>
      </c>
      <c r="D115" s="74" t="s">
        <v>795</v>
      </c>
      <c r="E115" s="49">
        <v>3</v>
      </c>
      <c r="F115" s="36" t="s">
        <v>277</v>
      </c>
      <c r="G115" s="5" t="s">
        <v>1268</v>
      </c>
    </row>
    <row r="116" spans="2:7" ht="25.5" customHeight="1" x14ac:dyDescent="0.35">
      <c r="B116" s="48" t="s">
        <v>167</v>
      </c>
      <c r="C116" s="26" t="s">
        <v>86</v>
      </c>
      <c r="D116" s="69" t="s">
        <v>797</v>
      </c>
      <c r="E116" s="49">
        <v>4</v>
      </c>
      <c r="F116" s="36" t="s">
        <v>271</v>
      </c>
      <c r="G116" s="5" t="s">
        <v>1269</v>
      </c>
    </row>
    <row r="117" spans="2:7" ht="25.5" customHeight="1" x14ac:dyDescent="0.35">
      <c r="B117" s="50" t="s">
        <v>168</v>
      </c>
      <c r="C117" s="26" t="s">
        <v>89</v>
      </c>
      <c r="D117" s="74" t="s">
        <v>799</v>
      </c>
      <c r="E117" s="49">
        <v>3</v>
      </c>
      <c r="F117" s="36" t="s">
        <v>277</v>
      </c>
      <c r="G117" s="5" t="s">
        <v>1270</v>
      </c>
    </row>
    <row r="118" spans="2:7" ht="25.5" customHeight="1" x14ac:dyDescent="0.35">
      <c r="B118" s="48" t="s">
        <v>169</v>
      </c>
      <c r="C118" s="26" t="s">
        <v>89</v>
      </c>
      <c r="D118" s="69" t="s">
        <v>801</v>
      </c>
      <c r="E118" s="49">
        <v>3</v>
      </c>
      <c r="F118" s="36" t="s">
        <v>277</v>
      </c>
      <c r="G118" s="5" t="s">
        <v>1271</v>
      </c>
    </row>
    <row r="119" spans="2:7" ht="25.5" customHeight="1" x14ac:dyDescent="0.35">
      <c r="B119" s="50" t="s">
        <v>170</v>
      </c>
      <c r="C119" s="26" t="s">
        <v>86</v>
      </c>
      <c r="D119" s="74" t="s">
        <v>803</v>
      </c>
      <c r="E119" s="49">
        <v>4</v>
      </c>
      <c r="F119" s="36" t="s">
        <v>271</v>
      </c>
      <c r="G119" s="5" t="s">
        <v>1272</v>
      </c>
    </row>
    <row r="120" spans="2:7" ht="25.5" customHeight="1" x14ac:dyDescent="0.35">
      <c r="B120" s="50" t="s">
        <v>172</v>
      </c>
      <c r="C120" s="26" t="s">
        <v>89</v>
      </c>
      <c r="D120" s="74" t="s">
        <v>805</v>
      </c>
      <c r="E120" s="49">
        <v>3</v>
      </c>
      <c r="F120" s="36" t="s">
        <v>277</v>
      </c>
      <c r="G120" s="5" t="s">
        <v>1273</v>
      </c>
    </row>
    <row r="121" spans="2:7" ht="25.5" customHeight="1" x14ac:dyDescent="0.35">
      <c r="B121" s="50" t="s">
        <v>173</v>
      </c>
      <c r="C121" s="26" t="s">
        <v>89</v>
      </c>
      <c r="D121" s="74" t="s">
        <v>807</v>
      </c>
      <c r="E121" s="49">
        <v>3</v>
      </c>
      <c r="F121" s="36" t="s">
        <v>277</v>
      </c>
      <c r="G121" s="5" t="s">
        <v>1275</v>
      </c>
    </row>
    <row r="122" spans="2:7" ht="25.5" customHeight="1" x14ac:dyDescent="0.35">
      <c r="B122" s="50" t="s">
        <v>175</v>
      </c>
      <c r="C122" s="26" t="s">
        <v>86</v>
      </c>
      <c r="D122" s="74" t="s">
        <v>809</v>
      </c>
      <c r="E122" s="49">
        <v>4</v>
      </c>
      <c r="F122" s="36" t="s">
        <v>271</v>
      </c>
      <c r="G122" s="5" t="s">
        <v>1277</v>
      </c>
    </row>
    <row r="123" spans="2:7" ht="25.5" customHeight="1" x14ac:dyDescent="0.35">
      <c r="B123" s="216" t="s">
        <v>175</v>
      </c>
      <c r="C123" s="26" t="s">
        <v>86</v>
      </c>
      <c r="D123" s="218" t="s">
        <v>809</v>
      </c>
      <c r="E123" s="49"/>
      <c r="F123" s="36"/>
      <c r="G123" s="5"/>
    </row>
    <row r="125" spans="2:7" ht="24" customHeight="1" x14ac:dyDescent="0.35">
      <c r="B125" s="100" t="s">
        <v>810</v>
      </c>
      <c r="C125" s="100"/>
      <c r="D125" s="100"/>
    </row>
    <row r="126" spans="2:7" ht="21.75" customHeight="1" x14ac:dyDescent="0.35">
      <c r="B126" s="6" t="s">
        <v>811</v>
      </c>
      <c r="C126" s="6" t="s">
        <v>496</v>
      </c>
      <c r="D126" s="6" t="s">
        <v>1278</v>
      </c>
    </row>
    <row r="127" spans="2:7" ht="21.75" customHeight="1" x14ac:dyDescent="0.35">
      <c r="B127" s="13" t="s">
        <v>813</v>
      </c>
      <c r="C127" s="64" t="s">
        <v>1279</v>
      </c>
      <c r="D127" s="1" t="s">
        <v>1280</v>
      </c>
    </row>
    <row r="128" spans="2:7" ht="21.75" customHeight="1" x14ac:dyDescent="0.35">
      <c r="B128" s="15" t="s">
        <v>814</v>
      </c>
      <c r="C128" s="64" t="s">
        <v>496</v>
      </c>
      <c r="D128" s="1" t="s">
        <v>1281</v>
      </c>
    </row>
    <row r="129" spans="2:7" ht="21.75" customHeight="1" x14ac:dyDescent="0.35">
      <c r="B129" s="13" t="s">
        <v>817</v>
      </c>
      <c r="C129" s="64"/>
    </row>
    <row r="130" spans="2:7" ht="21.75" customHeight="1" x14ac:dyDescent="0.35">
      <c r="B130" s="15" t="s">
        <v>818</v>
      </c>
      <c r="C130" s="64"/>
    </row>
    <row r="131" spans="2:7" ht="21.75" customHeight="1" x14ac:dyDescent="0.35">
      <c r="B131" s="13" t="s">
        <v>819</v>
      </c>
      <c r="C131" s="64" t="s">
        <v>1282</v>
      </c>
      <c r="D131" s="1" t="s">
        <v>1283</v>
      </c>
    </row>
    <row r="132" spans="2:7" ht="21.75" customHeight="1" x14ac:dyDescent="0.35">
      <c r="B132" s="15" t="s">
        <v>820</v>
      </c>
      <c r="C132" s="64" t="s">
        <v>1284</v>
      </c>
      <c r="D132" s="1" t="s">
        <v>1285</v>
      </c>
    </row>
    <row r="133" spans="2:7" ht="25.5" customHeight="1" x14ac:dyDescent="0.35">
      <c r="B133" s="122" t="s">
        <v>821</v>
      </c>
      <c r="C133" s="64" t="s">
        <v>1286</v>
      </c>
      <c r="D133" s="1" t="s">
        <v>1287</v>
      </c>
    </row>
    <row r="134" spans="2:7" ht="21.75" customHeight="1" x14ac:dyDescent="0.35">
      <c r="B134" s="123" t="s">
        <v>822</v>
      </c>
      <c r="C134" s="109"/>
      <c r="D134" s="109"/>
    </row>
    <row r="136" spans="2:7" ht="24" customHeight="1" x14ac:dyDescent="0.35">
      <c r="B136" s="258" t="s">
        <v>823</v>
      </c>
      <c r="C136" s="258"/>
      <c r="D136" s="258"/>
      <c r="E136" s="258"/>
      <c r="F136" s="258"/>
      <c r="G136" s="258"/>
    </row>
    <row r="137" spans="2:7" ht="21.75" customHeight="1" x14ac:dyDescent="0.35">
      <c r="B137" s="6" t="s">
        <v>824</v>
      </c>
      <c r="C137" s="6" t="s">
        <v>1288</v>
      </c>
      <c r="D137" s="6" t="s">
        <v>86</v>
      </c>
      <c r="E137" s="6" t="s">
        <v>1289</v>
      </c>
      <c r="F137" s="6" t="s">
        <v>277</v>
      </c>
    </row>
    <row r="138" spans="2:7" ht="21.75" customHeight="1" x14ac:dyDescent="0.35">
      <c r="B138" s="44" t="s">
        <v>828</v>
      </c>
      <c r="C138" s="99" t="s">
        <v>323</v>
      </c>
      <c r="D138" s="45"/>
      <c r="E138" s="14"/>
      <c r="F138" s="45"/>
    </row>
    <row r="139" spans="2:7" ht="21.75" customHeight="1" x14ac:dyDescent="0.35">
      <c r="B139" s="46" t="s">
        <v>830</v>
      </c>
      <c r="C139" s="99"/>
      <c r="D139" s="45"/>
      <c r="E139" s="16"/>
      <c r="F139" s="45"/>
    </row>
    <row r="140" spans="2:7" ht="21.75" customHeight="1" x14ac:dyDescent="0.35">
      <c r="B140" s="44" t="s">
        <v>831</v>
      </c>
      <c r="C140" s="99"/>
      <c r="D140" s="45"/>
      <c r="E140" s="14"/>
      <c r="F140" s="45"/>
    </row>
    <row r="141" spans="2:7" ht="21.75" customHeight="1" x14ac:dyDescent="0.35">
      <c r="B141" s="46" t="s">
        <v>832</v>
      </c>
      <c r="C141" s="99"/>
      <c r="D141" s="45"/>
      <c r="E141" s="16"/>
      <c r="F141" s="45"/>
    </row>
    <row r="142" spans="2:7" ht="27.75" customHeight="1" x14ac:dyDescent="0.35">
      <c r="B142" s="14" t="s">
        <v>833</v>
      </c>
      <c r="C142" s="99"/>
      <c r="D142" s="45"/>
      <c r="E142" s="14"/>
      <c r="F142" s="45"/>
    </row>
    <row r="143" spans="2:7" ht="31.5" customHeight="1" x14ac:dyDescent="0.35">
      <c r="B143" s="16" t="s">
        <v>834</v>
      </c>
      <c r="C143" s="99" t="s">
        <v>1292</v>
      </c>
      <c r="D143" s="45" t="s">
        <v>89</v>
      </c>
      <c r="E143" s="16" t="s">
        <v>1293</v>
      </c>
      <c r="F143" s="45" t="s">
        <v>271</v>
      </c>
    </row>
    <row r="144" spans="2:7" ht="21.75" customHeight="1" x14ac:dyDescent="0.35">
      <c r="B144" s="44" t="s">
        <v>835</v>
      </c>
      <c r="C144" s="99"/>
      <c r="D144" s="45"/>
      <c r="E144" s="14"/>
      <c r="F144" s="45"/>
    </row>
    <row r="145" spans="2:7" ht="21.75" customHeight="1" x14ac:dyDescent="0.35">
      <c r="B145" s="46" t="s">
        <v>836</v>
      </c>
      <c r="C145" s="99"/>
      <c r="D145" s="45"/>
      <c r="E145" s="16"/>
      <c r="F145" s="45"/>
    </row>
    <row r="146" spans="2:7" ht="21.75" customHeight="1" x14ac:dyDescent="0.35">
      <c r="B146" s="44" t="s">
        <v>837</v>
      </c>
      <c r="C146" s="99" t="s">
        <v>1294</v>
      </c>
      <c r="D146" s="45" t="s">
        <v>89</v>
      </c>
      <c r="E146" s="14" t="s">
        <v>1295</v>
      </c>
      <c r="F146" s="45" t="s">
        <v>271</v>
      </c>
    </row>
    <row r="147" spans="2:7" ht="21.75" customHeight="1" x14ac:dyDescent="0.35">
      <c r="B147" s="46" t="s">
        <v>838</v>
      </c>
      <c r="C147" s="99"/>
      <c r="D147" s="45"/>
      <c r="E147" s="16"/>
      <c r="F147" s="45"/>
    </row>
    <row r="149" spans="2:7" ht="24" customHeight="1" x14ac:dyDescent="0.35">
      <c r="B149" s="258" t="s">
        <v>841</v>
      </c>
      <c r="C149" s="258"/>
      <c r="D149" s="258"/>
      <c r="E149" s="258"/>
      <c r="F149" s="258"/>
      <c r="G149" s="258"/>
    </row>
    <row r="150" spans="2:7" ht="21.75" customHeight="1" x14ac:dyDescent="0.35">
      <c r="B150" s="6" t="s">
        <v>842</v>
      </c>
      <c r="C150" s="6" t="s">
        <v>283</v>
      </c>
    </row>
    <row r="151" spans="2:7" ht="21.75" customHeight="1" x14ac:dyDescent="0.35">
      <c r="B151" s="13" t="s">
        <v>844</v>
      </c>
      <c r="C151" s="251" t="s">
        <v>496</v>
      </c>
      <c r="D151" s="251"/>
      <c r="E151" s="251"/>
      <c r="F151" s="251"/>
      <c r="G151" s="251"/>
    </row>
    <row r="152" spans="2:7" ht="21.75" customHeight="1" x14ac:dyDescent="0.35">
      <c r="B152" s="15" t="s">
        <v>846</v>
      </c>
      <c r="C152" s="251" t="s">
        <v>496</v>
      </c>
      <c r="D152" s="251"/>
      <c r="E152" s="251"/>
      <c r="F152" s="251"/>
      <c r="G152" s="251"/>
    </row>
    <row r="153" spans="2:7" ht="21.75" customHeight="1" x14ac:dyDescent="0.35">
      <c r="B153" s="13" t="s">
        <v>847</v>
      </c>
      <c r="C153" s="251" t="s">
        <v>485</v>
      </c>
      <c r="D153" s="251"/>
      <c r="E153" s="251"/>
      <c r="F153" s="251"/>
      <c r="G153" s="251"/>
    </row>
    <row r="154" spans="2:7" ht="21.75" customHeight="1" x14ac:dyDescent="0.35">
      <c r="B154" s="15" t="s">
        <v>848</v>
      </c>
      <c r="C154" s="251" t="s">
        <v>1296</v>
      </c>
      <c r="D154" s="251"/>
      <c r="E154" s="251"/>
      <c r="F154" s="251"/>
      <c r="G154" s="251"/>
    </row>
    <row r="155" spans="2:7" ht="21.75" customHeight="1" x14ac:dyDescent="0.35">
      <c r="B155" s="13" t="s">
        <v>849</v>
      </c>
      <c r="C155" s="251" t="s">
        <v>496</v>
      </c>
      <c r="D155" s="251"/>
      <c r="E155" s="251"/>
      <c r="F155" s="251"/>
      <c r="G155" s="251"/>
    </row>
    <row r="156" spans="2:7" ht="21.75" customHeight="1" x14ac:dyDescent="0.35">
      <c r="B156" s="15" t="s">
        <v>850</v>
      </c>
      <c r="C156" s="251" t="s">
        <v>1297</v>
      </c>
      <c r="D156" s="251"/>
      <c r="E156" s="251"/>
      <c r="F156" s="251"/>
      <c r="G156" s="251"/>
    </row>
    <row r="157" spans="2:7" ht="21.75" customHeight="1" x14ac:dyDescent="0.35">
      <c r="B157" s="13" t="s">
        <v>852</v>
      </c>
      <c r="C157" s="251"/>
      <c r="D157" s="251"/>
      <c r="E157" s="251"/>
      <c r="F157" s="251"/>
      <c r="G157" s="251"/>
    </row>
    <row r="159" spans="2:7" ht="24" customHeight="1" x14ac:dyDescent="0.35">
      <c r="B159" s="258" t="s">
        <v>854</v>
      </c>
      <c r="C159" s="258"/>
      <c r="D159" s="258"/>
      <c r="E159" s="258"/>
      <c r="F159" s="258"/>
      <c r="G159" s="258"/>
    </row>
    <row r="160" spans="2:7" ht="21.75" customHeight="1" x14ac:dyDescent="0.35">
      <c r="B160" s="6" t="s">
        <v>855</v>
      </c>
      <c r="C160" s="6" t="s">
        <v>1298</v>
      </c>
    </row>
    <row r="161" spans="2:11" ht="30" customHeight="1" x14ac:dyDescent="0.35">
      <c r="B161" s="51" t="s">
        <v>857</v>
      </c>
      <c r="C161" s="251" t="s">
        <v>1299</v>
      </c>
      <c r="D161" s="251"/>
      <c r="E161" s="251"/>
      <c r="F161" s="251"/>
      <c r="G161" s="251"/>
    </row>
    <row r="162" spans="2:11" ht="30" customHeight="1" x14ac:dyDescent="0.35">
      <c r="B162" s="52" t="s">
        <v>859</v>
      </c>
      <c r="C162" s="251" t="s">
        <v>1300</v>
      </c>
      <c r="D162" s="251"/>
      <c r="E162" s="251"/>
      <c r="F162" s="251"/>
      <c r="G162" s="251"/>
    </row>
    <row r="163" spans="2:11" ht="30" customHeight="1" x14ac:dyDescent="0.35">
      <c r="B163" s="51" t="s">
        <v>861</v>
      </c>
      <c r="C163" s="251" t="s">
        <v>1301</v>
      </c>
      <c r="D163" s="251"/>
      <c r="E163" s="251"/>
      <c r="F163" s="251"/>
      <c r="G163" s="251"/>
    </row>
    <row r="164" spans="2:11" ht="30" customHeight="1" x14ac:dyDescent="0.35">
      <c r="B164" s="52" t="s">
        <v>863</v>
      </c>
      <c r="C164" s="251" t="s">
        <v>1302</v>
      </c>
      <c r="D164" s="251"/>
      <c r="E164" s="251"/>
      <c r="F164" s="251"/>
      <c r="G164" s="251"/>
    </row>
    <row r="165" spans="2:11" ht="30" customHeight="1" x14ac:dyDescent="0.35">
      <c r="B165" s="51" t="s">
        <v>865</v>
      </c>
      <c r="C165" s="251" t="s">
        <v>1303</v>
      </c>
      <c r="D165" s="251"/>
      <c r="E165" s="251"/>
      <c r="F165" s="251"/>
      <c r="G165" s="251"/>
    </row>
    <row r="166" spans="2:11" ht="30" customHeight="1" x14ac:dyDescent="0.35">
      <c r="B166" s="52" t="s">
        <v>867</v>
      </c>
      <c r="C166" s="251" t="s">
        <v>1304</v>
      </c>
      <c r="D166" s="251"/>
      <c r="E166" s="251"/>
      <c r="F166" s="251"/>
      <c r="G166" s="251"/>
    </row>
    <row r="167" spans="2:11" ht="30" customHeight="1" x14ac:dyDescent="0.35">
      <c r="B167" s="51" t="s">
        <v>868</v>
      </c>
      <c r="C167" s="251"/>
      <c r="D167" s="251"/>
      <c r="E167" s="251"/>
      <c r="F167" s="251"/>
      <c r="G167" s="251"/>
    </row>
    <row r="168" spans="2:11" ht="30" customHeight="1" x14ac:dyDescent="0.35">
      <c r="B168" s="52" t="s">
        <v>870</v>
      </c>
      <c r="C168" s="256" t="s">
        <v>1306</v>
      </c>
      <c r="D168" s="257"/>
      <c r="E168" s="257"/>
      <c r="F168" s="257"/>
      <c r="G168" s="257"/>
    </row>
    <row r="169" spans="2:11" ht="30" customHeight="1" x14ac:dyDescent="0.35">
      <c r="B169" s="51" t="s">
        <v>872</v>
      </c>
      <c r="C169" s="251"/>
      <c r="D169" s="251"/>
      <c r="E169" s="251"/>
      <c r="F169" s="251"/>
      <c r="G169" s="251"/>
    </row>
    <row r="171" spans="2:11" ht="23.25" customHeight="1" x14ac:dyDescent="0.35">
      <c r="B171" s="255" t="s">
        <v>874</v>
      </c>
      <c r="C171" s="255"/>
      <c r="D171" s="255"/>
      <c r="E171" s="255"/>
      <c r="F171" s="255"/>
      <c r="G171" s="255"/>
      <c r="H171" s="238"/>
      <c r="I171" s="124" t="s">
        <v>877</v>
      </c>
      <c r="J171" s="124" t="s">
        <v>878</v>
      </c>
      <c r="K171" s="124" t="s">
        <v>879</v>
      </c>
    </row>
    <row r="172" spans="2:11" ht="31.5" customHeight="1" x14ac:dyDescent="0.35">
      <c r="B172" s="92" t="s">
        <v>268</v>
      </c>
      <c r="C172" s="93"/>
      <c r="D172" s="92" t="s">
        <v>875</v>
      </c>
      <c r="E172" s="93"/>
      <c r="F172" s="92" t="s">
        <v>876</v>
      </c>
      <c r="G172" s="93"/>
      <c r="H172" s="238"/>
      <c r="I172" s="125" t="s">
        <v>881</v>
      </c>
      <c r="J172" s="114" t="s">
        <v>882</v>
      </c>
      <c r="K172" s="114" t="s">
        <v>883</v>
      </c>
    </row>
    <row r="173" spans="2:11" ht="26.5" x14ac:dyDescent="0.35">
      <c r="B173" s="94" t="s">
        <v>880</v>
      </c>
      <c r="C173" s="254"/>
      <c r="D173" s="254"/>
      <c r="E173" s="254"/>
      <c r="F173" s="254"/>
      <c r="G173" s="254"/>
      <c r="H173" s="238"/>
      <c r="I173" s="125" t="s">
        <v>885</v>
      </c>
      <c r="J173" s="114" t="s">
        <v>886</v>
      </c>
      <c r="K173" s="114" t="s">
        <v>887</v>
      </c>
    </row>
    <row r="174" spans="2:11" x14ac:dyDescent="0.35">
      <c r="B174" s="92" t="s">
        <v>884</v>
      </c>
      <c r="C174" s="254"/>
      <c r="D174" s="254"/>
      <c r="E174" s="254"/>
      <c r="F174" s="254"/>
      <c r="G174" s="254"/>
      <c r="H174" s="238"/>
      <c r="I174" s="125" t="s">
        <v>889</v>
      </c>
      <c r="J174" s="114" t="s">
        <v>890</v>
      </c>
      <c r="K174" s="114" t="s">
        <v>891</v>
      </c>
    </row>
    <row r="175" spans="2:11" ht="26.5" x14ac:dyDescent="0.35">
      <c r="B175" s="94" t="s">
        <v>888</v>
      </c>
      <c r="C175" s="254"/>
      <c r="D175" s="254"/>
      <c r="E175" s="254"/>
      <c r="F175" s="254"/>
      <c r="G175" s="254"/>
      <c r="H175" s="238"/>
      <c r="I175" s="125" t="s">
        <v>894</v>
      </c>
      <c r="J175" s="114" t="s">
        <v>895</v>
      </c>
      <c r="K175" s="114" t="s">
        <v>896</v>
      </c>
    </row>
    <row r="176" spans="2:11" ht="31.5" customHeight="1" x14ac:dyDescent="0.35">
      <c r="B176" s="92" t="s">
        <v>892</v>
      </c>
      <c r="C176" s="256" t="s">
        <v>1051</v>
      </c>
      <c r="D176" s="257"/>
      <c r="E176" s="257"/>
      <c r="F176" s="257"/>
      <c r="G176" s="257"/>
      <c r="H176" s="238"/>
      <c r="I176" s="125" t="s">
        <v>898</v>
      </c>
      <c r="J176" s="114" t="s">
        <v>899</v>
      </c>
      <c r="K176" s="114" t="s">
        <v>900</v>
      </c>
    </row>
    <row r="177" spans="2:11" x14ac:dyDescent="0.35">
      <c r="B177" s="92" t="s">
        <v>897</v>
      </c>
      <c r="C177" s="254"/>
      <c r="D177" s="254"/>
      <c r="E177" s="254"/>
      <c r="F177" s="254"/>
      <c r="G177" s="254"/>
      <c r="H177" s="238"/>
      <c r="I177" s="125" t="s">
        <v>904</v>
      </c>
      <c r="J177" s="114" t="s">
        <v>905</v>
      </c>
      <c r="K177" s="114" t="s">
        <v>906</v>
      </c>
    </row>
    <row r="178" spans="2:11" ht="29" x14ac:dyDescent="0.35">
      <c r="B178" s="94" t="s">
        <v>901</v>
      </c>
      <c r="C178" s="93"/>
      <c r="D178" s="92" t="s">
        <v>902</v>
      </c>
      <c r="E178" s="93"/>
      <c r="F178" s="92" t="s">
        <v>903</v>
      </c>
      <c r="G178" s="93"/>
      <c r="H178" s="238"/>
      <c r="I178" s="125" t="s">
        <v>910</v>
      </c>
      <c r="J178" s="114" t="s">
        <v>911</v>
      </c>
      <c r="K178" s="114" t="s">
        <v>912</v>
      </c>
    </row>
    <row r="179" spans="2:11" ht="45" customHeight="1" x14ac:dyDescent="0.35">
      <c r="B179" s="92" t="s">
        <v>907</v>
      </c>
      <c r="C179" s="93"/>
      <c r="D179" s="92" t="s">
        <v>908</v>
      </c>
      <c r="E179" s="93"/>
      <c r="F179" s="92" t="s">
        <v>909</v>
      </c>
      <c r="G179" s="93"/>
      <c r="H179" s="238"/>
      <c r="I179" s="125" t="s">
        <v>916</v>
      </c>
      <c r="J179" s="114" t="s">
        <v>917</v>
      </c>
      <c r="K179" s="114" t="s">
        <v>918</v>
      </c>
    </row>
    <row r="180" spans="2:11" x14ac:dyDescent="0.35">
      <c r="B180" s="94" t="s">
        <v>913</v>
      </c>
      <c r="C180" s="93"/>
      <c r="D180" s="92" t="s">
        <v>914</v>
      </c>
      <c r="E180" s="93"/>
      <c r="F180" s="92" t="s">
        <v>915</v>
      </c>
      <c r="G180" s="93"/>
      <c r="H180" s="238"/>
    </row>
    <row r="181" spans="2:11" x14ac:dyDescent="0.35">
      <c r="B181" s="92" t="s">
        <v>919</v>
      </c>
      <c r="C181" s="254"/>
      <c r="D181" s="254"/>
      <c r="E181" s="254"/>
      <c r="F181" s="254"/>
      <c r="G181" s="254"/>
      <c r="H181" s="238"/>
      <c r="I181" s="238"/>
      <c r="J181" s="238"/>
      <c r="K181" s="238"/>
    </row>
    <row r="182" spans="2:11" x14ac:dyDescent="0.35">
      <c r="B182" s="94" t="s">
        <v>920</v>
      </c>
      <c r="C182" s="254"/>
      <c r="D182" s="254"/>
      <c r="E182" s="254"/>
      <c r="F182" s="254"/>
      <c r="G182" s="254"/>
      <c r="H182" s="238"/>
    </row>
    <row r="183" spans="2:11" ht="29" x14ac:dyDescent="0.35">
      <c r="B183" s="92" t="s">
        <v>921</v>
      </c>
      <c r="C183" s="254"/>
      <c r="D183" s="254"/>
      <c r="E183" s="254"/>
      <c r="F183" s="254"/>
      <c r="G183" s="254"/>
      <c r="H183" s="238"/>
    </row>
  </sheetData>
  <mergeCells count="53">
    <mergeCell ref="B58:C58"/>
    <mergeCell ref="B100:G100"/>
    <mergeCell ref="B136:G136"/>
    <mergeCell ref="C8:E8"/>
    <mergeCell ref="C9:E9"/>
    <mergeCell ref="C10:E10"/>
    <mergeCell ref="C11:E11"/>
    <mergeCell ref="C12:E12"/>
    <mergeCell ref="B78:F78"/>
    <mergeCell ref="C27:E27"/>
    <mergeCell ref="C16:E16"/>
    <mergeCell ref="C20:E20"/>
    <mergeCell ref="C21:E21"/>
    <mergeCell ref="C22:E22"/>
    <mergeCell ref="C23:E23"/>
    <mergeCell ref="C29:E29"/>
    <mergeCell ref="B2:G2"/>
    <mergeCell ref="B4:G4"/>
    <mergeCell ref="C5:E5"/>
    <mergeCell ref="C6:E6"/>
    <mergeCell ref="C7:E7"/>
    <mergeCell ref="C169:G169"/>
    <mergeCell ref="C153:G153"/>
    <mergeCell ref="C154:G154"/>
    <mergeCell ref="C155:G155"/>
    <mergeCell ref="C156:G156"/>
    <mergeCell ref="C157:G157"/>
    <mergeCell ref="C166:G166"/>
    <mergeCell ref="C152:G152"/>
    <mergeCell ref="B159:G159"/>
    <mergeCell ref="C161:G161"/>
    <mergeCell ref="C168:G168"/>
    <mergeCell ref="B149:G149"/>
    <mergeCell ref="C151:G151"/>
    <mergeCell ref="C167:G167"/>
    <mergeCell ref="C162:G162"/>
    <mergeCell ref="C163:G163"/>
    <mergeCell ref="C164:G164"/>
    <mergeCell ref="C165:G165"/>
    <mergeCell ref="C182:G182"/>
    <mergeCell ref="C183:G183"/>
    <mergeCell ref="B171:G171"/>
    <mergeCell ref="C173:G173"/>
    <mergeCell ref="C174:G174"/>
    <mergeCell ref="C175:G175"/>
    <mergeCell ref="C176:G176"/>
    <mergeCell ref="C177:G177"/>
    <mergeCell ref="C181:G181"/>
    <mergeCell ref="C18:E18"/>
    <mergeCell ref="C19:E19"/>
    <mergeCell ref="C24:E24"/>
    <mergeCell ref="C25:E25"/>
    <mergeCell ref="C28:E28"/>
  </mergeCells>
  <dataValidations count="7">
    <dataValidation type="list" allowBlank="1" sqref="F34:F38 F41:F47 F50:F52 F55:F56" xr:uid="{00000000-0002-0000-0B00-000003000000}">
      <formula1>"Alta,Media,Baja,Sin mejora"</formula1>
      <formula2>0</formula2>
    </dataValidation>
    <dataValidation type="list" allowBlank="1" sqref="C102:C123" xr:uid="{00000000-0002-0000-0B00-000004000000}">
      <formula1>"Sí,No,Parcial"</formula1>
      <formula2>0</formula2>
    </dataValidation>
    <dataValidation type="list" allowBlank="1" showInputMessage="1" showErrorMessage="1" promptTitle="Seleccione herramienta" prompt="Seleccione una opción de la lista o escriba otra herramienta si aplica." sqref="C147" xr:uid="{E95F694E-B2F0-48A2-AC75-7A726AFF87A2}">
      <formula1>"API REST,Power Automate,Zapier,Make,Azure Logic Apps,MuleSoft,Boomi,Workato,ServiceNow IntegrationHub,Jira Automation"</formula1>
    </dataValidation>
    <dataValidation type="list" allowBlank="1" showInputMessage="1" showErrorMessage="1" promptTitle="Seleccione herramienta" prompt="Seleccione una opción de la lista o escriba otra herramienta si aplica." sqref="C143" xr:uid="{093F7F90-B9AF-47FE-9EC2-BACC77EA52A3}">
      <formula1>"Microsoft Teams Phone,Genesys Cloud,Avaya,3CX,Cisco Webex Contact Center,Amazon Connect,Twilio Flex,Five9,NICE CXone,Talkdesk"</formula1>
    </dataValidation>
    <dataValidation type="date" allowBlank="1" showInputMessage="1" showErrorMessage="1" sqref="C9:E9" xr:uid="{0B997FDC-DF80-4B27-8C22-F89F2394E4A8}">
      <formula1>46174</formula1>
      <formula2>46368</formula2>
    </dataValidation>
    <dataValidation allowBlank="1" sqref="C18:E25 C16:E16" xr:uid="{26241B1C-8487-4E9D-BAF6-7F6EFADB5522}"/>
    <dataValidation allowBlank="1" showInputMessage="1" showErrorMessage="1" sqref="C8:E8 C15" xr:uid="{D3B3E9BB-0328-4B77-82FA-E5871FE4374F}"/>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3">
        <x14:dataValidation type="list" allowBlank="1" xr:uid="{9095D5BB-27AD-4548-A9D8-F04A977A0426}">
          <x14:formula1>
            <xm:f>Listas!$H$5:$H$10</xm:f>
          </x14:formula1>
          <x14:formula2>
            <xm:f>0</xm:f>
          </x14:formula2>
          <xm:sqref>C12</xm:sqref>
        </x14:dataValidation>
        <x14:dataValidation type="list" allowBlank="1" xr:uid="{2B32CB78-4717-4756-98F1-A94A422B462C}">
          <x14:formula1>
            <xm:f>Listas!$D$5:$D$11</xm:f>
          </x14:formula1>
          <x14:formula2>
            <xm:f>0</xm:f>
          </x14:formula2>
          <xm:sqref>C13 C17</xm:sqref>
        </x14:dataValidation>
        <x14:dataValidation type="list" allowBlank="1" xr:uid="{00000000-0002-0000-0B00-000002000000}">
          <x14:formula1>
            <xm:f>Listas!$B$5:$B$9</xm:f>
          </x14:formula1>
          <x14:formula2>
            <xm:f>0</xm:f>
          </x14:formula2>
          <xm:sqref>D34:D38 D41:D47 D50:D52 D55:D56</xm:sqref>
        </x14:dataValidation>
        <x14:dataValidation type="list" allowBlank="1" xr:uid="{00000000-0002-0000-0B00-000005000000}">
          <x14:formula1>
            <xm:f>Listas!$F$5:$F$8</xm:f>
          </x14:formula1>
          <x14:formula2>
            <xm:f>0</xm:f>
          </x14:formula2>
          <xm:sqref>F102:F119</xm:sqref>
        </x14:dataValidation>
        <x14:dataValidation type="list" allowBlank="1" xr:uid="{00000000-0002-0000-0B00-000006000000}">
          <x14:formula1>
            <xm:f>Listas!$L$5:$L$8</xm:f>
          </x14:formula1>
          <x14:formula2>
            <xm:f>0</xm:f>
          </x14:formula2>
          <xm:sqref>C165</xm:sqref>
        </x14:dataValidation>
        <x14:dataValidation type="list" allowBlank="1" showInputMessage="1" showErrorMessage="1" xr:uid="{FC24D68F-3033-4AA9-921C-2760E8DDB321}">
          <x14:formula1>
            <xm:f>Listas!$N$5:$N$11</xm:f>
          </x14:formula1>
          <xm:sqref>C5:E5</xm:sqref>
        </x14:dataValidation>
        <x14:dataValidation type="list" allowBlank="1" showInputMessage="1" showErrorMessage="1" xr:uid="{2974F986-F3F4-4AF9-BDA8-7AB50C0F2121}">
          <x14:formula1>
            <xm:f>Listas!$P$5:$P$9</xm:f>
          </x14:formula1>
          <xm:sqref>F138:F147</xm:sqref>
        </x14:dataValidation>
        <x14:dataValidation type="list" allowBlank="1" showInputMessage="1" showErrorMessage="1" xr:uid="{E5A18D16-EB64-4562-99B7-4B07F4CC085B}">
          <x14:formula1>
            <xm:f>Listas!$R$5:$R$8</xm:f>
          </x14:formula1>
          <xm:sqref>D138:D147</xm:sqref>
        </x14:dataValidation>
        <x14:dataValidation type="list" allowBlank="1" showInputMessage="1" showErrorMessage="1" promptTitle="Seleccione herramienta" prompt="Seleccione una opción de la lista o escriba otra herramienta si aplica." xr:uid="{FC18B8A0-D271-47C5-BEFC-F0DED2E5A394}">
          <x14:formula1>
            <xm:f>Listas!$J$21:$J$35</xm:f>
          </x14:formula1>
          <xm:sqref>C146</xm:sqref>
        </x14:dataValidation>
        <x14:dataValidation type="list" allowBlank="1" showInputMessage="1" showErrorMessage="1" promptTitle="Seleccione herramienta" prompt="Seleccione una opción de la lista o escriba otra herramienta si aplica." xr:uid="{E8DC4022-651E-4D85-BEFF-F688B2F2F22D}">
          <x14:formula1>
            <xm:f>Listas!$L$21:$L$35</xm:f>
          </x14:formula1>
          <xm:sqref>C145</xm:sqref>
        </x14:dataValidation>
        <x14:dataValidation type="list" allowBlank="1" showInputMessage="1" showErrorMessage="1" promptTitle="Seleccione herramienta" prompt="Seleccione una opción de la lista o escriba otra herramienta si aplica." xr:uid="{5CA7264A-7FC6-493F-BA44-D6A967A74E36}">
          <x14:formula1>
            <xm:f>Listas!$H$21:$H$35</xm:f>
          </x14:formula1>
          <xm:sqref>C144</xm:sqref>
        </x14:dataValidation>
        <x14:dataValidation type="list" allowBlank="1" showInputMessage="1" showErrorMessage="1" promptTitle="Seleccione herramienta" prompt="Seleccione una opción de la lista o escriba otra herramienta si aplica." xr:uid="{8B273677-EFE8-4315-8652-69F5ADDE8A3B}">
          <x14:formula1>
            <xm:f>Listas!$N$21:$N$35</xm:f>
          </x14:formula1>
          <xm:sqref>C142</xm:sqref>
        </x14:dataValidation>
        <x14:dataValidation type="list" allowBlank="1" showInputMessage="1" showErrorMessage="1" promptTitle="Seleccione herramienta" prompt="Seleccione una opción de la lista o escriba otra herramienta si aplica." xr:uid="{22BC3A74-1ED7-4F0F-BD76-583BDEC9EAFC}">
          <x14:formula1>
            <xm:f>Listas!$P$21:$P$35</xm:f>
          </x14:formula1>
          <xm:sqref>C141</xm:sqref>
        </x14:dataValidation>
        <x14:dataValidation type="list" allowBlank="1" showInputMessage="1" showErrorMessage="1" promptTitle="Seleccione herramienta" prompt="Seleccione una opción de la lista o escriba otra herramienta si aplica." xr:uid="{A6027BA5-0E36-4F83-83A3-51D38CD59381}">
          <x14:formula1>
            <xm:f>Listas!$F$21:$F$35</xm:f>
          </x14:formula1>
          <xm:sqref>C140</xm:sqref>
        </x14:dataValidation>
        <x14:dataValidation type="list" allowBlank="1" showInputMessage="1" showErrorMessage="1" promptTitle="Seleccione herramienta" prompt="Seleccione una opción de la lista o escriba otra herramienta si aplica." xr:uid="{583EEDD2-7FDD-4FFB-99A2-027066C257C4}">
          <x14:formula1>
            <xm:f>Listas!$D$21:$D$35</xm:f>
          </x14:formula1>
          <xm:sqref>C139</xm:sqref>
        </x14:dataValidation>
        <x14:dataValidation type="list" allowBlank="1" showInputMessage="1" showErrorMessage="1" promptTitle="Seleccione herramienta" prompt="Seleccione una opción de la lista o escriba otra herramienta si aplica." xr:uid="{3992252A-2E32-4E9E-A38A-64C1448EE18E}">
          <x14:formula1>
            <xm:f>Listas!$B$21:$B$35</xm:f>
          </x14:formula1>
          <xm:sqref>C138</xm:sqref>
        </x14:dataValidation>
        <x14:dataValidation type="list" allowBlank="1" showInputMessage="1" showErrorMessage="1" xr:uid="{887EDE24-1D9B-4892-A427-D4D4815A5703}">
          <x14:formula1>
            <xm:f>Listas!$J$45:$J$49</xm:f>
          </x14:formula1>
          <xm:sqref>C97:D98</xm:sqref>
        </x14:dataValidation>
        <x14:dataValidation type="list" allowBlank="1" showInputMessage="1" showErrorMessage="1" xr:uid="{56EA0291-41FB-4D93-BDE9-1387545BBD6B}">
          <x14:formula1>
            <xm:f>Listas!$H$45:$H$48</xm:f>
          </x14:formula1>
          <xm:sqref>C96:D96</xm:sqref>
        </x14:dataValidation>
        <x14:dataValidation type="list" allowBlank="1" showInputMessage="1" showErrorMessage="1" xr:uid="{67EF91B4-55C5-4D6D-9559-5C85749E32C0}">
          <x14:formula1>
            <xm:f>Listas!$F$45:$F$52</xm:f>
          </x14:formula1>
          <xm:sqref>C93:D93</xm:sqref>
        </x14:dataValidation>
        <x14:dataValidation type="list" allowBlank="1" showInputMessage="1" showErrorMessage="1" xr:uid="{948DBC85-8117-44F7-A8C1-A941FE3F887C}">
          <x14:formula1>
            <xm:f>Listas!$D$45:$D$49</xm:f>
          </x14:formula1>
          <xm:sqref>C92:D92</xm:sqref>
        </x14:dataValidation>
        <x14:dataValidation type="list" allowBlank="1" showInputMessage="1" showErrorMessage="1" xr:uid="{22E4D48A-A423-404C-AF72-CE86FC82FB2C}">
          <x14:formula1>
            <xm:f>Listas!$B$45:$B$48</xm:f>
          </x14:formula1>
          <xm:sqref>C91:D91</xm:sqref>
        </x14:dataValidation>
        <x14:dataValidation type="list" allowBlank="1" showInputMessage="1" showErrorMessage="1" xr:uid="{B5CBFE25-B771-4503-9D0F-E0D656C46EED}">
          <x14:formula1>
            <xm:f>Listas!$B$53:$B$58</xm:f>
          </x14:formula1>
          <xm:sqref>C133</xm:sqref>
        </x14:dataValidation>
        <x14:dataValidation type="list" allowBlank="1" showInputMessage="1" showErrorMessage="1" xr:uid="{B8C2398B-481E-404D-B9C6-BB6361DAFB3A}">
          <x14:formula1>
            <xm:f>Listas!$B$12:$B$17</xm:f>
          </x14:formula1>
          <xm:sqref>C14</xm:sqref>
        </x14:dataValidation>
      </x14:dataValidation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4A5F1-F23F-417E-A344-6E941F06E4AC}">
  <sheetPr>
    <tabColor rgb="FFD4A017"/>
  </sheetPr>
  <dimension ref="B1:K182"/>
  <sheetViews>
    <sheetView showGridLines="0" zoomScaleNormal="100" workbookViewId="0">
      <pane xSplit="2" ySplit="2" topLeftCell="C3" activePane="bottomRight" state="frozen"/>
      <selection pane="topRight" activeCell="C1" sqref="C1"/>
      <selection pane="bottomLeft" activeCell="A3" sqref="A3"/>
      <selection pane="bottomRight" activeCell="E15" sqref="E15"/>
    </sheetView>
  </sheetViews>
  <sheetFormatPr baseColWidth="10" defaultColWidth="8.54296875" defaultRowHeight="14.5" x14ac:dyDescent="0.35"/>
  <cols>
    <col min="1" max="1" width="3" style="1" customWidth="1"/>
    <col min="2" max="2" width="40.1796875" style="1" customWidth="1"/>
    <col min="3" max="3" width="42.7265625" style="1" customWidth="1"/>
    <col min="4" max="4" width="34" style="1" customWidth="1"/>
    <col min="5" max="5" width="40" style="1" customWidth="1"/>
    <col min="6" max="6" width="33" style="1" customWidth="1"/>
    <col min="7" max="7" width="29" style="1" customWidth="1"/>
    <col min="8" max="8" width="8.54296875" style="1"/>
    <col min="9" max="9" width="16.453125" style="1" customWidth="1"/>
    <col min="10" max="10" width="33.54296875" style="1" customWidth="1"/>
    <col min="11" max="11" width="36.7265625" style="1" customWidth="1"/>
    <col min="12" max="16384" width="8.54296875" style="1"/>
  </cols>
  <sheetData>
    <row r="1" spans="2:11" ht="7.5" customHeight="1" x14ac:dyDescent="0.35"/>
    <row r="2" spans="2:11" ht="30" customHeight="1" x14ac:dyDescent="0.35">
      <c r="B2" s="259" t="s">
        <v>1325</v>
      </c>
      <c r="C2" s="259"/>
      <c r="D2" s="259"/>
      <c r="E2" s="259"/>
      <c r="F2" s="259"/>
      <c r="G2" s="259"/>
    </row>
    <row r="3" spans="2:11" ht="15.5" x14ac:dyDescent="0.35">
      <c r="I3" s="62" t="s">
        <v>60</v>
      </c>
      <c r="J3" s="62"/>
      <c r="K3" s="62"/>
    </row>
    <row r="4" spans="2:11" ht="24" customHeight="1" x14ac:dyDescent="0.35">
      <c r="B4" s="258" t="s">
        <v>647</v>
      </c>
      <c r="C4" s="258"/>
      <c r="D4" s="258"/>
      <c r="E4" s="258"/>
      <c r="F4" s="258"/>
      <c r="G4" s="258"/>
      <c r="I4" s="6" t="s">
        <v>61</v>
      </c>
      <c r="J4" s="6" t="s">
        <v>62</v>
      </c>
      <c r="K4" s="6" t="s">
        <v>22</v>
      </c>
    </row>
    <row r="5" spans="2:11" ht="17" x14ac:dyDescent="0.35">
      <c r="B5" s="37" t="s">
        <v>648</v>
      </c>
      <c r="C5" s="251" t="s">
        <v>281</v>
      </c>
      <c r="D5" s="251"/>
      <c r="E5" s="251"/>
      <c r="I5" s="17" t="s">
        <v>63</v>
      </c>
      <c r="J5" s="18" t="s">
        <v>64</v>
      </c>
      <c r="K5" s="63" t="s">
        <v>65</v>
      </c>
    </row>
    <row r="6" spans="2:11" ht="17.25" customHeight="1" x14ac:dyDescent="0.35">
      <c r="B6" s="37" t="s">
        <v>649</v>
      </c>
      <c r="C6" s="251" t="s">
        <v>1326</v>
      </c>
      <c r="D6" s="251"/>
      <c r="E6" s="251"/>
      <c r="I6" s="19" t="s">
        <v>66</v>
      </c>
      <c r="J6" s="122" t="s">
        <v>67</v>
      </c>
      <c r="K6" s="63" t="s">
        <v>68</v>
      </c>
    </row>
    <row r="7" spans="2:11" ht="17.25" customHeight="1" x14ac:dyDescent="0.35">
      <c r="B7" s="37" t="s">
        <v>651</v>
      </c>
      <c r="C7" s="251" t="s">
        <v>1327</v>
      </c>
      <c r="D7" s="251"/>
      <c r="E7" s="251"/>
      <c r="I7" s="20" t="s">
        <v>69</v>
      </c>
      <c r="J7" s="122" t="s">
        <v>70</v>
      </c>
      <c r="K7" s="63" t="s">
        <v>71</v>
      </c>
    </row>
    <row r="8" spans="2:11" ht="17.25" customHeight="1" x14ac:dyDescent="0.35">
      <c r="B8" s="37" t="s">
        <v>1201</v>
      </c>
      <c r="C8" s="261" t="s">
        <v>1202</v>
      </c>
      <c r="D8" s="262"/>
      <c r="E8" s="262"/>
      <c r="I8" s="21" t="s">
        <v>72</v>
      </c>
      <c r="J8" s="122" t="s">
        <v>73</v>
      </c>
      <c r="K8" s="63" t="s">
        <v>74</v>
      </c>
    </row>
    <row r="9" spans="2:11" ht="17" x14ac:dyDescent="0.35">
      <c r="B9" s="37" t="s">
        <v>655</v>
      </c>
      <c r="C9" s="263">
        <v>46213</v>
      </c>
      <c r="D9" s="264"/>
      <c r="E9" s="264"/>
      <c r="I9" s="22" t="s">
        <v>75</v>
      </c>
      <c r="J9" s="122" t="s">
        <v>76</v>
      </c>
      <c r="K9" s="63" t="s">
        <v>77</v>
      </c>
    </row>
    <row r="10" spans="2:11" x14ac:dyDescent="0.35">
      <c r="B10" s="37" t="s">
        <v>656</v>
      </c>
      <c r="C10" s="251" t="s">
        <v>657</v>
      </c>
      <c r="D10" s="251"/>
      <c r="E10" s="251"/>
    </row>
    <row r="11" spans="2:11" x14ac:dyDescent="0.35">
      <c r="B11" s="37" t="s">
        <v>658</v>
      </c>
      <c r="C11" s="251">
        <v>4</v>
      </c>
      <c r="D11" s="262"/>
      <c r="E11" s="262"/>
      <c r="I11" s="6" t="s">
        <v>659</v>
      </c>
      <c r="J11" s="6" t="s">
        <v>292</v>
      </c>
      <c r="K11" s="6" t="s">
        <v>660</v>
      </c>
    </row>
    <row r="12" spans="2:11" x14ac:dyDescent="0.35">
      <c r="B12" s="37" t="s">
        <v>661</v>
      </c>
      <c r="C12" s="251" t="s">
        <v>283</v>
      </c>
      <c r="D12" s="251"/>
      <c r="E12" s="251"/>
      <c r="I12" s="18" t="s">
        <v>662</v>
      </c>
      <c r="J12" s="63" t="s">
        <v>663</v>
      </c>
      <c r="K12" s="63" t="s">
        <v>664</v>
      </c>
    </row>
    <row r="13" spans="2:11" ht="18.5" x14ac:dyDescent="0.35">
      <c r="B13" s="133" t="s">
        <v>1310</v>
      </c>
      <c r="C13" s="140" t="s">
        <v>66</v>
      </c>
      <c r="D13" s="141" t="s">
        <v>666</v>
      </c>
      <c r="E13" s="70"/>
      <c r="I13" s="122" t="s">
        <v>667</v>
      </c>
      <c r="J13" s="63" t="s">
        <v>668</v>
      </c>
      <c r="K13" s="63" t="s">
        <v>669</v>
      </c>
    </row>
    <row r="14" spans="2:11" ht="15.5" x14ac:dyDescent="0.35">
      <c r="B14" s="133" t="s">
        <v>1311</v>
      </c>
      <c r="C14" s="138" t="s">
        <v>297</v>
      </c>
      <c r="D14" s="141"/>
      <c r="E14" s="70"/>
      <c r="I14" s="122" t="s">
        <v>672</v>
      </c>
      <c r="J14" s="63" t="s">
        <v>673</v>
      </c>
      <c r="K14" s="63" t="s">
        <v>674</v>
      </c>
    </row>
    <row r="15" spans="2:11" ht="15.5" x14ac:dyDescent="0.35">
      <c r="B15" s="133" t="s">
        <v>675</v>
      </c>
      <c r="C15" s="230" t="s">
        <v>1203</v>
      </c>
      <c r="D15" s="141"/>
      <c r="E15" s="70"/>
    </row>
    <row r="16" spans="2:11" ht="15" customHeight="1" x14ac:dyDescent="0.35">
      <c r="B16" s="133" t="s">
        <v>678</v>
      </c>
      <c r="C16" s="251" t="s">
        <v>679</v>
      </c>
      <c r="D16" s="262" t="s">
        <v>666</v>
      </c>
      <c r="E16" s="262"/>
    </row>
    <row r="17" spans="2:7" ht="15" customHeight="1" x14ac:dyDescent="0.35">
      <c r="B17" s="133" t="s">
        <v>1312</v>
      </c>
      <c r="C17" s="38" t="s">
        <v>432</v>
      </c>
      <c r="D17" s="134"/>
    </row>
    <row r="18" spans="2:7" x14ac:dyDescent="0.35">
      <c r="B18" s="37" t="s">
        <v>680</v>
      </c>
      <c r="C18" s="251" t="s">
        <v>1328</v>
      </c>
      <c r="D18" s="251"/>
      <c r="E18" s="251"/>
    </row>
    <row r="19" spans="2:7" ht="48" customHeight="1" x14ac:dyDescent="0.35">
      <c r="B19" s="37" t="s">
        <v>682</v>
      </c>
      <c r="C19" s="251"/>
      <c r="D19" s="251"/>
      <c r="E19" s="251"/>
    </row>
    <row r="20" spans="2:7" s="110" customFormat="1" x14ac:dyDescent="0.35">
      <c r="B20" s="37" t="s">
        <v>684</v>
      </c>
      <c r="C20" s="251"/>
      <c r="D20" s="251"/>
      <c r="E20" s="251"/>
    </row>
    <row r="21" spans="2:7" s="110" customFormat="1" x14ac:dyDescent="0.35">
      <c r="B21" s="37" t="s">
        <v>686</v>
      </c>
      <c r="C21" s="251"/>
      <c r="D21" s="251"/>
      <c r="E21" s="251"/>
    </row>
    <row r="22" spans="2:7" s="110" customFormat="1" x14ac:dyDescent="0.35">
      <c r="B22" s="37" t="s">
        <v>688</v>
      </c>
      <c r="C22" s="251"/>
      <c r="D22" s="251"/>
      <c r="E22" s="251"/>
    </row>
    <row r="23" spans="2:7" s="110" customFormat="1" x14ac:dyDescent="0.35">
      <c r="B23" s="37" t="s">
        <v>690</v>
      </c>
      <c r="C23" s="251"/>
      <c r="D23" s="251"/>
      <c r="E23" s="251"/>
    </row>
    <row r="24" spans="2:7" s="110" customFormat="1" x14ac:dyDescent="0.35">
      <c r="B24" s="37" t="s">
        <v>692</v>
      </c>
      <c r="C24" s="251" t="s">
        <v>1206</v>
      </c>
      <c r="D24" s="251"/>
      <c r="E24" s="251"/>
    </row>
    <row r="25" spans="2:7" s="110" customFormat="1" x14ac:dyDescent="0.35">
      <c r="B25" s="37" t="s">
        <v>935</v>
      </c>
      <c r="C25" s="251"/>
      <c r="D25" s="251"/>
      <c r="E25" s="251"/>
    </row>
    <row r="26" spans="2:7" s="110" customFormat="1" x14ac:dyDescent="0.35">
      <c r="B26" s="37" t="s">
        <v>936</v>
      </c>
      <c r="C26" s="174" t="s">
        <v>1207</v>
      </c>
      <c r="D26" s="174"/>
      <c r="E26" s="174"/>
    </row>
    <row r="27" spans="2:7" s="110" customFormat="1" ht="15" x14ac:dyDescent="0.35">
      <c r="B27" s="37" t="s">
        <v>938</v>
      </c>
      <c r="C27" s="252" t="s">
        <v>1208</v>
      </c>
      <c r="D27" s="252"/>
      <c r="E27" s="253"/>
    </row>
    <row r="28" spans="2:7" s="110" customFormat="1" ht="15" x14ac:dyDescent="0.35">
      <c r="B28" s="199" t="s">
        <v>698</v>
      </c>
      <c r="C28" s="252" t="s">
        <v>1210</v>
      </c>
      <c r="D28" s="252"/>
      <c r="E28" s="253"/>
    </row>
    <row r="29" spans="2:7" s="110" customFormat="1" x14ac:dyDescent="0.35">
      <c r="B29" s="199"/>
      <c r="C29" s="252"/>
      <c r="D29" s="252"/>
      <c r="E29" s="253"/>
    </row>
    <row r="30" spans="2:7" s="110" customFormat="1" ht="14.5" customHeight="1" x14ac:dyDescent="0.35"/>
    <row r="31" spans="2:7" ht="24" customHeight="1" x14ac:dyDescent="0.35">
      <c r="B31" s="100" t="s">
        <v>699</v>
      </c>
      <c r="C31" s="100"/>
      <c r="D31" s="100"/>
      <c r="E31" s="100"/>
      <c r="F31" s="100"/>
      <c r="G31" s="110"/>
    </row>
    <row r="32" spans="2:7" ht="27.75" customHeight="1" x14ac:dyDescent="0.35">
      <c r="B32" s="6" t="s">
        <v>19</v>
      </c>
      <c r="C32" s="6" t="s">
        <v>700</v>
      </c>
      <c r="D32" s="6" t="s">
        <v>701</v>
      </c>
      <c r="E32" s="6" t="s">
        <v>702</v>
      </c>
      <c r="F32" s="6" t="s">
        <v>703</v>
      </c>
      <c r="G32" s="110"/>
    </row>
    <row r="33" spans="2:7" ht="21.75" customHeight="1" x14ac:dyDescent="0.35">
      <c r="B33" s="170" t="s">
        <v>704</v>
      </c>
      <c r="C33" s="170"/>
      <c r="D33" s="170"/>
      <c r="E33" s="170"/>
      <c r="F33" s="170"/>
      <c r="G33" s="110"/>
    </row>
    <row r="34" spans="2:7" ht="27.75" customHeight="1" x14ac:dyDescent="0.35">
      <c r="B34" s="40" t="s">
        <v>939</v>
      </c>
      <c r="C34" s="65" t="s">
        <v>705</v>
      </c>
      <c r="D34" s="26" t="s">
        <v>86</v>
      </c>
      <c r="E34" s="5" t="s">
        <v>1211</v>
      </c>
      <c r="F34" s="36" t="s">
        <v>277</v>
      </c>
    </row>
    <row r="35" spans="2:7" ht="27.75" customHeight="1" x14ac:dyDescent="0.35">
      <c r="B35" s="41" t="s">
        <v>941</v>
      </c>
      <c r="C35" s="66" t="s">
        <v>706</v>
      </c>
      <c r="D35" s="26" t="s">
        <v>93</v>
      </c>
      <c r="E35" s="5" t="s">
        <v>1212</v>
      </c>
      <c r="F35" s="36" t="s">
        <v>271</v>
      </c>
    </row>
    <row r="36" spans="2:7" ht="27.75" customHeight="1" x14ac:dyDescent="0.35">
      <c r="B36" s="40" t="s">
        <v>943</v>
      </c>
      <c r="C36" s="65" t="s">
        <v>707</v>
      </c>
      <c r="D36" s="26" t="s">
        <v>86</v>
      </c>
      <c r="E36" s="5" t="s">
        <v>1213</v>
      </c>
      <c r="F36" s="36" t="s">
        <v>277</v>
      </c>
    </row>
    <row r="37" spans="2:7" ht="27.75" customHeight="1" x14ac:dyDescent="0.35">
      <c r="B37" s="41" t="s">
        <v>945</v>
      </c>
      <c r="C37" s="66" t="s">
        <v>708</v>
      </c>
      <c r="D37" s="26" t="s">
        <v>89</v>
      </c>
      <c r="E37" s="5" t="s">
        <v>1214</v>
      </c>
      <c r="F37" s="36" t="s">
        <v>277</v>
      </c>
    </row>
    <row r="38" spans="2:7" ht="27.75" customHeight="1" x14ac:dyDescent="0.35">
      <c r="B38" s="40" t="s">
        <v>947</v>
      </c>
      <c r="C38" s="65" t="s">
        <v>709</v>
      </c>
      <c r="D38" s="26" t="s">
        <v>89</v>
      </c>
      <c r="E38" s="5" t="s">
        <v>1215</v>
      </c>
      <c r="F38" s="36" t="s">
        <v>277</v>
      </c>
    </row>
    <row r="40" spans="2:7" ht="21.75" customHeight="1" x14ac:dyDescent="0.35">
      <c r="B40" s="129" t="s">
        <v>711</v>
      </c>
      <c r="C40" s="129"/>
      <c r="D40" s="129"/>
      <c r="E40" s="129"/>
      <c r="F40" s="129"/>
    </row>
    <row r="41" spans="2:7" ht="27.75" customHeight="1" x14ac:dyDescent="0.35">
      <c r="B41" s="41" t="s">
        <v>949</v>
      </c>
      <c r="C41" s="66" t="s">
        <v>712</v>
      </c>
      <c r="D41" s="26" t="s">
        <v>86</v>
      </c>
      <c r="E41" s="5" t="s">
        <v>1216</v>
      </c>
      <c r="F41" s="36" t="s">
        <v>277</v>
      </c>
    </row>
    <row r="42" spans="2:7" ht="27.75" customHeight="1" x14ac:dyDescent="0.35">
      <c r="B42" s="40" t="s">
        <v>951</v>
      </c>
      <c r="C42" s="65" t="s">
        <v>714</v>
      </c>
      <c r="D42" s="26" t="s">
        <v>86</v>
      </c>
      <c r="E42" s="5" t="s">
        <v>1217</v>
      </c>
      <c r="F42" s="36" t="s">
        <v>277</v>
      </c>
    </row>
    <row r="43" spans="2:7" ht="27.75" customHeight="1" x14ac:dyDescent="0.35">
      <c r="B43" s="41" t="s">
        <v>953</v>
      </c>
      <c r="C43" s="66" t="s">
        <v>716</v>
      </c>
      <c r="D43" s="26" t="s">
        <v>86</v>
      </c>
      <c r="E43" s="5" t="s">
        <v>1218</v>
      </c>
      <c r="F43" s="36" t="s">
        <v>277</v>
      </c>
    </row>
    <row r="44" spans="2:7" ht="43.5" x14ac:dyDescent="0.35">
      <c r="B44" s="40" t="s">
        <v>955</v>
      </c>
      <c r="C44" s="65" t="s">
        <v>718</v>
      </c>
      <c r="D44" s="26" t="s">
        <v>89</v>
      </c>
      <c r="E44" s="5" t="s">
        <v>1219</v>
      </c>
      <c r="F44" s="36" t="s">
        <v>271</v>
      </c>
    </row>
    <row r="45" spans="2:7" ht="43.5" x14ac:dyDescent="0.35">
      <c r="B45" s="41" t="s">
        <v>957</v>
      </c>
      <c r="C45" s="66" t="s">
        <v>719</v>
      </c>
      <c r="D45" s="26" t="s">
        <v>89</v>
      </c>
      <c r="E45" s="5" t="s">
        <v>1220</v>
      </c>
      <c r="F45" s="36" t="s">
        <v>277</v>
      </c>
    </row>
    <row r="46" spans="2:7" ht="27.75" customHeight="1" x14ac:dyDescent="0.35">
      <c r="B46" s="40" t="s">
        <v>958</v>
      </c>
      <c r="C46" s="65" t="s">
        <v>721</v>
      </c>
      <c r="D46" s="26" t="s">
        <v>89</v>
      </c>
      <c r="E46" s="5" t="s">
        <v>1221</v>
      </c>
      <c r="F46" s="36" t="s">
        <v>277</v>
      </c>
    </row>
    <row r="47" spans="2:7" ht="27.75" customHeight="1" x14ac:dyDescent="0.35">
      <c r="B47" s="41" t="s">
        <v>959</v>
      </c>
      <c r="C47" s="66" t="s">
        <v>722</v>
      </c>
      <c r="D47" s="26" t="s">
        <v>86</v>
      </c>
      <c r="E47" s="5" t="s">
        <v>1222</v>
      </c>
      <c r="F47" s="36" t="s">
        <v>277</v>
      </c>
    </row>
    <row r="49" spans="2:6" ht="21.75" customHeight="1" x14ac:dyDescent="0.35">
      <c r="B49" s="129" t="s">
        <v>723</v>
      </c>
      <c r="C49" s="129"/>
      <c r="D49" s="129"/>
      <c r="E49" s="129"/>
      <c r="F49" s="129"/>
    </row>
    <row r="50" spans="2:6" ht="27.75" customHeight="1" x14ac:dyDescent="0.35">
      <c r="B50" s="40" t="s">
        <v>961</v>
      </c>
      <c r="C50" s="65" t="s">
        <v>724</v>
      </c>
      <c r="D50" s="26" t="s">
        <v>86</v>
      </c>
      <c r="E50" s="5" t="s">
        <v>1223</v>
      </c>
      <c r="F50" s="36" t="s">
        <v>277</v>
      </c>
    </row>
    <row r="51" spans="2:6" ht="43.5" x14ac:dyDescent="0.35">
      <c r="B51" s="41" t="s">
        <v>963</v>
      </c>
      <c r="C51" s="66" t="s">
        <v>726</v>
      </c>
      <c r="D51" s="26" t="s">
        <v>86</v>
      </c>
      <c r="E51" s="5" t="s">
        <v>1224</v>
      </c>
      <c r="F51" s="36" t="s">
        <v>277</v>
      </c>
    </row>
    <row r="52" spans="2:6" ht="27.75" customHeight="1" x14ac:dyDescent="0.35">
      <c r="B52" s="40" t="s">
        <v>965</v>
      </c>
      <c r="C52" s="65" t="s">
        <v>727</v>
      </c>
      <c r="D52" s="26" t="s">
        <v>89</v>
      </c>
      <c r="E52" s="5" t="s">
        <v>1225</v>
      </c>
      <c r="F52" s="36" t="s">
        <v>271</v>
      </c>
    </row>
    <row r="54" spans="2:6" ht="21.75" customHeight="1" x14ac:dyDescent="0.35">
      <c r="B54" s="129" t="s">
        <v>728</v>
      </c>
      <c r="C54" s="129"/>
      <c r="D54" s="129"/>
      <c r="E54" s="129"/>
      <c r="F54" s="129"/>
    </row>
    <row r="55" spans="2:6" ht="27.75" customHeight="1" x14ac:dyDescent="0.35">
      <c r="B55" s="41" t="s">
        <v>967</v>
      </c>
      <c r="C55" s="66" t="s">
        <v>729</v>
      </c>
      <c r="D55" s="26" t="s">
        <v>86</v>
      </c>
      <c r="E55" s="5" t="s">
        <v>1226</v>
      </c>
      <c r="F55" s="36" t="s">
        <v>277</v>
      </c>
    </row>
    <row r="56" spans="2:6" ht="27.75" customHeight="1" x14ac:dyDescent="0.35">
      <c r="B56" s="40" t="s">
        <v>969</v>
      </c>
      <c r="C56" s="65" t="s">
        <v>731</v>
      </c>
      <c r="D56" s="26" t="s">
        <v>89</v>
      </c>
      <c r="E56" s="5" t="s">
        <v>1227</v>
      </c>
      <c r="F56" s="36" t="s">
        <v>271</v>
      </c>
    </row>
    <row r="58" spans="2:6" ht="27.75" customHeight="1" x14ac:dyDescent="0.35">
      <c r="B58" s="260" t="s">
        <v>732</v>
      </c>
      <c r="C58" s="260"/>
      <c r="D58" s="42">
        <f>IF(D34="Sí",1,IF(D34="Parcial",0.5,0))+IF(D35="Sí",1,IF(D35="Parcial",0.5,0))+IF(D36="Sí",1,IF(D36="Parcial",0.5,0))+IF(D37="Sí",1,IF(D37="Parcial",0.5,0))+IF(D38="Sí",1,IF(D38="Parcial",0.5,0))+IF(D41="Sí",1,IF(D41="Parcial",0.5,0))+IF(D42="Sí",1,IF(D42="Parcial",0.5,0))+IF(D43="Sí",1,IF(D43="Parcial",0.5,0))+IF(D44="Sí",1,IF(D44="Parcial",0.5,0))+IF(D45="Sí",1,IF(D45="Parcial",0.5,0))+IF(D46="Sí",1,IF(D46="Parcial",0.5,0))+IF(D47="Sí",1,IF(D47="Parcial",0.5,0))+IF(D50="Sí",1,IF(D50="Parcial",0.5,0))+IF(D51="Sí",1,IF(D51="Parcial",0.5,0))+IF(D52="Sí",1,IF(D52="Parcial",0.5,0))+IF(D55="Sí",1,IF(D55="Parcial",0.5,0))+IF(D56="Sí",1,IF(D56="Parcial",0.5,0))</f>
        <v>12.5</v>
      </c>
      <c r="E58" s="43">
        <f>D58/17</f>
        <v>0.73529411764705888</v>
      </c>
    </row>
    <row r="60" spans="2:6" ht="24" customHeight="1" x14ac:dyDescent="0.35">
      <c r="B60" s="100" t="s">
        <v>733</v>
      </c>
      <c r="C60" s="100"/>
      <c r="D60" s="100"/>
      <c r="E60" s="100"/>
      <c r="F60" s="100"/>
    </row>
    <row r="61" spans="2:6" ht="21.75" customHeight="1" x14ac:dyDescent="0.35">
      <c r="B61" s="6" t="s">
        <v>464</v>
      </c>
      <c r="C61" s="6" t="s">
        <v>466</v>
      </c>
      <c r="D61" s="6" t="s">
        <v>734</v>
      </c>
      <c r="E61" s="6" t="s">
        <v>735</v>
      </c>
      <c r="F61" s="6" t="s">
        <v>736</v>
      </c>
    </row>
    <row r="62" spans="2:6" ht="38.25" customHeight="1" x14ac:dyDescent="0.35">
      <c r="B62" s="44" t="s">
        <v>467</v>
      </c>
      <c r="C62" s="166" t="s">
        <v>1228</v>
      </c>
      <c r="D62" s="45"/>
      <c r="E62" s="45" t="s">
        <v>1229</v>
      </c>
      <c r="F62" s="206" t="s">
        <v>1230</v>
      </c>
    </row>
    <row r="63" spans="2:6" ht="38.25" customHeight="1" x14ac:dyDescent="0.35">
      <c r="B63" s="210" t="s">
        <v>972</v>
      </c>
      <c r="C63" s="166" t="s">
        <v>1231</v>
      </c>
      <c r="D63" s="45"/>
      <c r="E63" s="45"/>
      <c r="F63" s="206" t="s">
        <v>1232</v>
      </c>
    </row>
    <row r="64" spans="2:6" ht="38.25" customHeight="1" x14ac:dyDescent="0.35">
      <c r="B64" s="210" t="s">
        <v>973</v>
      </c>
      <c r="C64" s="166" t="s">
        <v>1233</v>
      </c>
      <c r="D64" s="45"/>
      <c r="E64" s="45"/>
      <c r="F64" s="206" t="s">
        <v>1234</v>
      </c>
    </row>
    <row r="65" spans="2:6" ht="38.25" customHeight="1" x14ac:dyDescent="0.35">
      <c r="B65" s="46" t="s">
        <v>470</v>
      </c>
      <c r="C65" s="215" t="s">
        <v>1235</v>
      </c>
      <c r="D65" s="47"/>
      <c r="E65" s="47" t="s">
        <v>1236</v>
      </c>
      <c r="F65" s="206" t="s">
        <v>1237</v>
      </c>
    </row>
    <row r="66" spans="2:6" ht="38.25" customHeight="1" x14ac:dyDescent="0.35">
      <c r="B66" s="44" t="s">
        <v>472</v>
      </c>
      <c r="C66" s="166"/>
      <c r="D66" s="45" t="s">
        <v>97</v>
      </c>
      <c r="E66" s="45" t="s">
        <v>97</v>
      </c>
      <c r="F66" s="206"/>
    </row>
    <row r="67" spans="2:6" ht="38.25" customHeight="1" x14ac:dyDescent="0.35">
      <c r="B67" s="46" t="s">
        <v>737</v>
      </c>
      <c r="C67" s="215"/>
      <c r="D67" s="47" t="s">
        <v>97</v>
      </c>
      <c r="E67" s="47" t="s">
        <v>97</v>
      </c>
      <c r="F67" s="206"/>
    </row>
    <row r="68" spans="2:6" ht="38.25" customHeight="1" x14ac:dyDescent="0.35">
      <c r="B68" s="44" t="s">
        <v>475</v>
      </c>
      <c r="C68" s="72"/>
      <c r="D68" s="45" t="s">
        <v>496</v>
      </c>
      <c r="E68" s="45" t="s">
        <v>496</v>
      </c>
      <c r="F68" s="206" t="s">
        <v>1238</v>
      </c>
    </row>
    <row r="69" spans="2:6" ht="38.25" customHeight="1" x14ac:dyDescent="0.35">
      <c r="B69" s="46" t="s">
        <v>477</v>
      </c>
      <c r="C69" s="219" t="s">
        <v>1239</v>
      </c>
      <c r="D69" s="47"/>
      <c r="E69" s="47" t="s">
        <v>1236</v>
      </c>
      <c r="F69" s="206" t="s">
        <v>1316</v>
      </c>
    </row>
    <row r="70" spans="2:6" ht="38.25" customHeight="1" x14ac:dyDescent="0.35">
      <c r="B70" s="44" t="s">
        <v>257</v>
      </c>
      <c r="C70" s="219" t="s">
        <v>479</v>
      </c>
      <c r="D70" s="45" t="s">
        <v>1240</v>
      </c>
      <c r="E70" s="45"/>
      <c r="F70" s="206" t="s">
        <v>1241</v>
      </c>
    </row>
    <row r="71" spans="2:6" ht="38.25" customHeight="1" x14ac:dyDescent="0.35">
      <c r="B71" s="46" t="s">
        <v>480</v>
      </c>
      <c r="C71" s="219" t="s">
        <v>1242</v>
      </c>
      <c r="D71" s="47"/>
      <c r="E71" s="47"/>
      <c r="F71" s="206" t="s">
        <v>1243</v>
      </c>
    </row>
    <row r="72" spans="2:6" ht="38.25" customHeight="1" x14ac:dyDescent="0.35">
      <c r="B72" s="44" t="s">
        <v>482</v>
      </c>
      <c r="C72" s="219" t="s">
        <v>1244</v>
      </c>
      <c r="D72" s="45"/>
      <c r="E72" s="45" t="s">
        <v>1236</v>
      </c>
      <c r="F72" s="206" t="s">
        <v>1245</v>
      </c>
    </row>
    <row r="73" spans="2:6" ht="38.25" customHeight="1" x14ac:dyDescent="0.35">
      <c r="B73" s="46" t="s">
        <v>484</v>
      </c>
      <c r="C73" s="219" t="s">
        <v>485</v>
      </c>
      <c r="D73" s="47" t="s">
        <v>496</v>
      </c>
      <c r="E73" s="47" t="s">
        <v>496</v>
      </c>
      <c r="F73" s="206"/>
    </row>
    <row r="74" spans="2:6" ht="38.25" customHeight="1" x14ac:dyDescent="0.35">
      <c r="B74" s="44" t="s">
        <v>486</v>
      </c>
      <c r="C74" s="166">
        <v>4</v>
      </c>
      <c r="D74" s="45"/>
      <c r="E74" s="45"/>
      <c r="F74" s="206" t="s">
        <v>1329</v>
      </c>
    </row>
    <row r="75" spans="2:6" ht="38.25" customHeight="1" x14ac:dyDescent="0.35">
      <c r="B75" s="46" t="s">
        <v>488</v>
      </c>
      <c r="C75" s="72"/>
      <c r="D75" s="47" t="s">
        <v>496</v>
      </c>
      <c r="E75" s="47" t="s">
        <v>496</v>
      </c>
      <c r="F75" s="206"/>
    </row>
    <row r="77" spans="2:6" ht="24" customHeight="1" x14ac:dyDescent="0.35">
      <c r="B77" s="100" t="s">
        <v>37</v>
      </c>
      <c r="C77" s="100"/>
      <c r="D77" s="100"/>
      <c r="E77" s="100"/>
      <c r="F77" s="100"/>
    </row>
    <row r="78" spans="2:6" ht="24" customHeight="1" x14ac:dyDescent="0.35">
      <c r="B78" s="266" t="s">
        <v>739</v>
      </c>
      <c r="C78" s="266"/>
      <c r="D78" s="266"/>
      <c r="E78" s="266"/>
      <c r="F78" s="266"/>
    </row>
    <row r="79" spans="2:6" ht="21.75" customHeight="1" x14ac:dyDescent="0.35">
      <c r="B79" s="6" t="s">
        <v>740</v>
      </c>
      <c r="C79" s="6" t="s">
        <v>741</v>
      </c>
      <c r="D79" s="6" t="s">
        <v>742</v>
      </c>
      <c r="E79" s="6" t="s">
        <v>743</v>
      </c>
      <c r="F79" s="6" t="s">
        <v>744</v>
      </c>
    </row>
    <row r="80" spans="2:6" ht="19.5" customHeight="1" x14ac:dyDescent="0.35">
      <c r="B80" s="44" t="s">
        <v>745</v>
      </c>
      <c r="C80" s="45"/>
      <c r="D80" s="45"/>
      <c r="E80" s="45"/>
      <c r="F80" s="45"/>
    </row>
    <row r="81" spans="2:6" ht="19.5" customHeight="1" x14ac:dyDescent="0.35">
      <c r="B81" s="46" t="s">
        <v>746</v>
      </c>
      <c r="C81" s="47"/>
      <c r="D81" s="47"/>
      <c r="E81" s="47"/>
      <c r="F81" s="47"/>
    </row>
    <row r="82" spans="2:6" ht="19.5" customHeight="1" x14ac:dyDescent="0.35">
      <c r="B82" s="44" t="s">
        <v>748</v>
      </c>
      <c r="C82" s="45" t="s">
        <v>1228</v>
      </c>
      <c r="D82" s="45" t="s">
        <v>496</v>
      </c>
      <c r="E82" s="45" t="s">
        <v>1247</v>
      </c>
      <c r="F82" s="45" t="s">
        <v>1248</v>
      </c>
    </row>
    <row r="83" spans="2:6" ht="19.5" customHeight="1" x14ac:dyDescent="0.35">
      <c r="B83" s="46" t="s">
        <v>749</v>
      </c>
      <c r="C83" s="47"/>
      <c r="D83" s="47"/>
      <c r="E83" s="47"/>
      <c r="F83" s="47"/>
    </row>
    <row r="84" spans="2:6" ht="19.5" customHeight="1" x14ac:dyDescent="0.35">
      <c r="B84" s="44" t="s">
        <v>751</v>
      </c>
      <c r="C84" s="45"/>
      <c r="D84" s="45"/>
      <c r="E84" s="45"/>
      <c r="F84" s="45"/>
    </row>
    <row r="85" spans="2:6" ht="19.5" customHeight="1" x14ac:dyDescent="0.35">
      <c r="B85" s="46" t="s">
        <v>752</v>
      </c>
      <c r="C85" s="47"/>
      <c r="D85" s="47"/>
      <c r="E85" s="47"/>
      <c r="F85" s="47"/>
    </row>
    <row r="86" spans="2:6" ht="19.5" customHeight="1" x14ac:dyDescent="0.35">
      <c r="B86" s="44" t="s">
        <v>753</v>
      </c>
      <c r="C86" s="45"/>
      <c r="D86" s="45"/>
      <c r="E86" s="45"/>
      <c r="F86" s="45"/>
    </row>
    <row r="87" spans="2:6" ht="19.5" customHeight="1" x14ac:dyDescent="0.35">
      <c r="B87" s="46" t="s">
        <v>755</v>
      </c>
      <c r="C87" s="47"/>
      <c r="D87" s="47"/>
      <c r="E87" s="47"/>
      <c r="F87" s="47"/>
    </row>
    <row r="88" spans="2:6" ht="14.5" customHeight="1" x14ac:dyDescent="0.35"/>
    <row r="89" spans="2:6" ht="24" customHeight="1" x14ac:dyDescent="0.35">
      <c r="B89" s="100" t="s">
        <v>757</v>
      </c>
      <c r="C89" s="100"/>
      <c r="D89" s="100"/>
      <c r="E89" s="100"/>
      <c r="F89" s="100"/>
    </row>
    <row r="90" spans="2:6" ht="21.75" customHeight="1" x14ac:dyDescent="0.35">
      <c r="B90" s="6" t="s">
        <v>758</v>
      </c>
      <c r="C90" s="6" t="s">
        <v>466</v>
      </c>
      <c r="D90" s="6" t="s">
        <v>201</v>
      </c>
      <c r="E90" s="6" t="s">
        <v>759</v>
      </c>
      <c r="F90" s="6" t="s">
        <v>744</v>
      </c>
    </row>
    <row r="91" spans="2:6" ht="21.75" customHeight="1" x14ac:dyDescent="0.35">
      <c r="B91" s="14" t="s">
        <v>760</v>
      </c>
      <c r="C91" s="45"/>
      <c r="D91" s="45"/>
      <c r="E91" s="45"/>
      <c r="F91" s="45"/>
    </row>
    <row r="92" spans="2:6" ht="21.75" customHeight="1" x14ac:dyDescent="0.35">
      <c r="B92" s="16" t="s">
        <v>428</v>
      </c>
      <c r="C92" s="36" t="s">
        <v>496</v>
      </c>
      <c r="D92" s="36"/>
      <c r="E92" s="47" t="s">
        <v>1249</v>
      </c>
      <c r="F92" s="47" t="s">
        <v>1250</v>
      </c>
    </row>
    <row r="93" spans="2:6" ht="21.75" customHeight="1" x14ac:dyDescent="0.35">
      <c r="B93" s="14" t="s">
        <v>429</v>
      </c>
      <c r="C93" s="45"/>
      <c r="D93" s="45"/>
      <c r="E93" s="45"/>
      <c r="F93" s="45"/>
    </row>
    <row r="94" spans="2:6" ht="21.75" customHeight="1" x14ac:dyDescent="0.35">
      <c r="B94" s="16" t="s">
        <v>761</v>
      </c>
      <c r="C94" s="47" t="s">
        <v>496</v>
      </c>
      <c r="D94" s="47"/>
      <c r="E94" s="47" t="s">
        <v>1251</v>
      </c>
      <c r="F94" s="47" t="s">
        <v>1252</v>
      </c>
    </row>
    <row r="95" spans="2:6" ht="21.75" customHeight="1" x14ac:dyDescent="0.35">
      <c r="B95" s="14" t="s">
        <v>762</v>
      </c>
      <c r="C95" s="45"/>
      <c r="D95" s="45"/>
      <c r="E95" s="45"/>
      <c r="F95" s="45"/>
    </row>
    <row r="96" spans="2:6" ht="21.75" customHeight="1" x14ac:dyDescent="0.35">
      <c r="B96" s="16" t="s">
        <v>430</v>
      </c>
      <c r="C96" s="47"/>
      <c r="D96" s="47"/>
      <c r="E96" s="47"/>
      <c r="F96" s="47"/>
    </row>
    <row r="97" spans="2:7" ht="21.75" customHeight="1" x14ac:dyDescent="0.35">
      <c r="B97" s="14" t="s">
        <v>431</v>
      </c>
      <c r="C97" s="45"/>
      <c r="D97" s="45"/>
      <c r="E97" s="45"/>
      <c r="F97" s="45"/>
    </row>
    <row r="99" spans="2:7" ht="24" customHeight="1" x14ac:dyDescent="0.35">
      <c r="B99" s="258" t="s">
        <v>763</v>
      </c>
      <c r="C99" s="258"/>
      <c r="D99" s="258"/>
      <c r="E99" s="258"/>
      <c r="F99" s="258"/>
      <c r="G99" s="258"/>
    </row>
    <row r="100" spans="2:7" ht="27.75" customHeight="1" x14ac:dyDescent="0.35">
      <c r="B100" s="6" t="s">
        <v>142</v>
      </c>
      <c r="C100" s="6" t="s">
        <v>764</v>
      </c>
      <c r="D100" s="6" t="s">
        <v>765</v>
      </c>
      <c r="E100" s="6" t="s">
        <v>766</v>
      </c>
      <c r="F100" s="6" t="s">
        <v>767</v>
      </c>
      <c r="G100" s="6" t="s">
        <v>768</v>
      </c>
    </row>
    <row r="101" spans="2:7" ht="25.5" customHeight="1" x14ac:dyDescent="0.35">
      <c r="B101" s="48" t="s">
        <v>153</v>
      </c>
      <c r="C101" s="26" t="s">
        <v>89</v>
      </c>
      <c r="D101" s="69" t="s">
        <v>769</v>
      </c>
      <c r="E101" s="49">
        <v>3</v>
      </c>
      <c r="F101" s="36" t="s">
        <v>277</v>
      </c>
      <c r="G101" s="5" t="s">
        <v>1254</v>
      </c>
    </row>
    <row r="102" spans="2:7" ht="25.5" customHeight="1" x14ac:dyDescent="0.35">
      <c r="B102" s="50" t="s">
        <v>154</v>
      </c>
      <c r="C102" s="26" t="s">
        <v>93</v>
      </c>
      <c r="D102" s="68" t="s">
        <v>771</v>
      </c>
      <c r="E102" s="49">
        <v>2</v>
      </c>
      <c r="F102" s="36" t="s">
        <v>282</v>
      </c>
      <c r="G102" s="5" t="s">
        <v>1255</v>
      </c>
    </row>
    <row r="103" spans="2:7" ht="25.5" customHeight="1" x14ac:dyDescent="0.35">
      <c r="B103" s="48" t="s">
        <v>155</v>
      </c>
      <c r="C103" s="26" t="s">
        <v>89</v>
      </c>
      <c r="D103" s="69" t="s">
        <v>773</v>
      </c>
      <c r="E103" s="49">
        <v>3</v>
      </c>
      <c r="F103" s="36" t="s">
        <v>277</v>
      </c>
      <c r="G103" s="5" t="s">
        <v>1256</v>
      </c>
    </row>
    <row r="104" spans="2:7" ht="25.5" customHeight="1" x14ac:dyDescent="0.35">
      <c r="B104" s="50" t="s">
        <v>156</v>
      </c>
      <c r="C104" s="26" t="s">
        <v>93</v>
      </c>
      <c r="D104" s="68" t="s">
        <v>775</v>
      </c>
      <c r="E104" s="49">
        <v>2</v>
      </c>
      <c r="F104" s="36" t="s">
        <v>282</v>
      </c>
      <c r="G104" s="5" t="s">
        <v>1257</v>
      </c>
    </row>
    <row r="105" spans="2:7" ht="25.5" customHeight="1" x14ac:dyDescent="0.35">
      <c r="B105" s="48" t="s">
        <v>157</v>
      </c>
      <c r="C105" s="26" t="s">
        <v>93</v>
      </c>
      <c r="D105" s="67" t="s">
        <v>777</v>
      </c>
      <c r="E105" s="49">
        <v>2</v>
      </c>
      <c r="F105" s="36" t="s">
        <v>282</v>
      </c>
      <c r="G105" s="5" t="s">
        <v>1258</v>
      </c>
    </row>
    <row r="106" spans="2:7" ht="25.5" customHeight="1" x14ac:dyDescent="0.35">
      <c r="B106" s="50" t="s">
        <v>158</v>
      </c>
      <c r="C106" s="26" t="s">
        <v>93</v>
      </c>
      <c r="D106" s="68" t="s">
        <v>779</v>
      </c>
      <c r="E106" s="49">
        <v>2</v>
      </c>
      <c r="F106" s="36" t="s">
        <v>282</v>
      </c>
      <c r="G106" s="5" t="s">
        <v>1259</v>
      </c>
    </row>
    <row r="107" spans="2:7" ht="25.5" customHeight="1" x14ac:dyDescent="0.35">
      <c r="B107" s="48" t="s">
        <v>159</v>
      </c>
      <c r="C107" s="26" t="s">
        <v>93</v>
      </c>
      <c r="D107" s="67" t="s">
        <v>781</v>
      </c>
      <c r="E107" s="49">
        <v>2</v>
      </c>
      <c r="F107" s="36" t="s">
        <v>282</v>
      </c>
      <c r="G107" s="5" t="s">
        <v>1260</v>
      </c>
    </row>
    <row r="108" spans="2:7" ht="25.5" customHeight="1" x14ac:dyDescent="0.35">
      <c r="B108" s="50" t="s">
        <v>160</v>
      </c>
      <c r="C108" s="26" t="s">
        <v>89</v>
      </c>
      <c r="D108" s="74" t="s">
        <v>783</v>
      </c>
      <c r="E108" s="49">
        <v>3</v>
      </c>
      <c r="F108" s="36" t="s">
        <v>277</v>
      </c>
      <c r="G108" s="5" t="s">
        <v>1261</v>
      </c>
    </row>
    <row r="109" spans="2:7" ht="43.5" x14ac:dyDescent="0.35">
      <c r="B109" s="48" t="s">
        <v>161</v>
      </c>
      <c r="C109" s="26" t="s">
        <v>89</v>
      </c>
      <c r="D109" s="69" t="s">
        <v>785</v>
      </c>
      <c r="E109" s="49">
        <v>3</v>
      </c>
      <c r="F109" s="36" t="s">
        <v>277</v>
      </c>
      <c r="G109" s="5" t="s">
        <v>1262</v>
      </c>
    </row>
    <row r="110" spans="2:7" ht="58" x14ac:dyDescent="0.35">
      <c r="B110" s="50" t="s">
        <v>162</v>
      </c>
      <c r="C110" s="26" t="s">
        <v>89</v>
      </c>
      <c r="D110" s="74" t="s">
        <v>787</v>
      </c>
      <c r="E110" s="49">
        <v>3</v>
      </c>
      <c r="F110" s="36" t="s">
        <v>277</v>
      </c>
      <c r="G110" s="5" t="s">
        <v>1263</v>
      </c>
    </row>
    <row r="111" spans="2:7" ht="25.5" customHeight="1" x14ac:dyDescent="0.35">
      <c r="B111" s="48" t="s">
        <v>163</v>
      </c>
      <c r="C111" s="26" t="s">
        <v>93</v>
      </c>
      <c r="D111" s="67" t="s">
        <v>789</v>
      </c>
      <c r="E111" s="49">
        <v>2</v>
      </c>
      <c r="F111" s="36" t="s">
        <v>282</v>
      </c>
      <c r="G111" s="5" t="s">
        <v>1264</v>
      </c>
    </row>
    <row r="112" spans="2:7" ht="25.5" customHeight="1" x14ac:dyDescent="0.35">
      <c r="B112" s="50" t="s">
        <v>164</v>
      </c>
      <c r="C112" s="26" t="s">
        <v>89</v>
      </c>
      <c r="D112" s="74" t="s">
        <v>791</v>
      </c>
      <c r="E112" s="49">
        <v>3</v>
      </c>
      <c r="F112" s="36" t="s">
        <v>277</v>
      </c>
      <c r="G112" s="5" t="s">
        <v>1265</v>
      </c>
    </row>
    <row r="113" spans="2:7" ht="25.5" customHeight="1" x14ac:dyDescent="0.35">
      <c r="B113" s="48" t="s">
        <v>165</v>
      </c>
      <c r="C113" s="26" t="s">
        <v>89</v>
      </c>
      <c r="D113" s="69" t="s">
        <v>793</v>
      </c>
      <c r="E113" s="49">
        <v>3</v>
      </c>
      <c r="F113" s="36" t="s">
        <v>277</v>
      </c>
      <c r="G113" s="5" t="s">
        <v>1266</v>
      </c>
    </row>
    <row r="114" spans="2:7" ht="25.5" customHeight="1" x14ac:dyDescent="0.35">
      <c r="B114" s="50" t="s">
        <v>166</v>
      </c>
      <c r="C114" s="26" t="s">
        <v>89</v>
      </c>
      <c r="D114" s="74" t="s">
        <v>795</v>
      </c>
      <c r="E114" s="49">
        <v>3</v>
      </c>
      <c r="F114" s="36" t="s">
        <v>277</v>
      </c>
      <c r="G114" s="5" t="s">
        <v>1267</v>
      </c>
    </row>
    <row r="115" spans="2:7" ht="25.5" customHeight="1" x14ac:dyDescent="0.35">
      <c r="B115" s="48" t="s">
        <v>167</v>
      </c>
      <c r="C115" s="26" t="s">
        <v>89</v>
      </c>
      <c r="D115" s="69" t="s">
        <v>797</v>
      </c>
      <c r="E115" s="49">
        <v>3</v>
      </c>
      <c r="F115" s="36" t="s">
        <v>277</v>
      </c>
      <c r="G115" s="5" t="s">
        <v>1268</v>
      </c>
    </row>
    <row r="116" spans="2:7" ht="25.5" customHeight="1" x14ac:dyDescent="0.35">
      <c r="B116" s="50" t="s">
        <v>168</v>
      </c>
      <c r="C116" s="26" t="s">
        <v>86</v>
      </c>
      <c r="D116" s="74" t="s">
        <v>799</v>
      </c>
      <c r="E116" s="49">
        <v>4</v>
      </c>
      <c r="F116" s="36" t="s">
        <v>271</v>
      </c>
      <c r="G116" s="5" t="s">
        <v>1269</v>
      </c>
    </row>
    <row r="117" spans="2:7" ht="25.5" customHeight="1" x14ac:dyDescent="0.35">
      <c r="B117" s="48" t="s">
        <v>169</v>
      </c>
      <c r="C117" s="26" t="s">
        <v>89</v>
      </c>
      <c r="D117" s="69" t="s">
        <v>801</v>
      </c>
      <c r="E117" s="49">
        <v>3</v>
      </c>
      <c r="F117" s="36" t="s">
        <v>277</v>
      </c>
      <c r="G117" s="5" t="s">
        <v>1270</v>
      </c>
    </row>
    <row r="118" spans="2:7" ht="25.5" customHeight="1" x14ac:dyDescent="0.35">
      <c r="B118" s="50" t="s">
        <v>170</v>
      </c>
      <c r="C118" s="26" t="s">
        <v>89</v>
      </c>
      <c r="D118" s="74" t="s">
        <v>803</v>
      </c>
      <c r="E118" s="49">
        <v>3</v>
      </c>
      <c r="F118" s="36" t="s">
        <v>277</v>
      </c>
      <c r="G118" s="5" t="s">
        <v>1271</v>
      </c>
    </row>
    <row r="119" spans="2:7" ht="25.5" customHeight="1" x14ac:dyDescent="0.35">
      <c r="B119" s="50" t="s">
        <v>172</v>
      </c>
      <c r="C119" s="26" t="s">
        <v>86</v>
      </c>
      <c r="D119" s="74" t="s">
        <v>805</v>
      </c>
      <c r="E119" s="49">
        <v>4</v>
      </c>
      <c r="F119" s="36" t="s">
        <v>271</v>
      </c>
      <c r="G119" s="5" t="s">
        <v>1272</v>
      </c>
    </row>
    <row r="120" spans="2:7" ht="25.5" customHeight="1" x14ac:dyDescent="0.35">
      <c r="B120" s="50" t="s">
        <v>173</v>
      </c>
      <c r="C120" s="26" t="s">
        <v>89</v>
      </c>
      <c r="D120" s="74" t="s">
        <v>807</v>
      </c>
      <c r="E120" s="49">
        <v>3</v>
      </c>
      <c r="F120" s="36" t="s">
        <v>277</v>
      </c>
      <c r="G120" s="5" t="s">
        <v>1273</v>
      </c>
    </row>
    <row r="121" spans="2:7" ht="25.5" customHeight="1" x14ac:dyDescent="0.35">
      <c r="B121" s="50" t="s">
        <v>174</v>
      </c>
      <c r="C121" s="26" t="s">
        <v>89</v>
      </c>
      <c r="D121" s="74" t="s">
        <v>808</v>
      </c>
      <c r="E121" s="49">
        <v>3</v>
      </c>
      <c r="F121" s="36" t="s">
        <v>277</v>
      </c>
      <c r="G121" s="5" t="s">
        <v>1275</v>
      </c>
    </row>
    <row r="122" spans="2:7" ht="25.5" customHeight="1" x14ac:dyDescent="0.35">
      <c r="B122" s="216" t="s">
        <v>175</v>
      </c>
      <c r="C122" s="26" t="s">
        <v>86</v>
      </c>
      <c r="D122" s="218" t="s">
        <v>809</v>
      </c>
      <c r="E122" s="49">
        <v>4</v>
      </c>
      <c r="F122" s="36" t="s">
        <v>271</v>
      </c>
      <c r="G122" s="5" t="s">
        <v>1277</v>
      </c>
    </row>
    <row r="124" spans="2:7" ht="24" customHeight="1" x14ac:dyDescent="0.35">
      <c r="B124" s="100" t="s">
        <v>810</v>
      </c>
      <c r="C124" s="100"/>
      <c r="D124" s="100"/>
    </row>
    <row r="125" spans="2:7" ht="21.75" customHeight="1" x14ac:dyDescent="0.35">
      <c r="B125" s="6" t="s">
        <v>811</v>
      </c>
      <c r="C125" s="6" t="s">
        <v>812</v>
      </c>
      <c r="D125" s="6" t="s">
        <v>736</v>
      </c>
    </row>
    <row r="126" spans="2:7" ht="21.75" customHeight="1" x14ac:dyDescent="0.35">
      <c r="B126" s="13" t="s">
        <v>813</v>
      </c>
      <c r="C126" s="64" t="s">
        <v>496</v>
      </c>
      <c r="D126" s="1" t="s">
        <v>1278</v>
      </c>
    </row>
    <row r="127" spans="2:7" ht="21.75" customHeight="1" x14ac:dyDescent="0.35">
      <c r="B127" s="15" t="s">
        <v>814</v>
      </c>
      <c r="C127" s="64" t="s">
        <v>1279</v>
      </c>
      <c r="D127" s="1" t="s">
        <v>1280</v>
      </c>
    </row>
    <row r="128" spans="2:7" ht="21.75" customHeight="1" x14ac:dyDescent="0.35">
      <c r="B128" s="13" t="s">
        <v>817</v>
      </c>
      <c r="C128" s="64" t="s">
        <v>496</v>
      </c>
      <c r="D128" s="1" t="s">
        <v>1281</v>
      </c>
    </row>
    <row r="129" spans="2:7" ht="21.75" customHeight="1" x14ac:dyDescent="0.35">
      <c r="B129" s="15" t="s">
        <v>818</v>
      </c>
      <c r="C129" s="64"/>
    </row>
    <row r="130" spans="2:7" ht="21.75" customHeight="1" x14ac:dyDescent="0.35">
      <c r="B130" s="13" t="s">
        <v>819</v>
      </c>
      <c r="C130" s="64"/>
    </row>
    <row r="131" spans="2:7" ht="21.75" customHeight="1" x14ac:dyDescent="0.35">
      <c r="B131" s="15" t="s">
        <v>820</v>
      </c>
      <c r="C131" s="64" t="s">
        <v>1282</v>
      </c>
      <c r="D131" s="1" t="s">
        <v>1283</v>
      </c>
    </row>
    <row r="132" spans="2:7" ht="28.5" customHeight="1" x14ac:dyDescent="0.35">
      <c r="B132" s="122" t="s">
        <v>821</v>
      </c>
      <c r="C132" s="64" t="s">
        <v>1284</v>
      </c>
      <c r="D132" s="1" t="s">
        <v>1285</v>
      </c>
    </row>
    <row r="133" spans="2:7" ht="21.75" customHeight="1" x14ac:dyDescent="0.35">
      <c r="B133" s="123" t="s">
        <v>822</v>
      </c>
      <c r="C133" s="109" t="s">
        <v>1286</v>
      </c>
      <c r="D133" s="109" t="s">
        <v>1287</v>
      </c>
      <c r="G133" s="109"/>
    </row>
    <row r="135" spans="2:7" ht="24" customHeight="1" x14ac:dyDescent="0.35">
      <c r="B135" s="100" t="s">
        <v>823</v>
      </c>
      <c r="C135" s="100"/>
      <c r="D135" s="100"/>
      <c r="E135" s="100"/>
      <c r="F135" s="100"/>
    </row>
    <row r="136" spans="2:7" ht="21.75" customHeight="1" x14ac:dyDescent="0.35">
      <c r="B136" s="6" t="s">
        <v>824</v>
      </c>
      <c r="C136" s="6" t="s">
        <v>825</v>
      </c>
      <c r="D136" s="6" t="s">
        <v>826</v>
      </c>
      <c r="E136" s="6" t="s">
        <v>827</v>
      </c>
      <c r="F136" s="6" t="s">
        <v>269</v>
      </c>
    </row>
    <row r="137" spans="2:7" ht="21.75" customHeight="1" x14ac:dyDescent="0.35">
      <c r="B137" s="44" t="s">
        <v>828</v>
      </c>
      <c r="C137" s="99" t="s">
        <v>1288</v>
      </c>
      <c r="D137" s="45" t="s">
        <v>86</v>
      </c>
      <c r="E137" s="14" t="s">
        <v>1289</v>
      </c>
      <c r="F137" s="45" t="s">
        <v>277</v>
      </c>
    </row>
    <row r="138" spans="2:7" ht="21.75" customHeight="1" x14ac:dyDescent="0.35">
      <c r="B138" s="46" t="s">
        <v>830</v>
      </c>
      <c r="C138" s="99"/>
      <c r="D138" s="45"/>
      <c r="E138" s="16"/>
      <c r="F138" s="45"/>
    </row>
    <row r="139" spans="2:7" ht="21.75" customHeight="1" x14ac:dyDescent="0.35">
      <c r="B139" s="44" t="s">
        <v>831</v>
      </c>
      <c r="C139" s="99"/>
      <c r="D139" s="45"/>
      <c r="E139" s="14"/>
      <c r="F139" s="45"/>
    </row>
    <row r="140" spans="2:7" ht="21.75" customHeight="1" x14ac:dyDescent="0.35">
      <c r="B140" s="46" t="s">
        <v>832</v>
      </c>
      <c r="C140" s="99"/>
      <c r="D140" s="45"/>
      <c r="E140" s="16"/>
      <c r="F140" s="45"/>
    </row>
    <row r="141" spans="2:7" ht="36" customHeight="1" x14ac:dyDescent="0.35">
      <c r="B141" s="14" t="s">
        <v>833</v>
      </c>
      <c r="C141" s="99"/>
      <c r="D141" s="45"/>
      <c r="E141" s="14"/>
      <c r="F141" s="45"/>
    </row>
    <row r="142" spans="2:7" ht="31.5" customHeight="1" x14ac:dyDescent="0.35">
      <c r="B142" s="16" t="s">
        <v>834</v>
      </c>
      <c r="C142" s="99"/>
      <c r="D142" s="45"/>
      <c r="E142" s="16"/>
      <c r="F142" s="45"/>
    </row>
    <row r="143" spans="2:7" ht="21.75" customHeight="1" x14ac:dyDescent="0.35">
      <c r="B143" s="44" t="s">
        <v>835</v>
      </c>
      <c r="C143" s="99" t="s">
        <v>1292</v>
      </c>
      <c r="D143" s="45" t="s">
        <v>89</v>
      </c>
      <c r="E143" s="14" t="s">
        <v>1293</v>
      </c>
      <c r="F143" s="45" t="s">
        <v>271</v>
      </c>
    </row>
    <row r="144" spans="2:7" ht="21.75" customHeight="1" x14ac:dyDescent="0.35">
      <c r="B144" s="46" t="s">
        <v>836</v>
      </c>
      <c r="C144" s="99"/>
      <c r="D144" s="45"/>
      <c r="E144" s="16"/>
      <c r="F144" s="45"/>
    </row>
    <row r="145" spans="2:7" ht="21.75" customHeight="1" x14ac:dyDescent="0.35">
      <c r="B145" s="44" t="s">
        <v>837</v>
      </c>
      <c r="C145" s="99"/>
      <c r="D145" s="45"/>
      <c r="E145" s="14"/>
      <c r="F145" s="45"/>
    </row>
    <row r="146" spans="2:7" ht="21.75" customHeight="1" x14ac:dyDescent="0.35">
      <c r="B146" s="46" t="s">
        <v>838</v>
      </c>
      <c r="C146" s="99" t="s">
        <v>1294</v>
      </c>
      <c r="D146" s="45" t="s">
        <v>89</v>
      </c>
      <c r="E146" s="16" t="s">
        <v>1295</v>
      </c>
      <c r="F146" s="45" t="s">
        <v>271</v>
      </c>
    </row>
    <row r="148" spans="2:7" ht="24" customHeight="1" x14ac:dyDescent="0.35">
      <c r="B148" s="258" t="s">
        <v>841</v>
      </c>
      <c r="C148" s="258"/>
      <c r="D148" s="258"/>
      <c r="E148" s="258"/>
      <c r="F148" s="258"/>
      <c r="G148" s="258"/>
    </row>
    <row r="149" spans="2:7" ht="21.75" customHeight="1" x14ac:dyDescent="0.35">
      <c r="B149" s="6" t="s">
        <v>842</v>
      </c>
      <c r="C149" s="6" t="s">
        <v>843</v>
      </c>
    </row>
    <row r="150" spans="2:7" ht="21.75" customHeight="1" x14ac:dyDescent="0.35">
      <c r="B150" s="13" t="s">
        <v>844</v>
      </c>
      <c r="C150" s="251" t="s">
        <v>283</v>
      </c>
      <c r="D150" s="251"/>
      <c r="E150" s="251"/>
      <c r="F150" s="251"/>
      <c r="G150" s="251"/>
    </row>
    <row r="151" spans="2:7" ht="21.75" customHeight="1" x14ac:dyDescent="0.35">
      <c r="B151" s="15" t="s">
        <v>846</v>
      </c>
      <c r="C151" s="251" t="s">
        <v>496</v>
      </c>
      <c r="D151" s="251"/>
      <c r="E151" s="251"/>
      <c r="F151" s="251"/>
      <c r="G151" s="251"/>
    </row>
    <row r="152" spans="2:7" ht="21.75" customHeight="1" x14ac:dyDescent="0.35">
      <c r="B152" s="13" t="s">
        <v>847</v>
      </c>
      <c r="C152" s="251" t="s">
        <v>496</v>
      </c>
      <c r="D152" s="251"/>
      <c r="E152" s="251"/>
      <c r="F152" s="251"/>
      <c r="G152" s="251"/>
    </row>
    <row r="153" spans="2:7" ht="21.75" customHeight="1" x14ac:dyDescent="0.35">
      <c r="B153" s="15" t="s">
        <v>848</v>
      </c>
      <c r="C153" s="251" t="s">
        <v>485</v>
      </c>
      <c r="D153" s="251"/>
      <c r="E153" s="251"/>
      <c r="F153" s="251"/>
      <c r="G153" s="251"/>
    </row>
    <row r="154" spans="2:7" ht="21.75" customHeight="1" x14ac:dyDescent="0.35">
      <c r="B154" s="13" t="s">
        <v>849</v>
      </c>
      <c r="C154" s="251" t="s">
        <v>1296</v>
      </c>
      <c r="D154" s="251"/>
      <c r="E154" s="251"/>
      <c r="F154" s="251"/>
      <c r="G154" s="251"/>
    </row>
    <row r="155" spans="2:7" ht="21.75" customHeight="1" x14ac:dyDescent="0.35">
      <c r="B155" s="15" t="s">
        <v>850</v>
      </c>
      <c r="C155" s="251" t="s">
        <v>496</v>
      </c>
      <c r="D155" s="251"/>
      <c r="E155" s="251"/>
      <c r="F155" s="251"/>
      <c r="G155" s="251"/>
    </row>
    <row r="156" spans="2:7" ht="21.75" customHeight="1" x14ac:dyDescent="0.35">
      <c r="B156" s="13" t="s">
        <v>852</v>
      </c>
      <c r="C156" s="251" t="s">
        <v>1297</v>
      </c>
      <c r="D156" s="251"/>
      <c r="E156" s="251"/>
      <c r="F156" s="251"/>
      <c r="G156" s="251"/>
    </row>
    <row r="158" spans="2:7" ht="24" customHeight="1" x14ac:dyDescent="0.35">
      <c r="B158" s="258" t="s">
        <v>854</v>
      </c>
      <c r="C158" s="258"/>
      <c r="D158" s="258"/>
      <c r="E158" s="258"/>
      <c r="F158" s="258"/>
      <c r="G158" s="258"/>
    </row>
    <row r="159" spans="2:7" ht="21.75" customHeight="1" x14ac:dyDescent="0.35">
      <c r="B159" s="6" t="s">
        <v>855</v>
      </c>
      <c r="C159" s="6" t="s">
        <v>856</v>
      </c>
    </row>
    <row r="160" spans="2:7" ht="30" customHeight="1" x14ac:dyDescent="0.35">
      <c r="B160" s="51" t="s">
        <v>857</v>
      </c>
      <c r="C160" s="251" t="s">
        <v>1298</v>
      </c>
      <c r="D160" s="251"/>
      <c r="E160" s="251"/>
      <c r="F160" s="251"/>
      <c r="G160" s="251"/>
    </row>
    <row r="161" spans="2:11" ht="30" customHeight="1" x14ac:dyDescent="0.35">
      <c r="B161" s="52" t="s">
        <v>859</v>
      </c>
      <c r="C161" s="251" t="s">
        <v>1299</v>
      </c>
      <c r="D161" s="251"/>
      <c r="E161" s="251"/>
      <c r="F161" s="251"/>
      <c r="G161" s="251"/>
    </row>
    <row r="162" spans="2:11" ht="30" customHeight="1" x14ac:dyDescent="0.35">
      <c r="B162" s="51" t="s">
        <v>861</v>
      </c>
      <c r="C162" s="251" t="s">
        <v>1300</v>
      </c>
      <c r="D162" s="251"/>
      <c r="E162" s="251"/>
      <c r="F162" s="251"/>
      <c r="G162" s="251"/>
    </row>
    <row r="163" spans="2:11" ht="30" customHeight="1" x14ac:dyDescent="0.35">
      <c r="B163" s="52" t="s">
        <v>863</v>
      </c>
      <c r="C163" s="251" t="s">
        <v>1301</v>
      </c>
      <c r="D163" s="251"/>
      <c r="E163" s="251"/>
      <c r="F163" s="251"/>
      <c r="G163" s="251"/>
    </row>
    <row r="164" spans="2:11" ht="30" customHeight="1" x14ac:dyDescent="0.35">
      <c r="B164" s="51" t="s">
        <v>865</v>
      </c>
      <c r="C164" s="251" t="s">
        <v>1302</v>
      </c>
      <c r="D164" s="251"/>
      <c r="E164" s="251"/>
      <c r="F164" s="251"/>
      <c r="G164" s="251"/>
    </row>
    <row r="165" spans="2:11" ht="30" customHeight="1" x14ac:dyDescent="0.35">
      <c r="B165" s="52" t="s">
        <v>867</v>
      </c>
      <c r="C165" s="251" t="s">
        <v>1303</v>
      </c>
      <c r="D165" s="251"/>
      <c r="E165" s="251"/>
      <c r="F165" s="251"/>
      <c r="G165" s="251"/>
    </row>
    <row r="166" spans="2:11" ht="30" customHeight="1" x14ac:dyDescent="0.35">
      <c r="B166" s="51" t="s">
        <v>868</v>
      </c>
      <c r="C166" s="251" t="s">
        <v>1304</v>
      </c>
      <c r="D166" s="251"/>
      <c r="E166" s="251"/>
      <c r="F166" s="251"/>
      <c r="G166" s="251"/>
    </row>
    <row r="167" spans="2:11" ht="30" customHeight="1" x14ac:dyDescent="0.35">
      <c r="B167" s="52" t="s">
        <v>870</v>
      </c>
      <c r="C167" s="256" t="s">
        <v>1305</v>
      </c>
      <c r="D167" s="257"/>
      <c r="E167" s="257"/>
      <c r="F167" s="257"/>
      <c r="G167" s="257"/>
    </row>
    <row r="168" spans="2:11" ht="30" customHeight="1" x14ac:dyDescent="0.35">
      <c r="B168" s="51" t="s">
        <v>872</v>
      </c>
      <c r="C168" s="251" t="s">
        <v>1306</v>
      </c>
      <c r="D168" s="251"/>
      <c r="E168" s="251"/>
      <c r="F168" s="251"/>
      <c r="G168" s="251"/>
    </row>
    <row r="170" spans="2:11" ht="23.25" customHeight="1" x14ac:dyDescent="0.35">
      <c r="B170" s="255" t="s">
        <v>874</v>
      </c>
      <c r="C170" s="255"/>
      <c r="D170" s="255"/>
      <c r="E170" s="255"/>
      <c r="F170" s="255"/>
      <c r="G170" s="255"/>
      <c r="H170" s="238"/>
      <c r="I170" s="124" t="s">
        <v>877</v>
      </c>
      <c r="J170" s="124" t="s">
        <v>878</v>
      </c>
      <c r="K170" s="124" t="s">
        <v>879</v>
      </c>
    </row>
    <row r="171" spans="2:11" ht="30" customHeight="1" x14ac:dyDescent="0.35">
      <c r="B171" s="92" t="s">
        <v>268</v>
      </c>
      <c r="C171" s="93"/>
      <c r="D171" s="92" t="s">
        <v>875</v>
      </c>
      <c r="E171" s="93"/>
      <c r="F171" s="92" t="s">
        <v>876</v>
      </c>
      <c r="G171" s="93"/>
      <c r="H171" s="238"/>
      <c r="I171" s="125" t="s">
        <v>881</v>
      </c>
      <c r="J171" s="114" t="s">
        <v>882</v>
      </c>
      <c r="K171" s="114" t="s">
        <v>883</v>
      </c>
    </row>
    <row r="172" spans="2:11" ht="26.5" x14ac:dyDescent="0.35">
      <c r="B172" s="94" t="s">
        <v>880</v>
      </c>
      <c r="C172" s="254"/>
      <c r="D172" s="254"/>
      <c r="E172" s="254"/>
      <c r="F172" s="254"/>
      <c r="G172" s="254"/>
      <c r="H172" s="238"/>
      <c r="I172" s="125" t="s">
        <v>885</v>
      </c>
      <c r="J172" s="114" t="s">
        <v>886</v>
      </c>
      <c r="K172" s="114" t="s">
        <v>887</v>
      </c>
    </row>
    <row r="173" spans="2:11" x14ac:dyDescent="0.35">
      <c r="B173" s="92" t="s">
        <v>884</v>
      </c>
      <c r="C173" s="254"/>
      <c r="D173" s="254"/>
      <c r="E173" s="254"/>
      <c r="F173" s="254"/>
      <c r="G173" s="254"/>
      <c r="H173" s="238"/>
      <c r="I173" s="125" t="s">
        <v>889</v>
      </c>
      <c r="J173" s="114" t="s">
        <v>890</v>
      </c>
      <c r="K173" s="114" t="s">
        <v>891</v>
      </c>
    </row>
    <row r="174" spans="2:11" x14ac:dyDescent="0.35">
      <c r="B174" s="94" t="s">
        <v>888</v>
      </c>
      <c r="C174" s="254"/>
      <c r="D174" s="254"/>
      <c r="E174" s="254"/>
      <c r="F174" s="254"/>
      <c r="G174" s="254"/>
      <c r="H174" s="238"/>
      <c r="I174" s="125" t="s">
        <v>894</v>
      </c>
      <c r="J174" s="114" t="s">
        <v>895</v>
      </c>
      <c r="K174" s="114" t="s">
        <v>896</v>
      </c>
    </row>
    <row r="175" spans="2:11" ht="28.5" customHeight="1" x14ac:dyDescent="0.35">
      <c r="B175" s="92" t="s">
        <v>892</v>
      </c>
      <c r="C175" s="256" t="s">
        <v>1051</v>
      </c>
      <c r="D175" s="257"/>
      <c r="E175" s="257"/>
      <c r="F175" s="257"/>
      <c r="G175" s="257"/>
      <c r="H175" s="238"/>
      <c r="I175" s="125" t="s">
        <v>898</v>
      </c>
      <c r="J175" s="114" t="s">
        <v>899</v>
      </c>
      <c r="K175" s="114" t="s">
        <v>900</v>
      </c>
    </row>
    <row r="176" spans="2:11" x14ac:dyDescent="0.35">
      <c r="B176" s="92" t="s">
        <v>897</v>
      </c>
      <c r="C176" s="254"/>
      <c r="D176" s="254"/>
      <c r="E176" s="254"/>
      <c r="F176" s="254"/>
      <c r="G176" s="254"/>
      <c r="H176" s="238"/>
      <c r="I176" s="125" t="s">
        <v>904</v>
      </c>
      <c r="J176" s="114" t="s">
        <v>905</v>
      </c>
      <c r="K176" s="114" t="s">
        <v>906</v>
      </c>
    </row>
    <row r="177" spans="2:11" ht="31.5" customHeight="1" x14ac:dyDescent="0.35">
      <c r="B177" s="94" t="s">
        <v>901</v>
      </c>
      <c r="C177" s="93"/>
      <c r="D177" s="92" t="s">
        <v>902</v>
      </c>
      <c r="E177" s="93"/>
      <c r="F177" s="92" t="s">
        <v>903</v>
      </c>
      <c r="G177" s="93"/>
      <c r="H177" s="238"/>
      <c r="I177" s="125" t="s">
        <v>910</v>
      </c>
      <c r="J177" s="114" t="s">
        <v>911</v>
      </c>
      <c r="K177" s="114" t="s">
        <v>912</v>
      </c>
    </row>
    <row r="178" spans="2:11" ht="32.25" customHeight="1" x14ac:dyDescent="0.35">
      <c r="B178" s="92" t="s">
        <v>907</v>
      </c>
      <c r="C178" s="93"/>
      <c r="D178" s="92" t="s">
        <v>908</v>
      </c>
      <c r="E178" s="93"/>
      <c r="F178" s="92" t="s">
        <v>909</v>
      </c>
      <c r="G178" s="93"/>
      <c r="H178" s="238"/>
      <c r="I178" s="125" t="s">
        <v>916</v>
      </c>
      <c r="J178" s="114" t="s">
        <v>917</v>
      </c>
      <c r="K178" s="114" t="s">
        <v>918</v>
      </c>
    </row>
    <row r="179" spans="2:11" ht="18" customHeight="1" x14ac:dyDescent="0.35">
      <c r="B179" s="94" t="s">
        <v>913</v>
      </c>
      <c r="C179" s="93"/>
      <c r="D179" s="92" t="s">
        <v>914</v>
      </c>
      <c r="E179" s="93"/>
      <c r="F179" s="92" t="s">
        <v>915</v>
      </c>
      <c r="G179" s="93"/>
      <c r="H179" s="238"/>
    </row>
    <row r="180" spans="2:11" x14ac:dyDescent="0.35">
      <c r="B180" s="92" t="s">
        <v>919</v>
      </c>
      <c r="C180" s="254"/>
      <c r="D180" s="254"/>
      <c r="E180" s="254"/>
      <c r="F180" s="254"/>
      <c r="G180" s="254"/>
      <c r="H180" s="238"/>
      <c r="I180" s="238"/>
      <c r="J180" s="238"/>
      <c r="K180" s="238"/>
    </row>
    <row r="181" spans="2:11" x14ac:dyDescent="0.35">
      <c r="B181" s="94" t="s">
        <v>920</v>
      </c>
      <c r="C181" s="254"/>
      <c r="D181" s="254"/>
      <c r="E181" s="254"/>
      <c r="F181" s="254"/>
      <c r="G181" s="254"/>
      <c r="H181" s="238"/>
    </row>
    <row r="182" spans="2:11" ht="29" x14ac:dyDescent="0.35">
      <c r="B182" s="92" t="s">
        <v>921</v>
      </c>
      <c r="C182" s="254"/>
      <c r="D182" s="254"/>
      <c r="E182" s="254"/>
      <c r="F182" s="254"/>
      <c r="G182" s="254"/>
      <c r="H182" s="238"/>
    </row>
  </sheetData>
  <mergeCells count="52">
    <mergeCell ref="C167:G167"/>
    <mergeCell ref="C168:G168"/>
    <mergeCell ref="B2:G2"/>
    <mergeCell ref="B4:G4"/>
    <mergeCell ref="C5:E5"/>
    <mergeCell ref="C6:E6"/>
    <mergeCell ref="C7:E7"/>
    <mergeCell ref="C8:E8"/>
    <mergeCell ref="C9:E9"/>
    <mergeCell ref="C10:E10"/>
    <mergeCell ref="C11:E11"/>
    <mergeCell ref="C12:E12"/>
    <mergeCell ref="B58:C58"/>
    <mergeCell ref="B99:G99"/>
    <mergeCell ref="B148:G148"/>
    <mergeCell ref="C150:G150"/>
    <mergeCell ref="C151:G151"/>
    <mergeCell ref="C152:G152"/>
    <mergeCell ref="C160:G160"/>
    <mergeCell ref="B78:F78"/>
    <mergeCell ref="C153:G153"/>
    <mergeCell ref="C154:G154"/>
    <mergeCell ref="C155:G155"/>
    <mergeCell ref="C156:G156"/>
    <mergeCell ref="B158:G158"/>
    <mergeCell ref="C166:G166"/>
    <mergeCell ref="C161:G161"/>
    <mergeCell ref="C162:G162"/>
    <mergeCell ref="C163:G163"/>
    <mergeCell ref="C164:G164"/>
    <mergeCell ref="C165:G165"/>
    <mergeCell ref="C182:G182"/>
    <mergeCell ref="B170:G170"/>
    <mergeCell ref="C172:G172"/>
    <mergeCell ref="C173:G173"/>
    <mergeCell ref="C174:G174"/>
    <mergeCell ref="C175:G175"/>
    <mergeCell ref="C176:G176"/>
    <mergeCell ref="C180:G180"/>
    <mergeCell ref="C181:G181"/>
    <mergeCell ref="C28:E28"/>
    <mergeCell ref="C29:E29"/>
    <mergeCell ref="C27:E27"/>
    <mergeCell ref="C16:E16"/>
    <mergeCell ref="C20:E20"/>
    <mergeCell ref="C21:E21"/>
    <mergeCell ref="C22:E22"/>
    <mergeCell ref="C23:E23"/>
    <mergeCell ref="C18:E18"/>
    <mergeCell ref="C19:E19"/>
    <mergeCell ref="C24:E24"/>
    <mergeCell ref="C25:E25"/>
  </mergeCells>
  <dataValidations count="7">
    <dataValidation type="list" allowBlank="1" sqref="F34:F38 F41:F47 F50:F52 F55:F56" xr:uid="{00000000-0002-0000-0C00-000003000000}">
      <formula1>"Alta,Media,Baja,Sin mejora"</formula1>
      <formula2>0</formula2>
    </dataValidation>
    <dataValidation type="list" allowBlank="1" sqref="C101:C122" xr:uid="{00000000-0002-0000-0C00-000004000000}">
      <formula1>"Sí,No,Parcial"</formula1>
      <formula2>0</formula2>
    </dataValidation>
    <dataValidation type="list" allowBlank="1" showInputMessage="1" showErrorMessage="1" promptTitle="Seleccione herramienta" prompt="Seleccione una opción de la lista o escriba otra herramienta si aplica." sqref="C146" xr:uid="{5581E52C-90A0-4644-8418-9C4D6A53484C}">
      <formula1>"API REST,Power Automate,Zapier,Make,Azure Logic Apps,MuleSoft,Boomi,Workato,ServiceNow IntegrationHub,Jira Automation"</formula1>
    </dataValidation>
    <dataValidation type="list" allowBlank="1" showInputMessage="1" showErrorMessage="1" promptTitle="Seleccione herramienta" prompt="Seleccione una opción de la lista o escriba otra herramienta si aplica." sqref="C142" xr:uid="{B6CC99B2-CA16-4290-9648-239978CC30C3}">
      <formula1>"Microsoft Teams Phone,Genesys Cloud,Avaya,3CX,Cisco Webex Contact Center,Amazon Connect,Twilio Flex,Five9,NICE CXone,Talkdesk"</formula1>
    </dataValidation>
    <dataValidation allowBlank="1" sqref="C18:E25 C16:E16" xr:uid="{3A910A92-5B78-4731-A45A-28B768AC4733}"/>
    <dataValidation type="date" allowBlank="1" showInputMessage="1" showErrorMessage="1" sqref="C9:E9" xr:uid="{1CAC0176-912F-4A51-85F1-CE3F9D04FECB}">
      <formula1>46174</formula1>
      <formula2>46368</formula2>
    </dataValidation>
    <dataValidation allowBlank="1" showInputMessage="1" showErrorMessage="1" sqref="C8:E8 C15" xr:uid="{0C7B09F2-CE5A-4B1B-97F4-F1F9728625FB}"/>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3">
        <x14:dataValidation type="list" allowBlank="1" xr:uid="{4B7E0D48-6B75-4556-A29F-9139893263D1}">
          <x14:formula1>
            <xm:f>Listas!$H$5:$H$10</xm:f>
          </x14:formula1>
          <x14:formula2>
            <xm:f>0</xm:f>
          </x14:formula2>
          <xm:sqref>C12</xm:sqref>
        </x14:dataValidation>
        <x14:dataValidation type="list" allowBlank="1" xr:uid="{BCB8E09A-8237-4031-9459-EEA192749266}">
          <x14:formula1>
            <xm:f>Listas!$D$5:$D$11</xm:f>
          </x14:formula1>
          <x14:formula2>
            <xm:f>0</xm:f>
          </x14:formula2>
          <xm:sqref>C13 C17</xm:sqref>
        </x14:dataValidation>
        <x14:dataValidation type="list" allowBlank="1" xr:uid="{00000000-0002-0000-0C00-000002000000}">
          <x14:formula1>
            <xm:f>Listas!$B$5:$B$9</xm:f>
          </x14:formula1>
          <x14:formula2>
            <xm:f>0</xm:f>
          </x14:formula2>
          <xm:sqref>D34:D38 D41:D47 D50:D52 D55:D56</xm:sqref>
        </x14:dataValidation>
        <x14:dataValidation type="list" allowBlank="1" xr:uid="{00000000-0002-0000-0C00-000005000000}">
          <x14:formula1>
            <xm:f>Listas!$F$5:$F$8</xm:f>
          </x14:formula1>
          <x14:formula2>
            <xm:f>0</xm:f>
          </x14:formula2>
          <xm:sqref>F101:F118</xm:sqref>
        </x14:dataValidation>
        <x14:dataValidation type="list" allowBlank="1" xr:uid="{00000000-0002-0000-0C00-000006000000}">
          <x14:formula1>
            <xm:f>Listas!$L$5:$L$8</xm:f>
          </x14:formula1>
          <x14:formula2>
            <xm:f>0</xm:f>
          </x14:formula2>
          <xm:sqref>C164</xm:sqref>
        </x14:dataValidation>
        <x14:dataValidation type="list" allowBlank="1" showInputMessage="1" showErrorMessage="1" xr:uid="{8542F135-E439-414E-8E1A-959F66FD6A5B}">
          <x14:formula1>
            <xm:f>Listas!$N$5:$N$11</xm:f>
          </x14:formula1>
          <xm:sqref>C5:E5</xm:sqref>
        </x14:dataValidation>
        <x14:dataValidation type="list" allowBlank="1" showInputMessage="1" showErrorMessage="1" xr:uid="{7FB6F287-4A6A-4E52-AF00-4E5DAD752984}">
          <x14:formula1>
            <xm:f>Listas!$P$5:$P$9</xm:f>
          </x14:formula1>
          <xm:sqref>F137:F146</xm:sqref>
        </x14:dataValidation>
        <x14:dataValidation type="list" allowBlank="1" showInputMessage="1" showErrorMessage="1" xr:uid="{D339480D-15B6-45F1-9DD2-5A075DC88AFF}">
          <x14:formula1>
            <xm:f>Listas!$R$5:$R$8</xm:f>
          </x14:formula1>
          <xm:sqref>D137:D146</xm:sqref>
        </x14:dataValidation>
        <x14:dataValidation type="list" allowBlank="1" showInputMessage="1" showErrorMessage="1" promptTitle="Seleccione herramienta" prompt="Seleccione una opción de la lista o escriba otra herramienta si aplica." xr:uid="{611F0D52-4446-48C5-81F4-7CD617950C93}">
          <x14:formula1>
            <xm:f>Listas!$J$21:$J$35</xm:f>
          </x14:formula1>
          <xm:sqref>C145</xm:sqref>
        </x14:dataValidation>
        <x14:dataValidation type="list" allowBlank="1" showInputMessage="1" showErrorMessage="1" promptTitle="Seleccione herramienta" prompt="Seleccione una opción de la lista o escriba otra herramienta si aplica." xr:uid="{A692C2B1-F81C-43BB-A478-404520C19840}">
          <x14:formula1>
            <xm:f>Listas!$L$21:$L$35</xm:f>
          </x14:formula1>
          <xm:sqref>C144</xm:sqref>
        </x14:dataValidation>
        <x14:dataValidation type="list" allowBlank="1" showInputMessage="1" showErrorMessage="1" promptTitle="Seleccione herramienta" prompt="Seleccione una opción de la lista o escriba otra herramienta si aplica." xr:uid="{BDF45449-CE08-486F-B26A-B8206DDF3F8F}">
          <x14:formula1>
            <xm:f>Listas!$H$21:$H$35</xm:f>
          </x14:formula1>
          <xm:sqref>C143</xm:sqref>
        </x14:dataValidation>
        <x14:dataValidation type="list" allowBlank="1" showInputMessage="1" showErrorMessage="1" promptTitle="Seleccione herramienta" prompt="Seleccione una opción de la lista o escriba otra herramienta si aplica." xr:uid="{38BFF703-5C22-409D-A160-F74D5987BE1D}">
          <x14:formula1>
            <xm:f>Listas!$N$21:$N$35</xm:f>
          </x14:formula1>
          <xm:sqref>C141</xm:sqref>
        </x14:dataValidation>
        <x14:dataValidation type="list" allowBlank="1" showInputMessage="1" showErrorMessage="1" promptTitle="Seleccione herramienta" prompt="Seleccione una opción de la lista o escriba otra herramienta si aplica." xr:uid="{DC318C2D-A933-44C7-B9DA-00643676918B}">
          <x14:formula1>
            <xm:f>Listas!$P$21:$P$35</xm:f>
          </x14:formula1>
          <xm:sqref>C140</xm:sqref>
        </x14:dataValidation>
        <x14:dataValidation type="list" allowBlank="1" showInputMessage="1" showErrorMessage="1" promptTitle="Seleccione herramienta" prompt="Seleccione una opción de la lista o escriba otra herramienta si aplica." xr:uid="{B809CD6C-BA7D-4270-92D1-C390223991C8}">
          <x14:formula1>
            <xm:f>Listas!$F$21:$F$35</xm:f>
          </x14:formula1>
          <xm:sqref>C139</xm:sqref>
        </x14:dataValidation>
        <x14:dataValidation type="list" allowBlank="1" showInputMessage="1" showErrorMessage="1" promptTitle="Seleccione herramienta" prompt="Seleccione una opción de la lista o escriba otra herramienta si aplica." xr:uid="{965C8377-5D83-43F5-9F59-4E917C480855}">
          <x14:formula1>
            <xm:f>Listas!$D$21:$D$35</xm:f>
          </x14:formula1>
          <xm:sqref>C138</xm:sqref>
        </x14:dataValidation>
        <x14:dataValidation type="list" allowBlank="1" showInputMessage="1" showErrorMessage="1" promptTitle="Seleccione herramienta" prompt="Seleccione una opción de la lista o escriba otra herramienta si aplica." xr:uid="{B9703CF5-38B2-4762-AF9B-B4B6082D6FA8}">
          <x14:formula1>
            <xm:f>Listas!$B$21:$B$35</xm:f>
          </x14:formula1>
          <xm:sqref>C137</xm:sqref>
        </x14:dataValidation>
        <x14:dataValidation type="list" allowBlank="1" showInputMessage="1" showErrorMessage="1" xr:uid="{B8C4BEBB-F375-4BAE-A8F2-A280395D2B7E}">
          <x14:formula1>
            <xm:f>Listas!$J$45:$J$49</xm:f>
          </x14:formula1>
          <xm:sqref>C97:D97</xm:sqref>
        </x14:dataValidation>
        <x14:dataValidation type="list" allowBlank="1" showInputMessage="1" showErrorMessage="1" xr:uid="{D949652B-27D3-40AD-9FB0-A6FF89D09E98}">
          <x14:formula1>
            <xm:f>Listas!$H$45:$H$48</xm:f>
          </x14:formula1>
          <xm:sqref>C96:D96</xm:sqref>
        </x14:dataValidation>
        <x14:dataValidation type="list" allowBlank="1" showInputMessage="1" showErrorMessage="1" xr:uid="{EC6CD1A2-E36E-47E3-BAC4-9CCB0A9BC5FF}">
          <x14:formula1>
            <xm:f>Listas!$F$45:$F$52</xm:f>
          </x14:formula1>
          <xm:sqref>C93:D93</xm:sqref>
        </x14:dataValidation>
        <x14:dataValidation type="list" allowBlank="1" showInputMessage="1" showErrorMessage="1" xr:uid="{D6384C4E-EA5F-4724-A281-DC5427B48C4B}">
          <x14:formula1>
            <xm:f>Listas!$D$45:$D$49</xm:f>
          </x14:formula1>
          <xm:sqref>C92:D92</xm:sqref>
        </x14:dataValidation>
        <x14:dataValidation type="list" allowBlank="1" showInputMessage="1" showErrorMessage="1" xr:uid="{06ABB428-E2D4-49C8-9E31-047B482AB08B}">
          <x14:formula1>
            <xm:f>Listas!$B$45:$B$48</xm:f>
          </x14:formula1>
          <xm:sqref>C91:D91</xm:sqref>
        </x14:dataValidation>
        <x14:dataValidation type="list" allowBlank="1" showInputMessage="1" showErrorMessage="1" xr:uid="{B16DAF24-A490-41D5-9706-B6D514923914}">
          <x14:formula1>
            <xm:f>Listas!$B$53:$B$58</xm:f>
          </x14:formula1>
          <xm:sqref>C132</xm:sqref>
        </x14:dataValidation>
        <x14:dataValidation type="list" allowBlank="1" showInputMessage="1" showErrorMessage="1" xr:uid="{46DA1954-12D3-45FF-92BB-AF37ED6E12D2}">
          <x14:formula1>
            <xm:f>Listas!$B$12:$B$17</xm:f>
          </x14:formula1>
          <xm:sqref>C14</xm:sqref>
        </x14:dataValidation>
      </x14:dataValidations>
    </ext>
  </extLs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D3129-39C7-44E4-804E-D2266D6FC033}">
  <sheetPr>
    <tabColor rgb="FFD4A017"/>
  </sheetPr>
  <dimension ref="B1:K182"/>
  <sheetViews>
    <sheetView showGridLines="0" zoomScaleNormal="100" workbookViewId="0">
      <pane xSplit="2" ySplit="2" topLeftCell="C3" activePane="bottomRight" state="frozen"/>
      <selection pane="topRight" activeCell="C1" sqref="C1"/>
      <selection pane="bottomLeft" activeCell="A3" sqref="A3"/>
      <selection pane="bottomRight" activeCell="C19" sqref="C19:E19"/>
    </sheetView>
  </sheetViews>
  <sheetFormatPr baseColWidth="10" defaultColWidth="8.54296875" defaultRowHeight="14.5" x14ac:dyDescent="0.35"/>
  <cols>
    <col min="1" max="1" width="3" style="1" customWidth="1"/>
    <col min="2" max="2" width="40.1796875" style="1" customWidth="1"/>
    <col min="3" max="3" width="42.7265625" style="1" customWidth="1"/>
    <col min="4" max="4" width="34" style="1" customWidth="1"/>
    <col min="5" max="5" width="40" style="1" customWidth="1"/>
    <col min="6" max="6" width="25.1796875" style="1" customWidth="1"/>
    <col min="7" max="7" width="29" style="1" customWidth="1"/>
    <col min="8" max="8" width="9.1796875" style="1"/>
    <col min="9" max="9" width="16.453125" style="1" customWidth="1"/>
    <col min="10" max="10" width="33.54296875" style="1" customWidth="1"/>
    <col min="11" max="11" width="36.7265625" style="1" customWidth="1"/>
    <col min="12" max="16384" width="8.54296875" style="1"/>
  </cols>
  <sheetData>
    <row r="1" spans="2:11" ht="7.5" customHeight="1" x14ac:dyDescent="0.35"/>
    <row r="2" spans="2:11" ht="30" customHeight="1" x14ac:dyDescent="0.35">
      <c r="B2" s="259" t="s">
        <v>1330</v>
      </c>
      <c r="C2" s="259"/>
      <c r="D2" s="259"/>
      <c r="E2" s="259"/>
      <c r="F2" s="259"/>
      <c r="G2" s="259"/>
    </row>
    <row r="3" spans="2:11" ht="15.5" x14ac:dyDescent="0.35">
      <c r="I3" s="62" t="s">
        <v>60</v>
      </c>
      <c r="J3" s="62"/>
      <c r="K3" s="62"/>
    </row>
    <row r="4" spans="2:11" ht="24" customHeight="1" x14ac:dyDescent="0.35">
      <c r="B4" s="258" t="s">
        <v>647</v>
      </c>
      <c r="C4" s="258"/>
      <c r="D4" s="258"/>
      <c r="E4" s="258"/>
      <c r="F4" s="258"/>
      <c r="G4" s="258"/>
      <c r="I4" s="6" t="s">
        <v>61</v>
      </c>
      <c r="J4" s="6" t="s">
        <v>62</v>
      </c>
      <c r="K4" s="6" t="s">
        <v>22</v>
      </c>
    </row>
    <row r="5" spans="2:11" ht="17" x14ac:dyDescent="0.35">
      <c r="B5" s="37" t="s">
        <v>648</v>
      </c>
      <c r="C5" s="251" t="s">
        <v>281</v>
      </c>
      <c r="D5" s="251"/>
      <c r="E5" s="251"/>
      <c r="I5" s="17" t="s">
        <v>63</v>
      </c>
      <c r="J5" s="18" t="s">
        <v>64</v>
      </c>
      <c r="K5" s="63" t="s">
        <v>65</v>
      </c>
    </row>
    <row r="6" spans="2:11" ht="17.25" customHeight="1" x14ac:dyDescent="0.35">
      <c r="B6" s="37" t="s">
        <v>649</v>
      </c>
      <c r="C6" s="251" t="s">
        <v>1331</v>
      </c>
      <c r="D6" s="251"/>
      <c r="E6" s="251"/>
      <c r="I6" s="19" t="s">
        <v>66</v>
      </c>
      <c r="J6" s="122" t="s">
        <v>67</v>
      </c>
      <c r="K6" s="63" t="s">
        <v>68</v>
      </c>
    </row>
    <row r="7" spans="2:11" ht="17.25" customHeight="1" x14ac:dyDescent="0.35">
      <c r="B7" s="37" t="s">
        <v>651</v>
      </c>
      <c r="C7" s="251" t="s">
        <v>1332</v>
      </c>
      <c r="D7" s="251"/>
      <c r="E7" s="251"/>
      <c r="I7" s="20" t="s">
        <v>69</v>
      </c>
      <c r="J7" s="122" t="s">
        <v>70</v>
      </c>
      <c r="K7" s="63" t="s">
        <v>71</v>
      </c>
    </row>
    <row r="8" spans="2:11" ht="17.25" customHeight="1" x14ac:dyDescent="0.35">
      <c r="B8" s="37" t="s">
        <v>1201</v>
      </c>
      <c r="C8" s="261" t="s">
        <v>1202</v>
      </c>
      <c r="D8" s="262"/>
      <c r="E8" s="262"/>
      <c r="I8" s="21" t="s">
        <v>72</v>
      </c>
      <c r="J8" s="122" t="s">
        <v>73</v>
      </c>
      <c r="K8" s="63" t="s">
        <v>74</v>
      </c>
    </row>
    <row r="9" spans="2:11" ht="17" x14ac:dyDescent="0.35">
      <c r="B9" s="37" t="s">
        <v>655</v>
      </c>
      <c r="C9" s="263">
        <v>46213</v>
      </c>
      <c r="D9" s="264"/>
      <c r="E9" s="264"/>
      <c r="I9" s="22" t="s">
        <v>75</v>
      </c>
      <c r="J9" s="122" t="s">
        <v>76</v>
      </c>
      <c r="K9" s="63" t="s">
        <v>77</v>
      </c>
    </row>
    <row r="10" spans="2:11" x14ac:dyDescent="0.35">
      <c r="B10" s="37" t="s">
        <v>656</v>
      </c>
      <c r="C10" s="251" t="s">
        <v>657</v>
      </c>
      <c r="D10" s="251"/>
      <c r="E10" s="251"/>
    </row>
    <row r="11" spans="2:11" x14ac:dyDescent="0.35">
      <c r="B11" s="37" t="s">
        <v>658</v>
      </c>
      <c r="C11" s="251">
        <v>1</v>
      </c>
      <c r="D11" s="262"/>
      <c r="E11" s="262"/>
      <c r="I11" s="6" t="s">
        <v>659</v>
      </c>
      <c r="J11" s="6" t="s">
        <v>292</v>
      </c>
      <c r="K11" s="6" t="s">
        <v>660</v>
      </c>
    </row>
    <row r="12" spans="2:11" x14ac:dyDescent="0.35">
      <c r="B12" s="37" t="s">
        <v>661</v>
      </c>
      <c r="C12" s="251" t="s">
        <v>283</v>
      </c>
      <c r="D12" s="251"/>
      <c r="E12" s="251"/>
      <c r="I12" s="18" t="s">
        <v>662</v>
      </c>
      <c r="J12" s="63" t="s">
        <v>663</v>
      </c>
      <c r="K12" s="63" t="s">
        <v>664</v>
      </c>
    </row>
    <row r="13" spans="2:11" ht="18.5" x14ac:dyDescent="0.35">
      <c r="B13" s="133" t="s">
        <v>1310</v>
      </c>
      <c r="C13" s="140" t="s">
        <v>66</v>
      </c>
      <c r="D13" s="141" t="s">
        <v>666</v>
      </c>
      <c r="E13" s="70"/>
      <c r="I13" s="122" t="s">
        <v>667</v>
      </c>
      <c r="J13" s="63" t="s">
        <v>668</v>
      </c>
      <c r="K13" s="63" t="s">
        <v>669</v>
      </c>
    </row>
    <row r="14" spans="2:11" ht="15.5" x14ac:dyDescent="0.35">
      <c r="B14" s="133" t="s">
        <v>1311</v>
      </c>
      <c r="C14" s="138" t="s">
        <v>297</v>
      </c>
      <c r="D14" s="141"/>
      <c r="E14" s="70"/>
      <c r="I14" s="122" t="s">
        <v>672</v>
      </c>
      <c r="J14" s="63" t="s">
        <v>673</v>
      </c>
      <c r="K14" s="63" t="s">
        <v>674</v>
      </c>
    </row>
    <row r="15" spans="2:11" ht="15.5" x14ac:dyDescent="0.35">
      <c r="B15" s="133" t="s">
        <v>675</v>
      </c>
      <c r="C15" s="230" t="s">
        <v>1203</v>
      </c>
      <c r="D15" s="141"/>
      <c r="E15" s="70"/>
    </row>
    <row r="16" spans="2:11" ht="15" customHeight="1" x14ac:dyDescent="0.35">
      <c r="B16" s="133" t="s">
        <v>678</v>
      </c>
      <c r="C16" s="251" t="s">
        <v>679</v>
      </c>
      <c r="D16" s="262" t="s">
        <v>666</v>
      </c>
      <c r="E16" s="262"/>
    </row>
    <row r="17" spans="2:7" ht="15" customHeight="1" x14ac:dyDescent="0.35">
      <c r="B17" s="133" t="s">
        <v>1312</v>
      </c>
      <c r="C17" s="38" t="s">
        <v>432</v>
      </c>
      <c r="D17" s="134"/>
    </row>
    <row r="18" spans="2:7" x14ac:dyDescent="0.35">
      <c r="B18" s="37" t="s">
        <v>680</v>
      </c>
      <c r="C18" s="251" t="s">
        <v>1333</v>
      </c>
      <c r="D18" s="251"/>
      <c r="E18" s="251"/>
    </row>
    <row r="19" spans="2:7" ht="48" customHeight="1" x14ac:dyDescent="0.35">
      <c r="B19" s="37" t="s">
        <v>682</v>
      </c>
      <c r="C19" s="251"/>
      <c r="D19" s="251"/>
      <c r="E19" s="251"/>
    </row>
    <row r="20" spans="2:7" s="110" customFormat="1" x14ac:dyDescent="0.35">
      <c r="B20" s="37" t="s">
        <v>684</v>
      </c>
      <c r="C20" s="251"/>
      <c r="D20" s="251"/>
      <c r="E20" s="251"/>
    </row>
    <row r="21" spans="2:7" s="110" customFormat="1" x14ac:dyDescent="0.35">
      <c r="B21" s="37" t="s">
        <v>686</v>
      </c>
      <c r="C21" s="251"/>
      <c r="D21" s="251"/>
      <c r="E21" s="251"/>
    </row>
    <row r="22" spans="2:7" s="110" customFormat="1" x14ac:dyDescent="0.35">
      <c r="B22" s="37" t="s">
        <v>688</v>
      </c>
      <c r="C22" s="251"/>
      <c r="D22" s="251"/>
      <c r="E22" s="251"/>
    </row>
    <row r="23" spans="2:7" s="110" customFormat="1" x14ac:dyDescent="0.35">
      <c r="B23" s="37" t="s">
        <v>690</v>
      </c>
      <c r="C23" s="251"/>
      <c r="D23" s="251"/>
      <c r="E23" s="251"/>
    </row>
    <row r="24" spans="2:7" s="110" customFormat="1" x14ac:dyDescent="0.35">
      <c r="B24" s="37" t="s">
        <v>692</v>
      </c>
      <c r="C24" s="251" t="s">
        <v>1206</v>
      </c>
      <c r="D24" s="251"/>
      <c r="E24" s="251"/>
    </row>
    <row r="25" spans="2:7" s="110" customFormat="1" x14ac:dyDescent="0.35">
      <c r="B25" s="37" t="s">
        <v>935</v>
      </c>
      <c r="C25" s="251"/>
      <c r="D25" s="251"/>
      <c r="E25" s="251"/>
    </row>
    <row r="26" spans="2:7" s="110" customFormat="1" x14ac:dyDescent="0.35">
      <c r="B26" s="37" t="s">
        <v>936</v>
      </c>
      <c r="C26" s="174" t="s">
        <v>1207</v>
      </c>
      <c r="D26" s="174"/>
      <c r="E26" s="174"/>
    </row>
    <row r="27" spans="2:7" s="110" customFormat="1" ht="15" x14ac:dyDescent="0.35">
      <c r="B27" s="37" t="s">
        <v>938</v>
      </c>
      <c r="C27" s="252" t="s">
        <v>1208</v>
      </c>
      <c r="D27" s="252"/>
      <c r="E27" s="253"/>
    </row>
    <row r="28" spans="2:7" s="110" customFormat="1" ht="15" x14ac:dyDescent="0.35">
      <c r="B28" s="199" t="s">
        <v>698</v>
      </c>
      <c r="C28" s="252" t="s">
        <v>1210</v>
      </c>
      <c r="D28" s="252"/>
      <c r="E28" s="253"/>
    </row>
    <row r="29" spans="2:7" s="110" customFormat="1" x14ac:dyDescent="0.35">
      <c r="B29" s="199"/>
      <c r="C29" s="252"/>
      <c r="D29" s="252"/>
      <c r="E29" s="253"/>
    </row>
    <row r="30" spans="2:7" s="110" customFormat="1" ht="14.5" customHeight="1" x14ac:dyDescent="0.35"/>
    <row r="31" spans="2:7" ht="24" customHeight="1" x14ac:dyDescent="0.35">
      <c r="B31" s="100" t="s">
        <v>699</v>
      </c>
      <c r="C31" s="100"/>
      <c r="D31" s="100"/>
      <c r="E31" s="100"/>
      <c r="F31" s="100"/>
      <c r="G31" s="110"/>
    </row>
    <row r="32" spans="2:7" ht="27.75" customHeight="1" x14ac:dyDescent="0.35">
      <c r="B32" s="6" t="s">
        <v>19</v>
      </c>
      <c r="C32" s="6" t="s">
        <v>700</v>
      </c>
      <c r="D32" s="6" t="s">
        <v>701</v>
      </c>
      <c r="E32" s="6" t="s">
        <v>702</v>
      </c>
      <c r="F32" s="6" t="s">
        <v>703</v>
      </c>
      <c r="G32" s="110"/>
    </row>
    <row r="33" spans="2:7" ht="21.75" customHeight="1" x14ac:dyDescent="0.35">
      <c r="B33" s="170" t="s">
        <v>704</v>
      </c>
      <c r="C33" s="170"/>
      <c r="D33" s="170"/>
      <c r="E33" s="170"/>
      <c r="F33" s="170"/>
      <c r="G33" s="110"/>
    </row>
    <row r="34" spans="2:7" ht="27.75" customHeight="1" x14ac:dyDescent="0.35">
      <c r="B34" s="40" t="s">
        <v>939</v>
      </c>
      <c r="C34" s="65" t="s">
        <v>705</v>
      </c>
      <c r="D34" s="26" t="s">
        <v>86</v>
      </c>
      <c r="E34" s="5" t="s">
        <v>1211</v>
      </c>
      <c r="F34" s="36" t="s">
        <v>277</v>
      </c>
    </row>
    <row r="35" spans="2:7" ht="27.75" customHeight="1" x14ac:dyDescent="0.35">
      <c r="B35" s="41" t="s">
        <v>941</v>
      </c>
      <c r="C35" s="66" t="s">
        <v>706</v>
      </c>
      <c r="D35" s="26" t="s">
        <v>93</v>
      </c>
      <c r="E35" s="5" t="s">
        <v>1212</v>
      </c>
      <c r="F35" s="36" t="s">
        <v>271</v>
      </c>
    </row>
    <row r="36" spans="2:7" ht="27.75" customHeight="1" x14ac:dyDescent="0.35">
      <c r="B36" s="40" t="s">
        <v>943</v>
      </c>
      <c r="C36" s="65" t="s">
        <v>707</v>
      </c>
      <c r="D36" s="26" t="s">
        <v>86</v>
      </c>
      <c r="E36" s="5" t="s">
        <v>1213</v>
      </c>
      <c r="F36" s="36" t="s">
        <v>277</v>
      </c>
    </row>
    <row r="37" spans="2:7" ht="27.75" customHeight="1" x14ac:dyDescent="0.35">
      <c r="B37" s="41" t="s">
        <v>945</v>
      </c>
      <c r="C37" s="66" t="s">
        <v>708</v>
      </c>
      <c r="D37" s="26" t="s">
        <v>89</v>
      </c>
      <c r="E37" s="5" t="s">
        <v>1214</v>
      </c>
      <c r="F37" s="36" t="s">
        <v>277</v>
      </c>
    </row>
    <row r="38" spans="2:7" ht="27.75" customHeight="1" x14ac:dyDescent="0.35">
      <c r="B38" s="40" t="s">
        <v>947</v>
      </c>
      <c r="C38" s="65" t="s">
        <v>709</v>
      </c>
      <c r="D38" s="26" t="s">
        <v>89</v>
      </c>
      <c r="E38" s="5" t="s">
        <v>1215</v>
      </c>
      <c r="F38" s="36" t="s">
        <v>277</v>
      </c>
    </row>
    <row r="40" spans="2:7" ht="21.75" customHeight="1" x14ac:dyDescent="0.35">
      <c r="B40" s="129" t="s">
        <v>711</v>
      </c>
      <c r="C40" s="129"/>
      <c r="D40" s="129"/>
      <c r="E40" s="129"/>
      <c r="F40" s="129"/>
    </row>
    <row r="41" spans="2:7" ht="27.75" customHeight="1" x14ac:dyDescent="0.35">
      <c r="B41" s="41" t="s">
        <v>949</v>
      </c>
      <c r="C41" s="66" t="s">
        <v>712</v>
      </c>
      <c r="D41" s="26" t="s">
        <v>86</v>
      </c>
      <c r="E41" s="5" t="s">
        <v>1216</v>
      </c>
      <c r="F41" s="36" t="s">
        <v>277</v>
      </c>
    </row>
    <row r="42" spans="2:7" ht="27.75" customHeight="1" x14ac:dyDescent="0.35">
      <c r="B42" s="40" t="s">
        <v>951</v>
      </c>
      <c r="C42" s="65" t="s">
        <v>714</v>
      </c>
      <c r="D42" s="26" t="s">
        <v>86</v>
      </c>
      <c r="E42" s="5" t="s">
        <v>1217</v>
      </c>
      <c r="F42" s="36" t="s">
        <v>277</v>
      </c>
    </row>
    <row r="43" spans="2:7" ht="27.75" customHeight="1" x14ac:dyDescent="0.35">
      <c r="B43" s="41" t="s">
        <v>953</v>
      </c>
      <c r="C43" s="66" t="s">
        <v>716</v>
      </c>
      <c r="D43" s="26" t="s">
        <v>86</v>
      </c>
      <c r="E43" s="5" t="s">
        <v>1218</v>
      </c>
      <c r="F43" s="36" t="s">
        <v>277</v>
      </c>
    </row>
    <row r="44" spans="2:7" ht="43.5" x14ac:dyDescent="0.35">
      <c r="B44" s="40" t="s">
        <v>955</v>
      </c>
      <c r="C44" s="65" t="s">
        <v>718</v>
      </c>
      <c r="D44" s="26" t="s">
        <v>89</v>
      </c>
      <c r="E44" s="5" t="s">
        <v>1219</v>
      </c>
      <c r="F44" s="36" t="s">
        <v>271</v>
      </c>
    </row>
    <row r="45" spans="2:7" ht="43.5" x14ac:dyDescent="0.35">
      <c r="B45" s="41" t="s">
        <v>957</v>
      </c>
      <c r="C45" s="66" t="s">
        <v>719</v>
      </c>
      <c r="D45" s="26" t="s">
        <v>89</v>
      </c>
      <c r="E45" s="5" t="s">
        <v>1220</v>
      </c>
      <c r="F45" s="36" t="s">
        <v>277</v>
      </c>
    </row>
    <row r="46" spans="2:7" ht="27.75" customHeight="1" x14ac:dyDescent="0.35">
      <c r="B46" s="40" t="s">
        <v>958</v>
      </c>
      <c r="C46" s="65" t="s">
        <v>721</v>
      </c>
      <c r="D46" s="26" t="s">
        <v>89</v>
      </c>
      <c r="E46" s="5" t="s">
        <v>1221</v>
      </c>
      <c r="F46" s="36" t="s">
        <v>277</v>
      </c>
    </row>
    <row r="47" spans="2:7" ht="27.75" customHeight="1" x14ac:dyDescent="0.35">
      <c r="B47" s="41" t="s">
        <v>959</v>
      </c>
      <c r="C47" s="66" t="s">
        <v>722</v>
      </c>
      <c r="D47" s="26" t="s">
        <v>86</v>
      </c>
      <c r="E47" s="5" t="s">
        <v>1222</v>
      </c>
      <c r="F47" s="36" t="s">
        <v>277</v>
      </c>
    </row>
    <row r="49" spans="2:6" ht="21.75" customHeight="1" x14ac:dyDescent="0.35">
      <c r="B49" s="129" t="s">
        <v>723</v>
      </c>
      <c r="C49" s="129"/>
      <c r="D49" s="129"/>
      <c r="E49" s="129"/>
      <c r="F49" s="129"/>
    </row>
    <row r="50" spans="2:6" ht="27.75" customHeight="1" x14ac:dyDescent="0.35">
      <c r="B50" s="40" t="s">
        <v>961</v>
      </c>
      <c r="C50" s="65" t="s">
        <v>724</v>
      </c>
      <c r="D50" s="26" t="s">
        <v>86</v>
      </c>
      <c r="E50" s="5" t="s">
        <v>1223</v>
      </c>
      <c r="F50" s="36" t="s">
        <v>277</v>
      </c>
    </row>
    <row r="51" spans="2:6" ht="43.5" x14ac:dyDescent="0.35">
      <c r="B51" s="41" t="s">
        <v>963</v>
      </c>
      <c r="C51" s="66" t="s">
        <v>726</v>
      </c>
      <c r="D51" s="26" t="s">
        <v>86</v>
      </c>
      <c r="E51" s="5" t="s">
        <v>1224</v>
      </c>
      <c r="F51" s="36" t="s">
        <v>277</v>
      </c>
    </row>
    <row r="52" spans="2:6" ht="27.75" customHeight="1" x14ac:dyDescent="0.35">
      <c r="B52" s="40" t="s">
        <v>965</v>
      </c>
      <c r="C52" s="65" t="s">
        <v>727</v>
      </c>
      <c r="D52" s="26" t="s">
        <v>89</v>
      </c>
      <c r="E52" s="5" t="s">
        <v>1225</v>
      </c>
      <c r="F52" s="36" t="s">
        <v>271</v>
      </c>
    </row>
    <row r="54" spans="2:6" ht="21.75" customHeight="1" x14ac:dyDescent="0.35">
      <c r="B54" s="129" t="s">
        <v>728</v>
      </c>
      <c r="C54" s="129"/>
      <c r="D54" s="129"/>
      <c r="E54" s="129"/>
      <c r="F54" s="129"/>
    </row>
    <row r="55" spans="2:6" ht="27.75" customHeight="1" x14ac:dyDescent="0.35">
      <c r="B55" s="41" t="s">
        <v>967</v>
      </c>
      <c r="C55" s="66" t="s">
        <v>729</v>
      </c>
      <c r="D55" s="26" t="s">
        <v>86</v>
      </c>
      <c r="E55" s="5" t="s">
        <v>1226</v>
      </c>
      <c r="F55" s="36" t="s">
        <v>277</v>
      </c>
    </row>
    <row r="56" spans="2:6" ht="27.75" customHeight="1" x14ac:dyDescent="0.35">
      <c r="B56" s="40" t="s">
        <v>969</v>
      </c>
      <c r="C56" s="65" t="s">
        <v>731</v>
      </c>
      <c r="D56" s="26" t="s">
        <v>89</v>
      </c>
      <c r="E56" s="5" t="s">
        <v>1227</v>
      </c>
      <c r="F56" s="36" t="s">
        <v>271</v>
      </c>
    </row>
    <row r="58" spans="2:6" ht="27.75" customHeight="1" x14ac:dyDescent="0.35">
      <c r="B58" s="260" t="s">
        <v>732</v>
      </c>
      <c r="C58" s="260"/>
      <c r="D58" s="42">
        <f>IF(D34="Sí",1,IF(D34="Parcial",0.5,0))+IF(D35="Sí",1,IF(D35="Parcial",0.5,0))+IF(D36="Sí",1,IF(D36="Parcial",0.5,0))+IF(D37="Sí",1,IF(D37="Parcial",0.5,0))+IF(D38="Sí",1,IF(D38="Parcial",0.5,0))+IF(D41="Sí",1,IF(D41="Parcial",0.5,0))+IF(D42="Sí",1,IF(D42="Parcial",0.5,0))+IF(D43="Sí",1,IF(D43="Parcial",0.5,0))+IF(D44="Sí",1,IF(D44="Parcial",0.5,0))+IF(D45="Sí",1,IF(D45="Parcial",0.5,0))+IF(D46="Sí",1,IF(D46="Parcial",0.5,0))+IF(D47="Sí",1,IF(D47="Parcial",0.5,0))+IF(D50="Sí",1,IF(D50="Parcial",0.5,0))+IF(D51="Sí",1,IF(D51="Parcial",0.5,0))+IF(D52="Sí",1,IF(D52="Parcial",0.5,0))+IF(D55="Sí",1,IF(D55="Parcial",0.5,0))+IF(D56="Sí",1,IF(D56="Parcial",0.5,0))</f>
        <v>12.5</v>
      </c>
      <c r="E58" s="43">
        <f>D58/17</f>
        <v>0.73529411764705888</v>
      </c>
    </row>
    <row r="60" spans="2:6" ht="24" customHeight="1" x14ac:dyDescent="0.35">
      <c r="B60" s="100" t="s">
        <v>733</v>
      </c>
      <c r="C60" s="100"/>
      <c r="D60" s="100"/>
      <c r="E60" s="100"/>
      <c r="F60" s="100"/>
    </row>
    <row r="61" spans="2:6" ht="21.75" customHeight="1" x14ac:dyDescent="0.35">
      <c r="B61" s="6" t="s">
        <v>464</v>
      </c>
      <c r="C61" s="6" t="s">
        <v>466</v>
      </c>
      <c r="D61" s="6" t="s">
        <v>734</v>
      </c>
      <c r="E61" s="6" t="s">
        <v>735</v>
      </c>
      <c r="F61" s="6" t="s">
        <v>736</v>
      </c>
    </row>
    <row r="62" spans="2:6" s="70" customFormat="1" ht="36" customHeight="1" x14ac:dyDescent="0.35">
      <c r="B62" s="14" t="s">
        <v>467</v>
      </c>
      <c r="C62" s="226" t="s">
        <v>1228</v>
      </c>
      <c r="D62" s="149"/>
      <c r="E62" s="149" t="s">
        <v>1229</v>
      </c>
      <c r="F62" s="206" t="s">
        <v>1230</v>
      </c>
    </row>
    <row r="63" spans="2:6" s="70" customFormat="1" ht="36" customHeight="1" x14ac:dyDescent="0.35">
      <c r="B63" s="67" t="s">
        <v>972</v>
      </c>
      <c r="C63" s="226" t="s">
        <v>1231</v>
      </c>
      <c r="D63" s="149"/>
      <c r="E63" s="149"/>
      <c r="F63" s="206" t="s">
        <v>1232</v>
      </c>
    </row>
    <row r="64" spans="2:6" s="70" customFormat="1" ht="36" customHeight="1" x14ac:dyDescent="0.35">
      <c r="B64" s="67" t="s">
        <v>973</v>
      </c>
      <c r="C64" s="226" t="s">
        <v>1233</v>
      </c>
      <c r="D64" s="149"/>
      <c r="E64" s="149"/>
      <c r="F64" s="206" t="s">
        <v>1234</v>
      </c>
    </row>
    <row r="65" spans="2:6" s="70" customFormat="1" ht="36" customHeight="1" x14ac:dyDescent="0.35">
      <c r="B65" s="16" t="s">
        <v>470</v>
      </c>
      <c r="C65" s="219" t="s">
        <v>1235</v>
      </c>
      <c r="D65" s="207"/>
      <c r="E65" s="207"/>
      <c r="F65" s="206" t="s">
        <v>1334</v>
      </c>
    </row>
    <row r="66" spans="2:6" s="70" customFormat="1" ht="36" customHeight="1" x14ac:dyDescent="0.35">
      <c r="B66" s="14" t="s">
        <v>472</v>
      </c>
      <c r="C66" s="231"/>
      <c r="D66" s="149"/>
      <c r="E66" s="149"/>
      <c r="F66" s="206" t="s">
        <v>1334</v>
      </c>
    </row>
    <row r="67" spans="2:6" s="70" customFormat="1" ht="36" customHeight="1" x14ac:dyDescent="0.35">
      <c r="B67" s="16" t="s">
        <v>737</v>
      </c>
      <c r="C67" s="232"/>
      <c r="D67" s="207"/>
      <c r="E67" s="207"/>
      <c r="F67" s="206" t="s">
        <v>1334</v>
      </c>
    </row>
    <row r="68" spans="2:6" s="70" customFormat="1" ht="36" customHeight="1" x14ac:dyDescent="0.35">
      <c r="B68" s="14" t="s">
        <v>475</v>
      </c>
      <c r="C68" s="232"/>
      <c r="D68" s="149"/>
      <c r="E68" s="149"/>
      <c r="F68" s="206" t="s">
        <v>1334</v>
      </c>
    </row>
    <row r="69" spans="2:6" s="70" customFormat="1" ht="36" customHeight="1" x14ac:dyDescent="0.35">
      <c r="B69" s="16" t="s">
        <v>477</v>
      </c>
      <c r="C69" s="219" t="s">
        <v>478</v>
      </c>
      <c r="D69" s="207"/>
      <c r="E69" s="207"/>
      <c r="F69" s="206" t="s">
        <v>1334</v>
      </c>
    </row>
    <row r="70" spans="2:6" s="70" customFormat="1" ht="36" customHeight="1" x14ac:dyDescent="0.35">
      <c r="B70" s="14" t="s">
        <v>257</v>
      </c>
      <c r="C70" s="219" t="s">
        <v>479</v>
      </c>
      <c r="D70" s="149"/>
      <c r="E70" s="149"/>
      <c r="F70" s="206" t="s">
        <v>1334</v>
      </c>
    </row>
    <row r="71" spans="2:6" s="70" customFormat="1" ht="36" customHeight="1" x14ac:dyDescent="0.35">
      <c r="B71" s="16" t="s">
        <v>480</v>
      </c>
      <c r="C71" s="219" t="s">
        <v>481</v>
      </c>
      <c r="D71" s="207"/>
      <c r="E71" s="207"/>
      <c r="F71" s="206" t="s">
        <v>1334</v>
      </c>
    </row>
    <row r="72" spans="2:6" s="70" customFormat="1" ht="36" customHeight="1" x14ac:dyDescent="0.35">
      <c r="B72" s="14" t="s">
        <v>482</v>
      </c>
      <c r="C72" s="219" t="s">
        <v>483</v>
      </c>
      <c r="D72" s="149"/>
      <c r="E72" s="149"/>
      <c r="F72" s="206" t="s">
        <v>1334</v>
      </c>
    </row>
    <row r="73" spans="2:6" s="70" customFormat="1" ht="36" customHeight="1" x14ac:dyDescent="0.35">
      <c r="B73" s="16" t="s">
        <v>484</v>
      </c>
      <c r="C73" s="219" t="s">
        <v>485</v>
      </c>
      <c r="D73" s="207"/>
      <c r="E73" s="207"/>
      <c r="F73" s="206" t="s">
        <v>1334</v>
      </c>
    </row>
    <row r="74" spans="2:6" s="70" customFormat="1" ht="36" customHeight="1" x14ac:dyDescent="0.35">
      <c r="B74" s="14" t="s">
        <v>486</v>
      </c>
      <c r="C74" s="226">
        <v>1</v>
      </c>
      <c r="D74" s="149"/>
      <c r="E74" s="149"/>
      <c r="F74" s="206" t="s">
        <v>1334</v>
      </c>
    </row>
    <row r="75" spans="2:6" s="70" customFormat="1" ht="36" customHeight="1" x14ac:dyDescent="0.35">
      <c r="B75" s="16" t="s">
        <v>488</v>
      </c>
      <c r="C75" s="232"/>
      <c r="D75" s="207"/>
      <c r="E75" s="207"/>
      <c r="F75" s="206" t="s">
        <v>1334</v>
      </c>
    </row>
    <row r="77" spans="2:6" ht="24" customHeight="1" x14ac:dyDescent="0.35">
      <c r="B77" s="100" t="s">
        <v>37</v>
      </c>
      <c r="C77" s="100"/>
      <c r="D77" s="100"/>
      <c r="E77" s="100"/>
      <c r="F77" s="100"/>
    </row>
    <row r="78" spans="2:6" ht="24" customHeight="1" x14ac:dyDescent="0.35">
      <c r="B78" s="266" t="s">
        <v>739</v>
      </c>
      <c r="C78" s="266"/>
      <c r="D78" s="266"/>
      <c r="E78" s="266"/>
      <c r="F78" s="266"/>
    </row>
    <row r="79" spans="2:6" ht="21.75" customHeight="1" x14ac:dyDescent="0.35">
      <c r="B79" s="6" t="s">
        <v>740</v>
      </c>
      <c r="C79" s="6" t="s">
        <v>741</v>
      </c>
      <c r="D79" s="6" t="s">
        <v>742</v>
      </c>
      <c r="E79" s="6" t="s">
        <v>743</v>
      </c>
      <c r="F79" s="6" t="s">
        <v>744</v>
      </c>
    </row>
    <row r="80" spans="2:6" ht="19.5" customHeight="1" x14ac:dyDescent="0.35">
      <c r="B80" s="44" t="s">
        <v>745</v>
      </c>
      <c r="C80" s="45"/>
      <c r="D80" s="45"/>
      <c r="E80" s="45"/>
      <c r="F80" s="45"/>
    </row>
    <row r="81" spans="2:6" ht="19.5" customHeight="1" x14ac:dyDescent="0.35">
      <c r="B81" s="46" t="s">
        <v>746</v>
      </c>
      <c r="C81" s="47"/>
      <c r="D81" s="47"/>
      <c r="E81" s="47"/>
      <c r="F81" s="47"/>
    </row>
    <row r="82" spans="2:6" ht="19.5" customHeight="1" x14ac:dyDescent="0.35">
      <c r="B82" s="44" t="s">
        <v>748</v>
      </c>
      <c r="C82" s="45"/>
      <c r="D82" s="45"/>
      <c r="E82" s="45"/>
      <c r="F82" s="45"/>
    </row>
    <row r="83" spans="2:6" ht="19.5" customHeight="1" x14ac:dyDescent="0.35">
      <c r="B83" s="46" t="s">
        <v>749</v>
      </c>
      <c r="C83" s="47"/>
      <c r="D83" s="47"/>
      <c r="E83" s="47"/>
      <c r="F83" s="47"/>
    </row>
    <row r="84" spans="2:6" ht="19.5" customHeight="1" x14ac:dyDescent="0.35">
      <c r="B84" s="44" t="s">
        <v>751</v>
      </c>
      <c r="C84" s="45"/>
      <c r="D84" s="45"/>
      <c r="E84" s="45"/>
      <c r="F84" s="45"/>
    </row>
    <row r="85" spans="2:6" ht="19.5" customHeight="1" x14ac:dyDescent="0.35">
      <c r="B85" s="46" t="s">
        <v>752</v>
      </c>
      <c r="C85" s="47"/>
      <c r="D85" s="47"/>
      <c r="E85" s="47"/>
      <c r="F85" s="47"/>
    </row>
    <row r="86" spans="2:6" ht="19.5" customHeight="1" x14ac:dyDescent="0.35">
      <c r="B86" s="44" t="s">
        <v>753</v>
      </c>
      <c r="C86" s="45"/>
      <c r="D86" s="45"/>
      <c r="E86" s="45"/>
      <c r="F86" s="45"/>
    </row>
    <row r="87" spans="2:6" ht="19.5" customHeight="1" x14ac:dyDescent="0.35">
      <c r="B87" s="46" t="s">
        <v>755</v>
      </c>
      <c r="C87" s="47"/>
      <c r="D87" s="47"/>
      <c r="E87" s="47"/>
      <c r="F87" s="47"/>
    </row>
    <row r="88" spans="2:6" ht="14.5" customHeight="1" x14ac:dyDescent="0.35"/>
    <row r="89" spans="2:6" ht="24" customHeight="1" x14ac:dyDescent="0.35">
      <c r="B89" s="100" t="s">
        <v>757</v>
      </c>
      <c r="C89" s="100"/>
      <c r="D89" s="100"/>
      <c r="E89" s="100"/>
      <c r="F89" s="100"/>
    </row>
    <row r="90" spans="2:6" ht="21.75" customHeight="1" x14ac:dyDescent="0.35">
      <c r="B90" s="6" t="s">
        <v>758</v>
      </c>
      <c r="C90" s="6" t="s">
        <v>466</v>
      </c>
      <c r="D90" s="6" t="s">
        <v>201</v>
      </c>
      <c r="E90" s="6" t="s">
        <v>759</v>
      </c>
      <c r="F90" s="6" t="s">
        <v>744</v>
      </c>
    </row>
    <row r="91" spans="2:6" ht="21.75" customHeight="1" x14ac:dyDescent="0.35">
      <c r="B91" s="14" t="s">
        <v>760</v>
      </c>
      <c r="C91" s="45"/>
      <c r="D91" s="45"/>
      <c r="E91" s="45"/>
      <c r="F91" s="45"/>
    </row>
    <row r="92" spans="2:6" ht="21.75" customHeight="1" x14ac:dyDescent="0.35">
      <c r="B92" s="16" t="s">
        <v>428</v>
      </c>
      <c r="C92" s="36"/>
      <c r="D92" s="36"/>
      <c r="E92" s="47"/>
      <c r="F92" s="47"/>
    </row>
    <row r="93" spans="2:6" ht="21.75" customHeight="1" x14ac:dyDescent="0.35">
      <c r="B93" s="14" t="s">
        <v>429</v>
      </c>
      <c r="C93" s="45"/>
      <c r="D93" s="45"/>
      <c r="E93" s="45"/>
      <c r="F93" s="45"/>
    </row>
    <row r="94" spans="2:6" ht="21.75" customHeight="1" x14ac:dyDescent="0.35">
      <c r="B94" s="16" t="s">
        <v>761</v>
      </c>
      <c r="C94" s="47"/>
      <c r="D94" s="47"/>
      <c r="E94" s="47"/>
      <c r="F94" s="47"/>
    </row>
    <row r="95" spans="2:6" ht="21.75" customHeight="1" x14ac:dyDescent="0.35">
      <c r="B95" s="14" t="s">
        <v>762</v>
      </c>
      <c r="C95" s="45"/>
      <c r="D95" s="45"/>
      <c r="E95" s="45"/>
      <c r="F95" s="45"/>
    </row>
    <row r="96" spans="2:6" ht="21.75" customHeight="1" x14ac:dyDescent="0.35">
      <c r="B96" s="16" t="s">
        <v>430</v>
      </c>
      <c r="C96" s="47"/>
      <c r="D96" s="47"/>
      <c r="E96" s="47"/>
      <c r="F96" s="47"/>
    </row>
    <row r="97" spans="2:7" ht="21.75" customHeight="1" x14ac:dyDescent="0.35">
      <c r="B97" s="14" t="s">
        <v>431</v>
      </c>
      <c r="C97" s="45"/>
      <c r="D97" s="45"/>
      <c r="E97" s="45"/>
      <c r="F97" s="45"/>
    </row>
    <row r="99" spans="2:7" ht="24" customHeight="1" x14ac:dyDescent="0.35">
      <c r="B99" s="258" t="s">
        <v>763</v>
      </c>
      <c r="C99" s="258"/>
      <c r="D99" s="258"/>
      <c r="E99" s="258"/>
      <c r="F99" s="258"/>
      <c r="G99" s="258"/>
    </row>
    <row r="100" spans="2:7" ht="27.75" customHeight="1" x14ac:dyDescent="0.35">
      <c r="B100" s="6" t="s">
        <v>142</v>
      </c>
      <c r="C100" s="6" t="s">
        <v>764</v>
      </c>
      <c r="D100" s="6" t="s">
        <v>765</v>
      </c>
      <c r="E100" s="6" t="s">
        <v>766</v>
      </c>
      <c r="F100" s="6" t="s">
        <v>767</v>
      </c>
      <c r="G100" s="6" t="s">
        <v>768</v>
      </c>
    </row>
    <row r="101" spans="2:7" ht="25.5" customHeight="1" x14ac:dyDescent="0.35">
      <c r="B101" s="48" t="s">
        <v>153</v>
      </c>
      <c r="C101" s="26"/>
      <c r="D101" s="69" t="s">
        <v>769</v>
      </c>
      <c r="E101" s="49"/>
      <c r="F101" s="36"/>
      <c r="G101" s="5"/>
    </row>
    <row r="102" spans="2:7" ht="25.5" customHeight="1" x14ac:dyDescent="0.35">
      <c r="B102" s="50" t="s">
        <v>154</v>
      </c>
      <c r="C102" s="26"/>
      <c r="D102" s="68" t="s">
        <v>771</v>
      </c>
      <c r="E102" s="49"/>
      <c r="F102" s="36"/>
      <c r="G102" s="5"/>
    </row>
    <row r="103" spans="2:7" ht="25.5" customHeight="1" x14ac:dyDescent="0.35">
      <c r="B103" s="48" t="s">
        <v>155</v>
      </c>
      <c r="C103" s="26"/>
      <c r="D103" s="69" t="s">
        <v>773</v>
      </c>
      <c r="E103" s="49"/>
      <c r="F103" s="36"/>
      <c r="G103" s="5"/>
    </row>
    <row r="104" spans="2:7" ht="25.5" customHeight="1" x14ac:dyDescent="0.35">
      <c r="B104" s="50" t="s">
        <v>156</v>
      </c>
      <c r="C104" s="26"/>
      <c r="D104" s="68" t="s">
        <v>775</v>
      </c>
      <c r="E104" s="49"/>
      <c r="F104" s="36"/>
      <c r="G104" s="5"/>
    </row>
    <row r="105" spans="2:7" ht="25.5" customHeight="1" x14ac:dyDescent="0.35">
      <c r="B105" s="48" t="s">
        <v>157</v>
      </c>
      <c r="C105" s="26"/>
      <c r="D105" s="67" t="s">
        <v>777</v>
      </c>
      <c r="E105" s="49"/>
      <c r="F105" s="36"/>
      <c r="G105" s="5"/>
    </row>
    <row r="106" spans="2:7" ht="25.5" customHeight="1" x14ac:dyDescent="0.35">
      <c r="B106" s="50" t="s">
        <v>158</v>
      </c>
      <c r="C106" s="26"/>
      <c r="D106" s="68" t="s">
        <v>779</v>
      </c>
      <c r="E106" s="49"/>
      <c r="F106" s="36"/>
      <c r="G106" s="5"/>
    </row>
    <row r="107" spans="2:7" ht="25.5" customHeight="1" x14ac:dyDescent="0.35">
      <c r="B107" s="48" t="s">
        <v>159</v>
      </c>
      <c r="C107" s="26"/>
      <c r="D107" s="67" t="s">
        <v>781</v>
      </c>
      <c r="E107" s="49"/>
      <c r="F107" s="36"/>
      <c r="G107" s="5"/>
    </row>
    <row r="108" spans="2:7" ht="25.5" customHeight="1" x14ac:dyDescent="0.35">
      <c r="B108" s="50" t="s">
        <v>160</v>
      </c>
      <c r="C108" s="26"/>
      <c r="D108" s="74" t="s">
        <v>783</v>
      </c>
      <c r="E108" s="49"/>
      <c r="F108" s="36"/>
      <c r="G108" s="5"/>
    </row>
    <row r="109" spans="2:7" ht="43.5" x14ac:dyDescent="0.35">
      <c r="B109" s="48" t="s">
        <v>161</v>
      </c>
      <c r="C109" s="26"/>
      <c r="D109" s="69" t="s">
        <v>785</v>
      </c>
      <c r="E109" s="49"/>
      <c r="F109" s="36"/>
      <c r="G109" s="5"/>
    </row>
    <row r="110" spans="2:7" ht="58" x14ac:dyDescent="0.35">
      <c r="B110" s="50" t="s">
        <v>162</v>
      </c>
      <c r="C110" s="26"/>
      <c r="D110" s="74" t="s">
        <v>787</v>
      </c>
      <c r="E110" s="49"/>
      <c r="F110" s="36"/>
      <c r="G110" s="5"/>
    </row>
    <row r="111" spans="2:7" ht="25.5" customHeight="1" x14ac:dyDescent="0.35">
      <c r="B111" s="48" t="s">
        <v>163</v>
      </c>
      <c r="C111" s="26"/>
      <c r="D111" s="67" t="s">
        <v>789</v>
      </c>
      <c r="E111" s="49"/>
      <c r="F111" s="36"/>
      <c r="G111" s="5"/>
    </row>
    <row r="112" spans="2:7" ht="25.5" customHeight="1" x14ac:dyDescent="0.35">
      <c r="B112" s="50" t="s">
        <v>164</v>
      </c>
      <c r="C112" s="26"/>
      <c r="D112" s="74" t="s">
        <v>791</v>
      </c>
      <c r="E112" s="49"/>
      <c r="F112" s="36"/>
      <c r="G112" s="5"/>
    </row>
    <row r="113" spans="2:7" ht="25.5" customHeight="1" x14ac:dyDescent="0.35">
      <c r="B113" s="48" t="s">
        <v>165</v>
      </c>
      <c r="C113" s="26"/>
      <c r="D113" s="69" t="s">
        <v>793</v>
      </c>
      <c r="E113" s="49"/>
      <c r="F113" s="36"/>
      <c r="G113" s="5"/>
    </row>
    <row r="114" spans="2:7" ht="25.5" customHeight="1" x14ac:dyDescent="0.35">
      <c r="B114" s="50" t="s">
        <v>166</v>
      </c>
      <c r="C114" s="26"/>
      <c r="D114" s="74" t="s">
        <v>795</v>
      </c>
      <c r="E114" s="49"/>
      <c r="F114" s="36"/>
      <c r="G114" s="5"/>
    </row>
    <row r="115" spans="2:7" ht="25.5" customHeight="1" x14ac:dyDescent="0.35">
      <c r="B115" s="48" t="s">
        <v>167</v>
      </c>
      <c r="C115" s="26"/>
      <c r="D115" s="69" t="s">
        <v>797</v>
      </c>
      <c r="E115" s="49"/>
      <c r="F115" s="36"/>
      <c r="G115" s="5"/>
    </row>
    <row r="116" spans="2:7" ht="25.5" customHeight="1" x14ac:dyDescent="0.35">
      <c r="B116" s="50" t="s">
        <v>168</v>
      </c>
      <c r="C116" s="26"/>
      <c r="D116" s="74" t="s">
        <v>799</v>
      </c>
      <c r="E116" s="49"/>
      <c r="F116" s="36"/>
      <c r="G116" s="5"/>
    </row>
    <row r="117" spans="2:7" ht="25.5" customHeight="1" x14ac:dyDescent="0.35">
      <c r="B117" s="48" t="s">
        <v>169</v>
      </c>
      <c r="C117" s="26"/>
      <c r="D117" s="69" t="s">
        <v>801</v>
      </c>
      <c r="E117" s="49"/>
      <c r="F117" s="36"/>
      <c r="G117" s="5"/>
    </row>
    <row r="118" spans="2:7" ht="25.5" customHeight="1" x14ac:dyDescent="0.35">
      <c r="B118" s="50" t="s">
        <v>170</v>
      </c>
      <c r="C118" s="26"/>
      <c r="D118" s="74" t="s">
        <v>803</v>
      </c>
      <c r="E118" s="49"/>
      <c r="F118" s="36"/>
      <c r="G118" s="5"/>
    </row>
    <row r="119" spans="2:7" ht="25.5" customHeight="1" x14ac:dyDescent="0.35">
      <c r="B119" s="50" t="s">
        <v>172</v>
      </c>
      <c r="C119" s="26" t="s">
        <v>86</v>
      </c>
      <c r="D119" s="74" t="s">
        <v>805</v>
      </c>
      <c r="E119" s="49"/>
      <c r="F119" s="36"/>
      <c r="G119" s="5" t="s">
        <v>806</v>
      </c>
    </row>
    <row r="120" spans="2:7" ht="25.5" customHeight="1" x14ac:dyDescent="0.35">
      <c r="B120" s="50" t="s">
        <v>173</v>
      </c>
      <c r="C120" s="26"/>
      <c r="D120" s="74" t="s">
        <v>807</v>
      </c>
      <c r="E120" s="49"/>
      <c r="F120" s="36"/>
      <c r="G120" s="5"/>
    </row>
    <row r="121" spans="2:7" ht="25.5" customHeight="1" x14ac:dyDescent="0.35">
      <c r="B121" s="50" t="s">
        <v>174</v>
      </c>
      <c r="C121" s="26"/>
      <c r="D121" s="74" t="s">
        <v>808</v>
      </c>
      <c r="E121" s="49"/>
      <c r="F121" s="36"/>
      <c r="G121" s="5"/>
    </row>
    <row r="122" spans="2:7" ht="25.5" customHeight="1" x14ac:dyDescent="0.35">
      <c r="B122" s="216" t="s">
        <v>175</v>
      </c>
      <c r="C122" s="26" t="s">
        <v>86</v>
      </c>
      <c r="D122" s="218" t="s">
        <v>809</v>
      </c>
      <c r="E122" s="49"/>
      <c r="F122" s="36"/>
      <c r="G122" s="5"/>
    </row>
    <row r="124" spans="2:7" ht="24" customHeight="1" x14ac:dyDescent="0.35">
      <c r="B124" s="100" t="s">
        <v>810</v>
      </c>
      <c r="C124" s="100"/>
      <c r="D124" s="100"/>
    </row>
    <row r="125" spans="2:7" ht="21.75" customHeight="1" x14ac:dyDescent="0.35">
      <c r="B125" s="6" t="s">
        <v>811</v>
      </c>
      <c r="C125" s="6" t="s">
        <v>812</v>
      </c>
      <c r="D125" s="6" t="s">
        <v>736</v>
      </c>
    </row>
    <row r="126" spans="2:7" ht="21.75" customHeight="1" x14ac:dyDescent="0.35">
      <c r="B126" s="13" t="s">
        <v>813</v>
      </c>
      <c r="C126" s="64"/>
    </row>
    <row r="127" spans="2:7" ht="21.75" customHeight="1" x14ac:dyDescent="0.35">
      <c r="B127" s="15" t="s">
        <v>814</v>
      </c>
      <c r="C127" s="64"/>
    </row>
    <row r="128" spans="2:7" ht="21.75" customHeight="1" x14ac:dyDescent="0.35">
      <c r="B128" s="13" t="s">
        <v>817</v>
      </c>
      <c r="C128" s="64"/>
    </row>
    <row r="129" spans="2:7" ht="21.75" customHeight="1" x14ac:dyDescent="0.35">
      <c r="B129" s="15" t="s">
        <v>818</v>
      </c>
      <c r="C129" s="64"/>
    </row>
    <row r="130" spans="2:7" ht="21.75" customHeight="1" x14ac:dyDescent="0.35">
      <c r="B130" s="13" t="s">
        <v>819</v>
      </c>
      <c r="C130" s="64"/>
    </row>
    <row r="131" spans="2:7" ht="21.75" customHeight="1" x14ac:dyDescent="0.35">
      <c r="B131" s="15" t="s">
        <v>820</v>
      </c>
      <c r="C131" s="64"/>
    </row>
    <row r="132" spans="2:7" ht="28.5" customHeight="1" x14ac:dyDescent="0.35">
      <c r="B132" s="122" t="s">
        <v>821</v>
      </c>
      <c r="C132" s="64"/>
    </row>
    <row r="133" spans="2:7" ht="21.75" customHeight="1" x14ac:dyDescent="0.35">
      <c r="B133" s="123" t="s">
        <v>822</v>
      </c>
      <c r="C133" s="109"/>
      <c r="D133" s="109"/>
      <c r="G133" s="109"/>
    </row>
    <row r="135" spans="2:7" ht="24" customHeight="1" x14ac:dyDescent="0.35">
      <c r="B135" s="100" t="s">
        <v>823</v>
      </c>
      <c r="C135" s="100"/>
      <c r="D135" s="100"/>
      <c r="E135" s="100"/>
      <c r="F135" s="100"/>
    </row>
    <row r="136" spans="2:7" ht="21.75" customHeight="1" x14ac:dyDescent="0.35">
      <c r="B136" s="6" t="s">
        <v>824</v>
      </c>
      <c r="C136" s="6" t="s">
        <v>825</v>
      </c>
      <c r="D136" s="6" t="s">
        <v>826</v>
      </c>
      <c r="E136" s="6" t="s">
        <v>827</v>
      </c>
      <c r="F136" s="6" t="s">
        <v>269</v>
      </c>
    </row>
    <row r="137" spans="2:7" ht="21.75" customHeight="1" x14ac:dyDescent="0.35">
      <c r="B137" s="44" t="s">
        <v>828</v>
      </c>
      <c r="C137" s="99" t="s">
        <v>323</v>
      </c>
      <c r="D137" s="45"/>
      <c r="E137" s="14"/>
      <c r="F137" s="45"/>
    </row>
    <row r="138" spans="2:7" ht="21.75" customHeight="1" x14ac:dyDescent="0.35">
      <c r="B138" s="46" t="s">
        <v>830</v>
      </c>
      <c r="C138" s="99"/>
      <c r="D138" s="45"/>
      <c r="E138" s="16"/>
      <c r="F138" s="45"/>
    </row>
    <row r="139" spans="2:7" ht="21.75" customHeight="1" x14ac:dyDescent="0.35">
      <c r="B139" s="44" t="s">
        <v>831</v>
      </c>
      <c r="C139" s="99"/>
      <c r="D139" s="45"/>
      <c r="E139" s="14"/>
      <c r="F139" s="45"/>
    </row>
    <row r="140" spans="2:7" ht="21.75" customHeight="1" x14ac:dyDescent="0.35">
      <c r="B140" s="46" t="s">
        <v>832</v>
      </c>
      <c r="C140" s="99"/>
      <c r="D140" s="45"/>
      <c r="E140" s="16"/>
      <c r="F140" s="45"/>
    </row>
    <row r="141" spans="2:7" ht="36" customHeight="1" x14ac:dyDescent="0.35">
      <c r="B141" s="14" t="s">
        <v>833</v>
      </c>
      <c r="C141" s="99"/>
      <c r="D141" s="45"/>
      <c r="E141" s="14"/>
      <c r="F141" s="45"/>
    </row>
    <row r="142" spans="2:7" ht="31.5" customHeight="1" x14ac:dyDescent="0.35">
      <c r="B142" s="16" t="s">
        <v>834</v>
      </c>
      <c r="C142" s="99"/>
      <c r="D142" s="45"/>
      <c r="E142" s="16"/>
      <c r="F142" s="45"/>
    </row>
    <row r="143" spans="2:7" ht="21.75" customHeight="1" x14ac:dyDescent="0.35">
      <c r="B143" s="44" t="s">
        <v>835</v>
      </c>
      <c r="C143" s="99"/>
      <c r="D143" s="45"/>
      <c r="E143" s="14"/>
      <c r="F143" s="45"/>
    </row>
    <row r="144" spans="2:7" ht="21.75" customHeight="1" x14ac:dyDescent="0.35">
      <c r="B144" s="46" t="s">
        <v>836</v>
      </c>
      <c r="C144" s="99"/>
      <c r="D144" s="45"/>
      <c r="E144" s="16"/>
      <c r="F144" s="45"/>
    </row>
    <row r="145" spans="2:7" ht="21.75" customHeight="1" x14ac:dyDescent="0.35">
      <c r="B145" s="44" t="s">
        <v>837</v>
      </c>
      <c r="C145" s="99"/>
      <c r="D145" s="45"/>
      <c r="E145" s="14"/>
      <c r="F145" s="45"/>
    </row>
    <row r="146" spans="2:7" ht="21.75" customHeight="1" x14ac:dyDescent="0.35">
      <c r="B146" s="46" t="s">
        <v>838</v>
      </c>
      <c r="C146" s="99"/>
      <c r="D146" s="45"/>
      <c r="E146" s="16"/>
      <c r="F146" s="45"/>
    </row>
    <row r="148" spans="2:7" ht="24" customHeight="1" x14ac:dyDescent="0.35">
      <c r="B148" s="258" t="s">
        <v>841</v>
      </c>
      <c r="C148" s="258"/>
      <c r="D148" s="258"/>
      <c r="E148" s="258"/>
      <c r="F148" s="258"/>
      <c r="G148" s="258"/>
    </row>
    <row r="149" spans="2:7" ht="21.75" customHeight="1" x14ac:dyDescent="0.35">
      <c r="B149" s="6" t="s">
        <v>842</v>
      </c>
      <c r="C149" s="6" t="s">
        <v>843</v>
      </c>
    </row>
    <row r="150" spans="2:7" ht="21.75" customHeight="1" x14ac:dyDescent="0.35">
      <c r="B150" s="13" t="s">
        <v>844</v>
      </c>
      <c r="C150" s="251"/>
      <c r="D150" s="251"/>
      <c r="E150" s="251"/>
      <c r="F150" s="251"/>
      <c r="G150" s="251"/>
    </row>
    <row r="151" spans="2:7" ht="21.75" customHeight="1" x14ac:dyDescent="0.35">
      <c r="B151" s="15" t="s">
        <v>846</v>
      </c>
      <c r="C151" s="251"/>
      <c r="D151" s="251"/>
      <c r="E151" s="251"/>
      <c r="F151" s="251"/>
      <c r="G151" s="251"/>
    </row>
    <row r="152" spans="2:7" ht="21.75" customHeight="1" x14ac:dyDescent="0.35">
      <c r="B152" s="13" t="s">
        <v>847</v>
      </c>
      <c r="C152" s="251"/>
      <c r="D152" s="251"/>
      <c r="E152" s="251"/>
      <c r="F152" s="251"/>
      <c r="G152" s="251"/>
    </row>
    <row r="153" spans="2:7" ht="21.75" customHeight="1" x14ac:dyDescent="0.35">
      <c r="B153" s="15" t="s">
        <v>848</v>
      </c>
      <c r="C153" s="251"/>
      <c r="D153" s="251"/>
      <c r="E153" s="251"/>
      <c r="F153" s="251"/>
      <c r="G153" s="251"/>
    </row>
    <row r="154" spans="2:7" ht="21.75" customHeight="1" x14ac:dyDescent="0.35">
      <c r="B154" s="13" t="s">
        <v>849</v>
      </c>
      <c r="C154" s="251"/>
      <c r="D154" s="251"/>
      <c r="E154" s="251"/>
      <c r="F154" s="251"/>
      <c r="G154" s="251"/>
    </row>
    <row r="155" spans="2:7" ht="21.75" customHeight="1" x14ac:dyDescent="0.35">
      <c r="B155" s="15" t="s">
        <v>850</v>
      </c>
      <c r="C155" s="251"/>
      <c r="D155" s="251"/>
      <c r="E155" s="251"/>
      <c r="F155" s="251"/>
      <c r="G155" s="251"/>
    </row>
    <row r="156" spans="2:7" ht="21.75" customHeight="1" x14ac:dyDescent="0.35">
      <c r="B156" s="13" t="s">
        <v>852</v>
      </c>
      <c r="C156" s="251"/>
      <c r="D156" s="251"/>
      <c r="E156" s="251"/>
      <c r="F156" s="251"/>
      <c r="G156" s="251"/>
    </row>
    <row r="158" spans="2:7" ht="24" customHeight="1" x14ac:dyDescent="0.35">
      <c r="B158" s="258" t="s">
        <v>854</v>
      </c>
      <c r="C158" s="258"/>
      <c r="D158" s="258"/>
      <c r="E158" s="258"/>
      <c r="F158" s="258"/>
      <c r="G158" s="258"/>
    </row>
    <row r="159" spans="2:7" ht="21.75" customHeight="1" x14ac:dyDescent="0.35">
      <c r="B159" s="6" t="s">
        <v>855</v>
      </c>
      <c r="C159" s="6" t="s">
        <v>856</v>
      </c>
    </row>
    <row r="160" spans="2:7" ht="30" customHeight="1" x14ac:dyDescent="0.35">
      <c r="B160" s="51" t="s">
        <v>857</v>
      </c>
      <c r="C160" s="251"/>
      <c r="D160" s="251"/>
      <c r="E160" s="251"/>
      <c r="F160" s="251"/>
      <c r="G160" s="251"/>
    </row>
    <row r="161" spans="2:11" ht="30" customHeight="1" x14ac:dyDescent="0.35">
      <c r="B161" s="52" t="s">
        <v>859</v>
      </c>
      <c r="C161" s="251"/>
      <c r="D161" s="251"/>
      <c r="E161" s="251"/>
      <c r="F161" s="251"/>
      <c r="G161" s="251"/>
    </row>
    <row r="162" spans="2:11" ht="30" customHeight="1" x14ac:dyDescent="0.35">
      <c r="B162" s="51" t="s">
        <v>861</v>
      </c>
      <c r="C162" s="251"/>
      <c r="D162" s="251"/>
      <c r="E162" s="251"/>
      <c r="F162" s="251"/>
      <c r="G162" s="251"/>
    </row>
    <row r="163" spans="2:11" ht="30" customHeight="1" x14ac:dyDescent="0.35">
      <c r="B163" s="52" t="s">
        <v>863</v>
      </c>
      <c r="C163" s="251"/>
      <c r="D163" s="251"/>
      <c r="E163" s="251"/>
      <c r="F163" s="251"/>
      <c r="G163" s="251"/>
    </row>
    <row r="164" spans="2:11" ht="30" customHeight="1" x14ac:dyDescent="0.35">
      <c r="B164" s="51" t="s">
        <v>865</v>
      </c>
      <c r="C164" s="251"/>
      <c r="D164" s="251"/>
      <c r="E164" s="251"/>
      <c r="F164" s="251"/>
      <c r="G164" s="251"/>
    </row>
    <row r="165" spans="2:11" ht="30" customHeight="1" x14ac:dyDescent="0.35">
      <c r="B165" s="52" t="s">
        <v>867</v>
      </c>
      <c r="C165" s="251"/>
      <c r="D165" s="251"/>
      <c r="E165" s="251"/>
      <c r="F165" s="251"/>
      <c r="G165" s="251"/>
    </row>
    <row r="166" spans="2:11" ht="30" customHeight="1" x14ac:dyDescent="0.35">
      <c r="B166" s="51" t="s">
        <v>868</v>
      </c>
      <c r="C166" s="251"/>
      <c r="D166" s="251"/>
      <c r="E166" s="251"/>
      <c r="F166" s="251"/>
      <c r="G166" s="251"/>
    </row>
    <row r="167" spans="2:11" ht="30" customHeight="1" x14ac:dyDescent="0.35">
      <c r="B167" s="52" t="s">
        <v>870</v>
      </c>
      <c r="C167" s="256" t="s">
        <v>1305</v>
      </c>
      <c r="D167" s="257"/>
      <c r="E167" s="257"/>
      <c r="F167" s="257"/>
      <c r="G167" s="257"/>
    </row>
    <row r="168" spans="2:11" ht="30" customHeight="1" x14ac:dyDescent="0.35">
      <c r="B168" s="51" t="s">
        <v>872</v>
      </c>
      <c r="C168" s="251"/>
      <c r="D168" s="251"/>
      <c r="E168" s="251"/>
      <c r="F168" s="251"/>
      <c r="G168" s="251"/>
    </row>
    <row r="170" spans="2:11" ht="23.25" customHeight="1" x14ac:dyDescent="0.35">
      <c r="B170" s="255" t="s">
        <v>874</v>
      </c>
      <c r="C170" s="255"/>
      <c r="D170" s="255"/>
      <c r="E170" s="255"/>
      <c r="F170" s="255"/>
      <c r="G170" s="255"/>
      <c r="H170" s="238"/>
      <c r="I170" s="124" t="s">
        <v>877</v>
      </c>
      <c r="J170" s="124" t="s">
        <v>878</v>
      </c>
      <c r="K170" s="124" t="s">
        <v>879</v>
      </c>
    </row>
    <row r="171" spans="2:11" ht="30" customHeight="1" x14ac:dyDescent="0.35">
      <c r="B171" s="92" t="s">
        <v>268</v>
      </c>
      <c r="C171" s="93"/>
      <c r="D171" s="92" t="s">
        <v>875</v>
      </c>
      <c r="E171" s="93"/>
      <c r="F171" s="92" t="s">
        <v>876</v>
      </c>
      <c r="G171" s="93"/>
      <c r="H171" s="238"/>
      <c r="I171" s="125" t="s">
        <v>881</v>
      </c>
      <c r="J171" s="114" t="s">
        <v>882</v>
      </c>
      <c r="K171" s="114" t="s">
        <v>883</v>
      </c>
    </row>
    <row r="172" spans="2:11" ht="26.5" x14ac:dyDescent="0.35">
      <c r="B172" s="94" t="s">
        <v>880</v>
      </c>
      <c r="C172" s="254"/>
      <c r="D172" s="254"/>
      <c r="E172" s="254"/>
      <c r="F172" s="254"/>
      <c r="G172" s="254"/>
      <c r="H172" s="238"/>
      <c r="I172" s="125" t="s">
        <v>885</v>
      </c>
      <c r="J172" s="114" t="s">
        <v>886</v>
      </c>
      <c r="K172" s="114" t="s">
        <v>887</v>
      </c>
    </row>
    <row r="173" spans="2:11" x14ac:dyDescent="0.35">
      <c r="B173" s="92" t="s">
        <v>884</v>
      </c>
      <c r="C173" s="254"/>
      <c r="D173" s="254"/>
      <c r="E173" s="254"/>
      <c r="F173" s="254"/>
      <c r="G173" s="254"/>
      <c r="H173" s="238"/>
      <c r="I173" s="125" t="s">
        <v>889</v>
      </c>
      <c r="J173" s="114" t="s">
        <v>890</v>
      </c>
      <c r="K173" s="114" t="s">
        <v>891</v>
      </c>
    </row>
    <row r="174" spans="2:11" x14ac:dyDescent="0.35">
      <c r="B174" s="94" t="s">
        <v>888</v>
      </c>
      <c r="C174" s="254"/>
      <c r="D174" s="254"/>
      <c r="E174" s="254"/>
      <c r="F174" s="254"/>
      <c r="G174" s="254"/>
      <c r="H174" s="238"/>
      <c r="I174" s="125" t="s">
        <v>894</v>
      </c>
      <c r="J174" s="114" t="s">
        <v>895</v>
      </c>
      <c r="K174" s="114" t="s">
        <v>896</v>
      </c>
    </row>
    <row r="175" spans="2:11" ht="28.5" customHeight="1" x14ac:dyDescent="0.35">
      <c r="B175" s="92" t="s">
        <v>892</v>
      </c>
      <c r="C175" s="256" t="s">
        <v>1051</v>
      </c>
      <c r="D175" s="257"/>
      <c r="E175" s="257"/>
      <c r="F175" s="257"/>
      <c r="G175" s="257"/>
      <c r="H175" s="238"/>
      <c r="I175" s="125" t="s">
        <v>898</v>
      </c>
      <c r="J175" s="114" t="s">
        <v>899</v>
      </c>
      <c r="K175" s="114" t="s">
        <v>900</v>
      </c>
    </row>
    <row r="176" spans="2:11" x14ac:dyDescent="0.35">
      <c r="B176" s="92" t="s">
        <v>897</v>
      </c>
      <c r="C176" s="254"/>
      <c r="D176" s="254"/>
      <c r="E176" s="254"/>
      <c r="F176" s="254"/>
      <c r="G176" s="254"/>
      <c r="H176" s="238"/>
      <c r="I176" s="125" t="s">
        <v>904</v>
      </c>
      <c r="J176" s="114" t="s">
        <v>905</v>
      </c>
      <c r="K176" s="114" t="s">
        <v>906</v>
      </c>
    </row>
    <row r="177" spans="2:11" ht="31.5" customHeight="1" x14ac:dyDescent="0.35">
      <c r="B177" s="94" t="s">
        <v>901</v>
      </c>
      <c r="C177" s="93"/>
      <c r="D177" s="92" t="s">
        <v>902</v>
      </c>
      <c r="E177" s="93"/>
      <c r="F177" s="92" t="s">
        <v>903</v>
      </c>
      <c r="G177" s="93"/>
      <c r="H177" s="238"/>
      <c r="I177" s="125" t="s">
        <v>910</v>
      </c>
      <c r="J177" s="114" t="s">
        <v>911</v>
      </c>
      <c r="K177" s="114" t="s">
        <v>912</v>
      </c>
    </row>
    <row r="178" spans="2:11" ht="32.25" customHeight="1" x14ac:dyDescent="0.35">
      <c r="B178" s="92" t="s">
        <v>907</v>
      </c>
      <c r="C178" s="93"/>
      <c r="D178" s="92" t="s">
        <v>908</v>
      </c>
      <c r="E178" s="93"/>
      <c r="F178" s="92" t="s">
        <v>909</v>
      </c>
      <c r="G178" s="93"/>
      <c r="H178" s="238"/>
      <c r="I178" s="125" t="s">
        <v>916</v>
      </c>
      <c r="J178" s="114" t="s">
        <v>917</v>
      </c>
      <c r="K178" s="114" t="s">
        <v>918</v>
      </c>
    </row>
    <row r="179" spans="2:11" ht="18" customHeight="1" x14ac:dyDescent="0.35">
      <c r="B179" s="94" t="s">
        <v>913</v>
      </c>
      <c r="C179" s="93"/>
      <c r="D179" s="92" t="s">
        <v>914</v>
      </c>
      <c r="E179" s="93"/>
      <c r="F179" s="92" t="s">
        <v>915</v>
      </c>
      <c r="G179" s="93"/>
      <c r="H179" s="238"/>
    </row>
    <row r="180" spans="2:11" x14ac:dyDescent="0.35">
      <c r="B180" s="92" t="s">
        <v>919</v>
      </c>
      <c r="C180" s="254"/>
      <c r="D180" s="254"/>
      <c r="E180" s="254"/>
      <c r="F180" s="254"/>
      <c r="G180" s="254"/>
      <c r="H180" s="238"/>
      <c r="I180" s="238"/>
      <c r="J180" s="238"/>
      <c r="K180" s="238"/>
    </row>
    <row r="181" spans="2:11" x14ac:dyDescent="0.35">
      <c r="B181" s="94" t="s">
        <v>920</v>
      </c>
      <c r="C181" s="254"/>
      <c r="D181" s="254"/>
      <c r="E181" s="254"/>
      <c r="F181" s="254"/>
      <c r="G181" s="254"/>
      <c r="H181" s="238"/>
    </row>
    <row r="182" spans="2:11" ht="29" x14ac:dyDescent="0.35">
      <c r="B182" s="92" t="s">
        <v>921</v>
      </c>
      <c r="C182" s="254"/>
      <c r="D182" s="254"/>
      <c r="E182" s="254"/>
      <c r="F182" s="254"/>
      <c r="G182" s="254"/>
      <c r="H182" s="238"/>
    </row>
  </sheetData>
  <mergeCells count="52">
    <mergeCell ref="C175:G175"/>
    <mergeCell ref="C176:G176"/>
    <mergeCell ref="C180:G180"/>
    <mergeCell ref="C181:G181"/>
    <mergeCell ref="C182:G182"/>
    <mergeCell ref="C174:G174"/>
    <mergeCell ref="C161:G161"/>
    <mergeCell ref="C162:G162"/>
    <mergeCell ref="C163:G163"/>
    <mergeCell ref="C164:G164"/>
    <mergeCell ref="C165:G165"/>
    <mergeCell ref="C166:G166"/>
    <mergeCell ref="C167:G167"/>
    <mergeCell ref="C168:G168"/>
    <mergeCell ref="B170:G170"/>
    <mergeCell ref="C172:G172"/>
    <mergeCell ref="C173:G173"/>
    <mergeCell ref="C160:G160"/>
    <mergeCell ref="B78:F78"/>
    <mergeCell ref="B99:G99"/>
    <mergeCell ref="B148:G148"/>
    <mergeCell ref="C150:G150"/>
    <mergeCell ref="C151:G151"/>
    <mergeCell ref="C152:G152"/>
    <mergeCell ref="C153:G153"/>
    <mergeCell ref="C154:G154"/>
    <mergeCell ref="C155:G155"/>
    <mergeCell ref="C156:G156"/>
    <mergeCell ref="B158:G158"/>
    <mergeCell ref="B58:C58"/>
    <mergeCell ref="C18:E18"/>
    <mergeCell ref="C19:E19"/>
    <mergeCell ref="C20:E20"/>
    <mergeCell ref="C21:E21"/>
    <mergeCell ref="C22:E22"/>
    <mergeCell ref="C23:E23"/>
    <mergeCell ref="C24:E24"/>
    <mergeCell ref="C25:E25"/>
    <mergeCell ref="C27:E27"/>
    <mergeCell ref="C28:E28"/>
    <mergeCell ref="C29:E29"/>
    <mergeCell ref="C16:E16"/>
    <mergeCell ref="B2:G2"/>
    <mergeCell ref="B4:G4"/>
    <mergeCell ref="C5:E5"/>
    <mergeCell ref="C6:E6"/>
    <mergeCell ref="C7:E7"/>
    <mergeCell ref="C8:E8"/>
    <mergeCell ref="C9:E9"/>
    <mergeCell ref="C10:E10"/>
    <mergeCell ref="C11:E11"/>
    <mergeCell ref="C12:E12"/>
  </mergeCells>
  <dataValidations count="7">
    <dataValidation allowBlank="1" showInputMessage="1" showErrorMessage="1" sqref="C8:E8 C15" xr:uid="{B0F68A9A-89F7-4CCA-A2D2-39AB796C04FA}"/>
    <dataValidation type="date" allowBlank="1" showInputMessage="1" showErrorMessage="1" sqref="C9:E9" xr:uid="{C640F695-B7FA-4BC4-82D4-0CA7F64CD759}">
      <formula1>46174</formula1>
      <formula2>46368</formula2>
    </dataValidation>
    <dataValidation allowBlank="1" sqref="C18:E25 C16:E16" xr:uid="{FFCFEAC2-E926-474D-A39A-74EB02F431BC}"/>
    <dataValidation type="list" allowBlank="1" showInputMessage="1" showErrorMessage="1" promptTitle="Seleccione herramienta" prompt="Seleccione una opción de la lista o escriba otra herramienta si aplica." sqref="C142" xr:uid="{3A9AC995-C095-40E0-B23A-7421B794E4BB}">
      <formula1>"Microsoft Teams Phone,Genesys Cloud,Avaya,3CX,Cisco Webex Contact Center,Amazon Connect,Twilio Flex,Five9,NICE CXone,Talkdesk"</formula1>
    </dataValidation>
    <dataValidation type="list" allowBlank="1" showInputMessage="1" showErrorMessage="1" promptTitle="Seleccione herramienta" prompt="Seleccione una opción de la lista o escriba otra herramienta si aplica." sqref="C146" xr:uid="{4AF791A2-FA74-4BAB-9C2A-F05B1C73D757}">
      <formula1>"API REST,Power Automate,Zapier,Make,Azure Logic Apps,MuleSoft,Boomi,Workato,ServiceNow IntegrationHub,Jira Automation"</formula1>
    </dataValidation>
    <dataValidation type="list" allowBlank="1" sqref="C101:C122" xr:uid="{FB187EE8-F65B-4C62-841F-2582E49F2825}">
      <formula1>"Sí,No,Parcial"</formula1>
      <formula2>0</formula2>
    </dataValidation>
    <dataValidation type="list" allowBlank="1" sqref="F34:F38 F41:F47 F50:F52 F55:F56" xr:uid="{BC72EE24-8C45-4A9B-BEF3-11CBAC97845B}">
      <formula1>"Alta,Media,Baja,Sin mejora"</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3">
        <x14:dataValidation type="list" allowBlank="1" showInputMessage="1" showErrorMessage="1" xr:uid="{EF166338-1603-4DC3-92C1-FD06B1C0B146}">
          <x14:formula1>
            <xm:f>Listas!$B$12:$B$17</xm:f>
          </x14:formula1>
          <xm:sqref>C14</xm:sqref>
        </x14:dataValidation>
        <x14:dataValidation type="list" allowBlank="1" showInputMessage="1" showErrorMessage="1" xr:uid="{F0F8CD73-33A6-44DD-961A-9D8347198F4E}">
          <x14:formula1>
            <xm:f>Listas!$B$53:$B$58</xm:f>
          </x14:formula1>
          <xm:sqref>C132</xm:sqref>
        </x14:dataValidation>
        <x14:dataValidation type="list" allowBlank="1" showInputMessage="1" showErrorMessage="1" xr:uid="{46E431B1-87F1-4F67-8126-BAB3BDE8E27E}">
          <x14:formula1>
            <xm:f>Listas!$B$45:$B$48</xm:f>
          </x14:formula1>
          <xm:sqref>C91:D91</xm:sqref>
        </x14:dataValidation>
        <x14:dataValidation type="list" allowBlank="1" showInputMessage="1" showErrorMessage="1" xr:uid="{5D1EA0BF-9E5F-4E67-994D-419291FE89B7}">
          <x14:formula1>
            <xm:f>Listas!$D$45:$D$49</xm:f>
          </x14:formula1>
          <xm:sqref>C92:D92</xm:sqref>
        </x14:dataValidation>
        <x14:dataValidation type="list" allowBlank="1" showInputMessage="1" showErrorMessage="1" xr:uid="{F7D192EA-E00A-4154-8768-41F64D9FCBF1}">
          <x14:formula1>
            <xm:f>Listas!$F$45:$F$52</xm:f>
          </x14:formula1>
          <xm:sqref>C93:D93</xm:sqref>
        </x14:dataValidation>
        <x14:dataValidation type="list" allowBlank="1" showInputMessage="1" showErrorMessage="1" xr:uid="{B795FE4B-AFF9-41FA-B9C5-94A9D880E86B}">
          <x14:formula1>
            <xm:f>Listas!$H$45:$H$48</xm:f>
          </x14:formula1>
          <xm:sqref>C96:D96</xm:sqref>
        </x14:dataValidation>
        <x14:dataValidation type="list" allowBlank="1" showInputMessage="1" showErrorMessage="1" xr:uid="{969F67AB-62E6-498D-8199-170C290F9BC7}">
          <x14:formula1>
            <xm:f>Listas!$J$45:$J$49</xm:f>
          </x14:formula1>
          <xm:sqref>C97:D97</xm:sqref>
        </x14:dataValidation>
        <x14:dataValidation type="list" allowBlank="1" showInputMessage="1" showErrorMessage="1" promptTitle="Seleccione herramienta" prompt="Seleccione una opción de la lista o escriba otra herramienta si aplica." xr:uid="{C8F42AA8-C50C-4FEE-81CC-5756A33B3865}">
          <x14:formula1>
            <xm:f>Listas!$B$21:$B$35</xm:f>
          </x14:formula1>
          <xm:sqref>C137</xm:sqref>
        </x14:dataValidation>
        <x14:dataValidation type="list" allowBlank="1" showInputMessage="1" showErrorMessage="1" promptTitle="Seleccione herramienta" prompt="Seleccione una opción de la lista o escriba otra herramienta si aplica." xr:uid="{6B76BE8B-0BCF-4263-8525-50CE1214A331}">
          <x14:formula1>
            <xm:f>Listas!$D$21:$D$35</xm:f>
          </x14:formula1>
          <xm:sqref>C138</xm:sqref>
        </x14:dataValidation>
        <x14:dataValidation type="list" allowBlank="1" showInputMessage="1" showErrorMessage="1" promptTitle="Seleccione herramienta" prompt="Seleccione una opción de la lista o escriba otra herramienta si aplica." xr:uid="{B62A1A6B-5943-4C1F-A61A-C021D1176D55}">
          <x14:formula1>
            <xm:f>Listas!$F$21:$F$35</xm:f>
          </x14:formula1>
          <xm:sqref>C139</xm:sqref>
        </x14:dataValidation>
        <x14:dataValidation type="list" allowBlank="1" showInputMessage="1" showErrorMessage="1" promptTitle="Seleccione herramienta" prompt="Seleccione una opción de la lista o escriba otra herramienta si aplica." xr:uid="{161FA58F-06DD-4563-A378-061A0449BF1D}">
          <x14:formula1>
            <xm:f>Listas!$P$21:$P$35</xm:f>
          </x14:formula1>
          <xm:sqref>C140</xm:sqref>
        </x14:dataValidation>
        <x14:dataValidation type="list" allowBlank="1" showInputMessage="1" showErrorMessage="1" promptTitle="Seleccione herramienta" prompt="Seleccione una opción de la lista o escriba otra herramienta si aplica." xr:uid="{7EE708E4-BDB5-44A8-B515-458832F21E87}">
          <x14:formula1>
            <xm:f>Listas!$N$21:$N$35</xm:f>
          </x14:formula1>
          <xm:sqref>C141</xm:sqref>
        </x14:dataValidation>
        <x14:dataValidation type="list" allowBlank="1" showInputMessage="1" showErrorMessage="1" promptTitle="Seleccione herramienta" prompt="Seleccione una opción de la lista o escriba otra herramienta si aplica." xr:uid="{2C16A703-352B-4D87-AB6B-FE88122AFFB6}">
          <x14:formula1>
            <xm:f>Listas!$H$21:$H$35</xm:f>
          </x14:formula1>
          <xm:sqref>C143</xm:sqref>
        </x14:dataValidation>
        <x14:dataValidation type="list" allowBlank="1" showInputMessage="1" showErrorMessage="1" promptTitle="Seleccione herramienta" prompt="Seleccione una opción de la lista o escriba otra herramienta si aplica." xr:uid="{272EA1D9-C7B5-4A15-BB87-3ED00961A63A}">
          <x14:formula1>
            <xm:f>Listas!$L$21:$L$35</xm:f>
          </x14:formula1>
          <xm:sqref>C144</xm:sqref>
        </x14:dataValidation>
        <x14:dataValidation type="list" allowBlank="1" showInputMessage="1" showErrorMessage="1" promptTitle="Seleccione herramienta" prompt="Seleccione una opción de la lista o escriba otra herramienta si aplica." xr:uid="{5EB5B796-A132-4A14-9CF8-522FF148D4D0}">
          <x14:formula1>
            <xm:f>Listas!$J$21:$J$35</xm:f>
          </x14:formula1>
          <xm:sqref>C145</xm:sqref>
        </x14:dataValidation>
        <x14:dataValidation type="list" allowBlank="1" showInputMessage="1" showErrorMessage="1" xr:uid="{C5A11A4A-D067-4CE5-AB3A-33D0BD3BFBE9}">
          <x14:formula1>
            <xm:f>Listas!$R$5:$R$8</xm:f>
          </x14:formula1>
          <xm:sqref>D137:D146</xm:sqref>
        </x14:dataValidation>
        <x14:dataValidation type="list" allowBlank="1" showInputMessage="1" showErrorMessage="1" xr:uid="{54C48097-7E71-4773-8937-53B1FAA89E57}">
          <x14:formula1>
            <xm:f>Listas!$P$5:$P$9</xm:f>
          </x14:formula1>
          <xm:sqref>F137:F146</xm:sqref>
        </x14:dataValidation>
        <x14:dataValidation type="list" allowBlank="1" showInputMessage="1" showErrorMessage="1" xr:uid="{2A47BA1D-6C76-4DA0-A87D-BA270B6E3B36}">
          <x14:formula1>
            <xm:f>Listas!$N$5:$N$11</xm:f>
          </x14:formula1>
          <xm:sqref>C5:E5</xm:sqref>
        </x14:dataValidation>
        <x14:dataValidation type="list" allowBlank="1" xr:uid="{BBFC5F15-55FA-414A-A216-A1A816591B9B}">
          <x14:formula1>
            <xm:f>Listas!$L$5:$L$8</xm:f>
          </x14:formula1>
          <x14:formula2>
            <xm:f>0</xm:f>
          </x14:formula2>
          <xm:sqref>C164</xm:sqref>
        </x14:dataValidation>
        <x14:dataValidation type="list" allowBlank="1" xr:uid="{49CDE3E4-4D95-480C-9A5C-DD8397F5D655}">
          <x14:formula1>
            <xm:f>Listas!$F$5:$F$8</xm:f>
          </x14:formula1>
          <x14:formula2>
            <xm:f>0</xm:f>
          </x14:formula2>
          <xm:sqref>F101:F118</xm:sqref>
        </x14:dataValidation>
        <x14:dataValidation type="list" allowBlank="1" xr:uid="{DC7CB238-33B7-4F24-8A9F-9ECE2510D0F9}">
          <x14:formula1>
            <xm:f>Listas!$B$5:$B$9</xm:f>
          </x14:formula1>
          <x14:formula2>
            <xm:f>0</xm:f>
          </x14:formula2>
          <xm:sqref>D34:D38 D41:D47 D50:D52 D55:D56</xm:sqref>
        </x14:dataValidation>
        <x14:dataValidation type="list" allowBlank="1" xr:uid="{A6CA956F-3919-4092-87B6-51A886CF1E2C}">
          <x14:formula1>
            <xm:f>Listas!$D$5:$D$11</xm:f>
          </x14:formula1>
          <x14:formula2>
            <xm:f>0</xm:f>
          </x14:formula2>
          <xm:sqref>C13 C17</xm:sqref>
        </x14:dataValidation>
        <x14:dataValidation type="list" allowBlank="1" xr:uid="{180705AD-0FB9-468F-AC78-A7DFB72AE488}">
          <x14:formula1>
            <xm:f>Listas!$H$5:$H$10</xm:f>
          </x14:formula1>
          <x14:formula2>
            <xm:f>0</xm:f>
          </x14:formula2>
          <xm:sqref>C12</xm:sqref>
        </x14:dataValidation>
      </x14:dataValidation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95F58-9754-4A41-BCFE-0A5A535B4E89}">
  <sheetPr>
    <tabColor rgb="FF00B0F0"/>
  </sheetPr>
  <dimension ref="B1:K182"/>
  <sheetViews>
    <sheetView showGridLines="0" zoomScaleNormal="100" workbookViewId="0">
      <pane xSplit="2" ySplit="2" topLeftCell="C107" activePane="bottomRight" state="frozen"/>
      <selection pane="topRight" activeCell="C1" sqref="C1"/>
      <selection pane="bottomLeft" activeCell="A3" sqref="A3"/>
      <selection pane="bottomRight" activeCell="B122" sqref="B122:G122"/>
    </sheetView>
  </sheetViews>
  <sheetFormatPr baseColWidth="10" defaultColWidth="8.54296875" defaultRowHeight="14.5" x14ac:dyDescent="0.35"/>
  <cols>
    <col min="1" max="1" width="3" style="1" customWidth="1"/>
    <col min="2" max="2" width="38.453125" style="1" customWidth="1"/>
    <col min="3" max="3" width="42.7265625" style="1" customWidth="1"/>
    <col min="4" max="4" width="34" style="1" customWidth="1"/>
    <col min="5" max="5" width="40" style="1" customWidth="1"/>
    <col min="6" max="6" width="27.26953125" style="1" customWidth="1"/>
    <col min="7" max="7" width="25.7265625" style="1" customWidth="1"/>
    <col min="8" max="8" width="9.1796875" style="1"/>
    <col min="9" max="9" width="13.7265625" style="1" customWidth="1"/>
    <col min="10" max="10" width="33.453125" style="1" customWidth="1"/>
    <col min="11" max="11" width="36.7265625" style="1" customWidth="1"/>
    <col min="12" max="16384" width="8.54296875" style="1"/>
  </cols>
  <sheetData>
    <row r="1" spans="2:11" ht="7.5" customHeight="1" x14ac:dyDescent="0.35"/>
    <row r="2" spans="2:11" ht="30" customHeight="1" x14ac:dyDescent="0.35">
      <c r="B2" s="259" t="s">
        <v>1335</v>
      </c>
      <c r="C2" s="259"/>
      <c r="D2" s="259"/>
      <c r="E2" s="259"/>
      <c r="F2" s="259"/>
      <c r="G2" s="259"/>
    </row>
    <row r="3" spans="2:11" ht="15.5" x14ac:dyDescent="0.35">
      <c r="I3" s="62" t="s">
        <v>60</v>
      </c>
      <c r="J3" s="62"/>
      <c r="K3" s="62"/>
    </row>
    <row r="4" spans="2:11" ht="24" customHeight="1" x14ac:dyDescent="0.35">
      <c r="B4" s="258" t="s">
        <v>647</v>
      </c>
      <c r="C4" s="258"/>
      <c r="D4" s="258"/>
      <c r="E4" s="258"/>
      <c r="F4" s="258"/>
      <c r="G4" s="258"/>
      <c r="I4" s="6" t="s">
        <v>61</v>
      </c>
      <c r="J4" s="6" t="s">
        <v>62</v>
      </c>
      <c r="K4" s="6" t="s">
        <v>22</v>
      </c>
    </row>
    <row r="5" spans="2:11" ht="17" x14ac:dyDescent="0.35">
      <c r="B5" s="37" t="s">
        <v>648</v>
      </c>
      <c r="C5" s="251" t="s">
        <v>127</v>
      </c>
      <c r="D5" s="251"/>
      <c r="E5" s="251"/>
      <c r="I5" s="17" t="s">
        <v>63</v>
      </c>
      <c r="J5" s="18" t="s">
        <v>64</v>
      </c>
      <c r="K5" s="63" t="s">
        <v>65</v>
      </c>
    </row>
    <row r="6" spans="2:11" ht="18" customHeight="1" x14ac:dyDescent="0.35">
      <c r="B6" s="37" t="s">
        <v>649</v>
      </c>
      <c r="C6" s="251"/>
      <c r="D6" s="251"/>
      <c r="E6" s="251"/>
      <c r="I6" s="19" t="s">
        <v>66</v>
      </c>
      <c r="J6" s="122" t="s">
        <v>67</v>
      </c>
      <c r="K6" s="63" t="s">
        <v>68</v>
      </c>
    </row>
    <row r="7" spans="2:11" ht="18" customHeight="1" x14ac:dyDescent="0.35">
      <c r="B7" s="37" t="s">
        <v>651</v>
      </c>
      <c r="C7" s="251"/>
      <c r="D7" s="251"/>
      <c r="E7" s="251"/>
      <c r="I7" s="20" t="s">
        <v>69</v>
      </c>
      <c r="J7" s="122" t="s">
        <v>70</v>
      </c>
      <c r="K7" s="63" t="s">
        <v>71</v>
      </c>
    </row>
    <row r="8" spans="2:11" ht="18" customHeight="1" x14ac:dyDescent="0.35">
      <c r="B8" s="37" t="s">
        <v>653</v>
      </c>
      <c r="C8" s="261"/>
      <c r="D8" s="262"/>
      <c r="E8" s="262"/>
      <c r="I8" s="21" t="s">
        <v>72</v>
      </c>
      <c r="J8" s="122" t="s">
        <v>73</v>
      </c>
      <c r="K8" s="63" t="s">
        <v>74</v>
      </c>
    </row>
    <row r="9" spans="2:11" ht="17" x14ac:dyDescent="0.35">
      <c r="B9" s="37" t="s">
        <v>655</v>
      </c>
      <c r="C9" s="263">
        <v>46218</v>
      </c>
      <c r="D9" s="264"/>
      <c r="E9" s="264"/>
      <c r="I9" s="22" t="s">
        <v>75</v>
      </c>
      <c r="J9" s="122" t="s">
        <v>76</v>
      </c>
      <c r="K9" s="63" t="s">
        <v>77</v>
      </c>
    </row>
    <row r="10" spans="2:11" x14ac:dyDescent="0.35">
      <c r="B10" s="37" t="s">
        <v>656</v>
      </c>
      <c r="C10" s="251" t="s">
        <v>657</v>
      </c>
      <c r="D10" s="251"/>
      <c r="E10" s="251"/>
    </row>
    <row r="11" spans="2:11" x14ac:dyDescent="0.35">
      <c r="B11" s="37" t="s">
        <v>1092</v>
      </c>
      <c r="C11" s="388"/>
      <c r="D11" s="389"/>
      <c r="E11" s="389"/>
      <c r="I11" s="6" t="s">
        <v>659</v>
      </c>
      <c r="J11" s="6" t="s">
        <v>292</v>
      </c>
      <c r="K11" s="6" t="s">
        <v>660</v>
      </c>
    </row>
    <row r="12" spans="2:11" x14ac:dyDescent="0.35">
      <c r="B12" s="37" t="s">
        <v>1336</v>
      </c>
      <c r="C12" s="251"/>
      <c r="D12" s="251"/>
      <c r="E12" s="251"/>
      <c r="I12" s="18" t="s">
        <v>662</v>
      </c>
      <c r="J12" s="63" t="s">
        <v>663</v>
      </c>
      <c r="K12" s="63" t="s">
        <v>664</v>
      </c>
    </row>
    <row r="13" spans="2:11" x14ac:dyDescent="0.35">
      <c r="B13" s="37" t="s">
        <v>661</v>
      </c>
      <c r="C13" s="251"/>
      <c r="D13" s="251"/>
      <c r="E13" s="251"/>
      <c r="I13" s="122" t="s">
        <v>667</v>
      </c>
      <c r="J13" s="63" t="s">
        <v>668</v>
      </c>
      <c r="K13" s="63" t="s">
        <v>669</v>
      </c>
    </row>
    <row r="14" spans="2:11" ht="17.25" customHeight="1" x14ac:dyDescent="0.35">
      <c r="B14" s="37" t="s">
        <v>665</v>
      </c>
      <c r="C14" s="140" t="s">
        <v>66</v>
      </c>
      <c r="D14" s="141" t="s">
        <v>666</v>
      </c>
      <c r="E14" s="70"/>
      <c r="I14" s="122" t="s">
        <v>672</v>
      </c>
      <c r="J14" s="63" t="s">
        <v>673</v>
      </c>
      <c r="K14" s="63" t="s">
        <v>674</v>
      </c>
    </row>
    <row r="15" spans="2:11" ht="15.5" x14ac:dyDescent="0.35">
      <c r="B15" s="133" t="s">
        <v>670</v>
      </c>
      <c r="C15" s="138"/>
      <c r="D15" s="141"/>
      <c r="E15" s="70"/>
    </row>
    <row r="16" spans="2:11" x14ac:dyDescent="0.35">
      <c r="B16" s="37" t="s">
        <v>675</v>
      </c>
      <c r="C16" s="388"/>
      <c r="D16" s="389" t="s">
        <v>666</v>
      </c>
      <c r="E16" s="389"/>
    </row>
    <row r="17" spans="2:6" ht="15" customHeight="1" x14ac:dyDescent="0.35">
      <c r="B17" s="37" t="s">
        <v>677</v>
      </c>
      <c r="C17" s="38" t="s">
        <v>432</v>
      </c>
      <c r="D17" s="134"/>
    </row>
    <row r="18" spans="2:6" x14ac:dyDescent="0.35">
      <c r="B18" s="37" t="s">
        <v>678</v>
      </c>
      <c r="C18" s="251"/>
      <c r="D18" s="251"/>
      <c r="E18" s="251"/>
    </row>
    <row r="19" spans="2:6" ht="41.25" customHeight="1" x14ac:dyDescent="0.35">
      <c r="B19" s="37" t="s">
        <v>680</v>
      </c>
      <c r="C19" s="251"/>
      <c r="D19" s="251"/>
      <c r="E19" s="251"/>
    </row>
    <row r="20" spans="2:6" x14ac:dyDescent="0.35">
      <c r="B20" s="37" t="s">
        <v>682</v>
      </c>
      <c r="C20" s="251"/>
      <c r="D20" s="251"/>
      <c r="E20" s="251"/>
    </row>
    <row r="21" spans="2:6" x14ac:dyDescent="0.35">
      <c r="B21" s="37" t="s">
        <v>684</v>
      </c>
      <c r="C21" s="251"/>
      <c r="D21" s="251"/>
      <c r="E21" s="251"/>
    </row>
    <row r="22" spans="2:6" x14ac:dyDescent="0.35">
      <c r="B22" s="37" t="s">
        <v>686</v>
      </c>
      <c r="C22" s="251"/>
      <c r="D22" s="251"/>
      <c r="E22" s="251"/>
    </row>
    <row r="23" spans="2:6" x14ac:dyDescent="0.35">
      <c r="B23" s="37" t="s">
        <v>688</v>
      </c>
      <c r="C23" s="251"/>
      <c r="D23" s="251"/>
      <c r="E23" s="251"/>
    </row>
    <row r="24" spans="2:6" x14ac:dyDescent="0.35">
      <c r="B24" s="37" t="s">
        <v>690</v>
      </c>
      <c r="C24" s="251"/>
      <c r="D24" s="251"/>
      <c r="E24" s="251"/>
    </row>
    <row r="25" spans="2:6" x14ac:dyDescent="0.35">
      <c r="B25" s="37" t="s">
        <v>692</v>
      </c>
      <c r="C25" s="251"/>
      <c r="D25" s="251"/>
      <c r="E25" s="251"/>
    </row>
    <row r="26" spans="2:6" x14ac:dyDescent="0.35">
      <c r="B26" s="37" t="s">
        <v>935</v>
      </c>
      <c r="C26" s="174"/>
      <c r="D26" s="174"/>
      <c r="E26" s="174"/>
    </row>
    <row r="27" spans="2:6" x14ac:dyDescent="0.35">
      <c r="B27" s="37" t="s">
        <v>936</v>
      </c>
      <c r="C27" s="252"/>
      <c r="D27" s="252"/>
      <c r="E27" s="253"/>
    </row>
    <row r="28" spans="2:6" x14ac:dyDescent="0.35">
      <c r="B28" s="199" t="s">
        <v>938</v>
      </c>
      <c r="C28" s="252"/>
      <c r="D28" s="252"/>
      <c r="E28" s="253"/>
    </row>
    <row r="29" spans="2:6" x14ac:dyDescent="0.35">
      <c r="B29" s="199" t="s">
        <v>698</v>
      </c>
      <c r="C29" s="252"/>
      <c r="D29" s="252"/>
      <c r="E29" s="253"/>
    </row>
    <row r="31" spans="2:6" ht="24" customHeight="1" x14ac:dyDescent="0.35">
      <c r="B31" s="100" t="s">
        <v>699</v>
      </c>
      <c r="C31" s="100"/>
      <c r="D31" s="100"/>
      <c r="E31" s="100"/>
      <c r="F31" s="100"/>
    </row>
    <row r="32" spans="2:6" ht="27.75" customHeight="1" x14ac:dyDescent="0.35">
      <c r="B32" s="6" t="s">
        <v>19</v>
      </c>
      <c r="C32" s="6" t="s">
        <v>700</v>
      </c>
      <c r="D32" s="6" t="s">
        <v>701</v>
      </c>
      <c r="E32" s="6" t="s">
        <v>702</v>
      </c>
      <c r="F32" s="6" t="s">
        <v>703</v>
      </c>
    </row>
    <row r="33" spans="2:6" ht="21.75" customHeight="1" x14ac:dyDescent="0.35">
      <c r="B33" s="170" t="s">
        <v>704</v>
      </c>
      <c r="C33" s="170"/>
      <c r="D33" s="170"/>
      <c r="E33" s="170"/>
      <c r="F33" s="170"/>
    </row>
    <row r="34" spans="2:6" ht="27.75" customHeight="1" x14ac:dyDescent="0.35">
      <c r="B34" s="40" t="s">
        <v>939</v>
      </c>
      <c r="C34" s="65" t="s">
        <v>705</v>
      </c>
      <c r="D34" s="26"/>
      <c r="E34" s="5"/>
      <c r="F34" s="36"/>
    </row>
    <row r="35" spans="2:6" ht="27.75" customHeight="1" x14ac:dyDescent="0.35">
      <c r="B35" s="41" t="s">
        <v>941</v>
      </c>
      <c r="C35" s="66" t="s">
        <v>706</v>
      </c>
      <c r="D35" s="26"/>
      <c r="E35" s="5"/>
      <c r="F35" s="36"/>
    </row>
    <row r="36" spans="2:6" ht="27.75" customHeight="1" x14ac:dyDescent="0.35">
      <c r="B36" s="40" t="s">
        <v>943</v>
      </c>
      <c r="C36" s="65" t="s">
        <v>707</v>
      </c>
      <c r="D36" s="26"/>
      <c r="E36" s="5"/>
      <c r="F36" s="36"/>
    </row>
    <row r="37" spans="2:6" ht="27.75" customHeight="1" x14ac:dyDescent="0.35">
      <c r="B37" s="41" t="s">
        <v>945</v>
      </c>
      <c r="C37" s="66" t="s">
        <v>708</v>
      </c>
      <c r="D37" s="26"/>
      <c r="E37" s="5"/>
      <c r="F37" s="36"/>
    </row>
    <row r="38" spans="2:6" ht="27.75" customHeight="1" x14ac:dyDescent="0.35">
      <c r="B38" s="40" t="s">
        <v>947</v>
      </c>
      <c r="C38" s="65" t="s">
        <v>709</v>
      </c>
      <c r="D38" s="26"/>
      <c r="E38" s="5"/>
      <c r="F38" s="36"/>
    </row>
    <row r="40" spans="2:6" ht="21.75" customHeight="1" x14ac:dyDescent="0.35">
      <c r="B40" s="129" t="s">
        <v>711</v>
      </c>
      <c r="C40" s="129"/>
      <c r="D40" s="129"/>
      <c r="E40" s="129"/>
      <c r="F40" s="129"/>
    </row>
    <row r="41" spans="2:6" ht="27.75" customHeight="1" x14ac:dyDescent="0.35">
      <c r="B41" s="41" t="s">
        <v>949</v>
      </c>
      <c r="C41" s="66" t="s">
        <v>712</v>
      </c>
      <c r="D41" s="26"/>
      <c r="E41" s="5"/>
      <c r="F41" s="36"/>
    </row>
    <row r="42" spans="2:6" ht="27.75" customHeight="1" x14ac:dyDescent="0.35">
      <c r="B42" s="40" t="s">
        <v>951</v>
      </c>
      <c r="C42" s="65" t="s">
        <v>714</v>
      </c>
      <c r="D42" s="26"/>
      <c r="E42" s="5"/>
      <c r="F42" s="36"/>
    </row>
    <row r="43" spans="2:6" ht="27.75" customHeight="1" x14ac:dyDescent="0.35">
      <c r="B43" s="41" t="s">
        <v>953</v>
      </c>
      <c r="C43" s="66" t="s">
        <v>716</v>
      </c>
      <c r="D43" s="26"/>
      <c r="E43" s="5"/>
      <c r="F43" s="36"/>
    </row>
    <row r="44" spans="2:6" ht="43.5" x14ac:dyDescent="0.35">
      <c r="B44" s="40" t="s">
        <v>955</v>
      </c>
      <c r="C44" s="65" t="s">
        <v>718</v>
      </c>
      <c r="D44" s="26"/>
      <c r="E44" s="5"/>
      <c r="F44" s="36"/>
    </row>
    <row r="45" spans="2:6" ht="43.5" x14ac:dyDescent="0.35">
      <c r="B45" s="41" t="s">
        <v>957</v>
      </c>
      <c r="C45" s="66" t="s">
        <v>719</v>
      </c>
      <c r="D45" s="26"/>
      <c r="E45" s="5"/>
      <c r="F45" s="36"/>
    </row>
    <row r="46" spans="2:6" ht="27.75" customHeight="1" x14ac:dyDescent="0.35">
      <c r="B46" s="40" t="s">
        <v>958</v>
      </c>
      <c r="C46" s="65" t="s">
        <v>721</v>
      </c>
      <c r="D46" s="26"/>
      <c r="E46" s="5"/>
      <c r="F46" s="36"/>
    </row>
    <row r="47" spans="2:6" ht="27.75" customHeight="1" x14ac:dyDescent="0.35">
      <c r="B47" s="41" t="s">
        <v>959</v>
      </c>
      <c r="C47" s="66" t="s">
        <v>722</v>
      </c>
      <c r="D47" s="26"/>
      <c r="E47" s="5"/>
      <c r="F47" s="36"/>
    </row>
    <row r="49" spans="2:6" ht="21.75" customHeight="1" x14ac:dyDescent="0.35">
      <c r="B49" s="129" t="s">
        <v>723</v>
      </c>
      <c r="C49" s="129"/>
      <c r="D49" s="129"/>
      <c r="E49" s="129"/>
      <c r="F49" s="129"/>
    </row>
    <row r="50" spans="2:6" ht="27.75" customHeight="1" x14ac:dyDescent="0.35">
      <c r="B50" s="40" t="s">
        <v>961</v>
      </c>
      <c r="C50" s="65" t="s">
        <v>724</v>
      </c>
      <c r="D50" s="26"/>
      <c r="E50" s="5"/>
      <c r="F50" s="36"/>
    </row>
    <row r="51" spans="2:6" ht="43.5" x14ac:dyDescent="0.35">
      <c r="B51" s="41" t="s">
        <v>963</v>
      </c>
      <c r="C51" s="66" t="s">
        <v>726</v>
      </c>
      <c r="D51" s="26"/>
      <c r="E51" s="5"/>
      <c r="F51" s="36"/>
    </row>
    <row r="52" spans="2:6" ht="27.75" customHeight="1" x14ac:dyDescent="0.35">
      <c r="B52" s="40" t="s">
        <v>965</v>
      </c>
      <c r="C52" s="65" t="s">
        <v>727</v>
      </c>
      <c r="D52" s="26"/>
      <c r="E52" s="5"/>
      <c r="F52" s="36"/>
    </row>
    <row r="54" spans="2:6" ht="21.75" customHeight="1" x14ac:dyDescent="0.35">
      <c r="B54" s="129" t="s">
        <v>728</v>
      </c>
      <c r="C54" s="129"/>
      <c r="D54" s="129"/>
      <c r="E54" s="129"/>
      <c r="F54" s="129"/>
    </row>
    <row r="55" spans="2:6" ht="27.75" customHeight="1" x14ac:dyDescent="0.35">
      <c r="B55" s="41" t="s">
        <v>967</v>
      </c>
      <c r="C55" s="66" t="s">
        <v>729</v>
      </c>
      <c r="D55" s="26"/>
      <c r="E55" s="5"/>
      <c r="F55" s="36"/>
    </row>
    <row r="56" spans="2:6" ht="27.75" customHeight="1" x14ac:dyDescent="0.35">
      <c r="B56" s="40" t="s">
        <v>969</v>
      </c>
      <c r="C56" s="65" t="s">
        <v>731</v>
      </c>
      <c r="D56" s="26"/>
      <c r="E56" s="5"/>
      <c r="F56" s="36"/>
    </row>
    <row r="58" spans="2:6" ht="27.75" customHeight="1" x14ac:dyDescent="0.35">
      <c r="B58" s="260" t="s">
        <v>732</v>
      </c>
      <c r="C58" s="260"/>
      <c r="D58" s="42">
        <f>IF(D34="Sí",1,IF(D34="Parcial",0.5,0))+IF(D35="Sí",1,IF(D35="Parcial",0.5,0))+IF(D36="Sí",1,IF(D36="Parcial",0.5,0))+IF(D37="Sí",1,IF(D37="Parcial",0.5,0))+IF(D38="Sí",1,IF(D38="Parcial",0.5,0))+IF(D41="Sí",1,IF(D41="Parcial",0.5,0))+IF(D42="Sí",1,IF(D42="Parcial",0.5,0))+IF(D43="Sí",1,IF(D43="Parcial",0.5,0))+IF(D44="Sí",1,IF(D44="Parcial",0.5,0))+IF(D45="Sí",1,IF(D45="Parcial",0.5,0))+IF(D46="Sí",1,IF(D46="Parcial",0.5,0))+IF(D47="Sí",1,IF(D47="Parcial",0.5,0))+IF(D50="Sí",1,IF(D50="Parcial",0.5,0))+IF(D51="Sí",1,IF(D51="Parcial",0.5,0))+IF(D52="Sí",1,IF(D52="Parcial",0.5,0))+IF(D55="Sí",1,IF(D55="Parcial",0.5,0))+IF(D56="Sí",1,IF(D56="Parcial",0.5,0))</f>
        <v>0</v>
      </c>
      <c r="E58" s="43">
        <f>D58/17</f>
        <v>0</v>
      </c>
    </row>
    <row r="60" spans="2:6" ht="24" customHeight="1" x14ac:dyDescent="0.35">
      <c r="B60" s="100" t="s">
        <v>733</v>
      </c>
      <c r="C60" s="100"/>
      <c r="D60" s="100"/>
      <c r="E60" s="100"/>
      <c r="F60" s="100"/>
    </row>
    <row r="61" spans="2:6" ht="21.75" customHeight="1" x14ac:dyDescent="0.35">
      <c r="B61" s="6" t="s">
        <v>464</v>
      </c>
      <c r="C61" s="6" t="s">
        <v>466</v>
      </c>
      <c r="D61" s="6" t="s">
        <v>734</v>
      </c>
      <c r="E61" s="6" t="s">
        <v>735</v>
      </c>
      <c r="F61" s="6" t="s">
        <v>736</v>
      </c>
    </row>
    <row r="62" spans="2:6" ht="21.75" customHeight="1" x14ac:dyDescent="0.35">
      <c r="B62" s="44" t="s">
        <v>467</v>
      </c>
      <c r="C62" s="71"/>
      <c r="D62" s="45"/>
      <c r="E62" s="45"/>
      <c r="F62" s="121" t="s">
        <v>1334</v>
      </c>
    </row>
    <row r="63" spans="2:6" ht="21.75" customHeight="1" x14ac:dyDescent="0.35">
      <c r="B63" s="210" t="s">
        <v>972</v>
      </c>
      <c r="C63" s="71"/>
      <c r="D63" s="45"/>
      <c r="E63" s="45"/>
      <c r="F63" s="121"/>
    </row>
    <row r="64" spans="2:6" ht="21.75" customHeight="1" x14ac:dyDescent="0.35">
      <c r="B64" s="210" t="s">
        <v>973</v>
      </c>
      <c r="C64" s="71"/>
      <c r="D64" s="45"/>
      <c r="E64" s="45"/>
      <c r="F64" s="121"/>
    </row>
    <row r="65" spans="2:6" ht="21.75" customHeight="1" x14ac:dyDescent="0.35">
      <c r="B65" s="46" t="s">
        <v>470</v>
      </c>
      <c r="C65" s="72"/>
      <c r="D65" s="47"/>
      <c r="E65" s="47"/>
      <c r="F65" s="121" t="s">
        <v>1334</v>
      </c>
    </row>
    <row r="66" spans="2:6" ht="21.75" customHeight="1" x14ac:dyDescent="0.35">
      <c r="B66" s="44" t="s">
        <v>472</v>
      </c>
      <c r="C66" s="71"/>
      <c r="D66" s="45"/>
      <c r="E66" s="45"/>
      <c r="F66" s="121" t="s">
        <v>1334</v>
      </c>
    </row>
    <row r="67" spans="2:6" ht="21.75" customHeight="1" x14ac:dyDescent="0.35">
      <c r="B67" s="46" t="s">
        <v>737</v>
      </c>
      <c r="C67" s="72"/>
      <c r="D67" s="47"/>
      <c r="E67" s="47"/>
      <c r="F67" s="121" t="s">
        <v>1334</v>
      </c>
    </row>
    <row r="68" spans="2:6" ht="21.75" customHeight="1" x14ac:dyDescent="0.35">
      <c r="B68" s="44" t="s">
        <v>475</v>
      </c>
      <c r="C68" s="73">
        <v>0.68</v>
      </c>
      <c r="D68" s="45"/>
      <c r="E68" s="45"/>
      <c r="F68" s="121" t="s">
        <v>1334</v>
      </c>
    </row>
    <row r="69" spans="2:6" ht="21.75" customHeight="1" x14ac:dyDescent="0.35">
      <c r="B69" s="46" t="s">
        <v>477</v>
      </c>
      <c r="C69" s="72" t="s">
        <v>1337</v>
      </c>
      <c r="D69" s="47"/>
      <c r="E69" s="47"/>
      <c r="F69" s="121" t="s">
        <v>1334</v>
      </c>
    </row>
    <row r="70" spans="2:6" ht="21.75" customHeight="1" x14ac:dyDescent="0.35">
      <c r="B70" s="44" t="s">
        <v>257</v>
      </c>
      <c r="C70" s="73">
        <v>0.89</v>
      </c>
      <c r="D70" s="45"/>
      <c r="E70" s="45"/>
      <c r="F70" s="121" t="s">
        <v>1334</v>
      </c>
    </row>
    <row r="71" spans="2:6" ht="21.75" customHeight="1" x14ac:dyDescent="0.35">
      <c r="B71" s="46" t="s">
        <v>480</v>
      </c>
      <c r="C71" s="72" t="s">
        <v>1338</v>
      </c>
      <c r="D71" s="47"/>
      <c r="E71" s="47"/>
      <c r="F71" s="121" t="s">
        <v>1334</v>
      </c>
    </row>
    <row r="72" spans="2:6" ht="21.75" customHeight="1" x14ac:dyDescent="0.35">
      <c r="B72" s="44" t="s">
        <v>482</v>
      </c>
      <c r="C72" s="71"/>
      <c r="D72" s="45"/>
      <c r="E72" s="45"/>
      <c r="F72" s="121" t="s">
        <v>1334</v>
      </c>
    </row>
    <row r="73" spans="2:6" ht="21.75" customHeight="1" x14ac:dyDescent="0.35">
      <c r="B73" s="46" t="s">
        <v>484</v>
      </c>
      <c r="C73" s="72"/>
      <c r="D73" s="47"/>
      <c r="E73" s="47"/>
      <c r="F73" s="121" t="s">
        <v>1334</v>
      </c>
    </row>
    <row r="74" spans="2:6" ht="21.75" customHeight="1" x14ac:dyDescent="0.35">
      <c r="B74" s="44" t="s">
        <v>486</v>
      </c>
      <c r="C74" s="71">
        <v>12</v>
      </c>
      <c r="D74" s="45"/>
      <c r="E74" s="45"/>
      <c r="F74" s="121" t="s">
        <v>1334</v>
      </c>
    </row>
    <row r="75" spans="2:6" ht="21.75" customHeight="1" x14ac:dyDescent="0.35">
      <c r="B75" s="46" t="s">
        <v>488</v>
      </c>
      <c r="C75" s="72">
        <v>8</v>
      </c>
      <c r="D75" s="47"/>
      <c r="E75" s="47"/>
      <c r="F75" s="121" t="s">
        <v>1334</v>
      </c>
    </row>
    <row r="77" spans="2:6" ht="24" customHeight="1" x14ac:dyDescent="0.35">
      <c r="B77" s="100" t="s">
        <v>37</v>
      </c>
      <c r="C77" s="100"/>
      <c r="D77" s="100"/>
      <c r="E77" s="100"/>
      <c r="F77" s="100"/>
    </row>
    <row r="78" spans="2:6" ht="24" customHeight="1" x14ac:dyDescent="0.35">
      <c r="B78" s="266" t="s">
        <v>739</v>
      </c>
      <c r="C78" s="266"/>
      <c r="D78" s="266"/>
      <c r="E78" s="266"/>
      <c r="F78" s="266"/>
    </row>
    <row r="79" spans="2:6" ht="21.75" customHeight="1" x14ac:dyDescent="0.35">
      <c r="B79" s="6" t="s">
        <v>740</v>
      </c>
      <c r="C79" s="6" t="s">
        <v>741</v>
      </c>
      <c r="D79" s="6" t="s">
        <v>742</v>
      </c>
      <c r="E79" s="6" t="s">
        <v>743</v>
      </c>
      <c r="F79" s="6" t="s">
        <v>744</v>
      </c>
    </row>
    <row r="80" spans="2:6" ht="19.5" customHeight="1" x14ac:dyDescent="0.35">
      <c r="B80" s="44" t="s">
        <v>745</v>
      </c>
      <c r="C80" s="45"/>
      <c r="D80" s="45"/>
      <c r="E80" s="45"/>
      <c r="F80" s="45"/>
    </row>
    <row r="81" spans="2:6" ht="19.5" customHeight="1" x14ac:dyDescent="0.35">
      <c r="B81" s="46" t="s">
        <v>746</v>
      </c>
      <c r="C81" s="47"/>
      <c r="D81" s="47"/>
      <c r="E81" s="47"/>
      <c r="F81" s="47"/>
    </row>
    <row r="82" spans="2:6" ht="19.5" customHeight="1" x14ac:dyDescent="0.35">
      <c r="B82" s="44" t="s">
        <v>748</v>
      </c>
      <c r="C82" s="45"/>
      <c r="D82" s="45"/>
      <c r="E82" s="45"/>
      <c r="F82" s="45"/>
    </row>
    <row r="83" spans="2:6" ht="19.5" customHeight="1" x14ac:dyDescent="0.35">
      <c r="B83" s="46" t="s">
        <v>749</v>
      </c>
      <c r="C83" s="47"/>
      <c r="D83" s="47"/>
      <c r="E83" s="47"/>
      <c r="F83" s="47"/>
    </row>
    <row r="84" spans="2:6" ht="19.5" customHeight="1" x14ac:dyDescent="0.35">
      <c r="B84" s="44" t="s">
        <v>751</v>
      </c>
      <c r="C84" s="45"/>
      <c r="D84" s="45"/>
      <c r="E84" s="45"/>
      <c r="F84" s="45"/>
    </row>
    <row r="85" spans="2:6" ht="19.5" customHeight="1" x14ac:dyDescent="0.35">
      <c r="B85" s="46" t="s">
        <v>752</v>
      </c>
      <c r="C85" s="47"/>
      <c r="D85" s="47"/>
      <c r="E85" s="47"/>
      <c r="F85" s="47"/>
    </row>
    <row r="86" spans="2:6" ht="19.5" customHeight="1" x14ac:dyDescent="0.35">
      <c r="B86" s="44" t="s">
        <v>753</v>
      </c>
      <c r="C86" s="45"/>
      <c r="D86" s="45"/>
      <c r="E86" s="45"/>
      <c r="F86" s="45"/>
    </row>
    <row r="87" spans="2:6" ht="19.5" customHeight="1" x14ac:dyDescent="0.35">
      <c r="B87" s="46" t="s">
        <v>755</v>
      </c>
      <c r="C87" s="47"/>
      <c r="D87" s="47"/>
      <c r="E87" s="47"/>
      <c r="F87" s="47"/>
    </row>
    <row r="89" spans="2:6" ht="24" customHeight="1" x14ac:dyDescent="0.35">
      <c r="B89" s="100" t="s">
        <v>757</v>
      </c>
      <c r="C89" s="100"/>
      <c r="D89" s="100"/>
      <c r="E89" s="100"/>
      <c r="F89" s="100"/>
    </row>
    <row r="90" spans="2:6" ht="21.75" customHeight="1" x14ac:dyDescent="0.35">
      <c r="B90" s="6" t="s">
        <v>758</v>
      </c>
      <c r="C90" s="6" t="s">
        <v>466</v>
      </c>
      <c r="D90" s="6" t="s">
        <v>201</v>
      </c>
      <c r="E90" s="6" t="s">
        <v>759</v>
      </c>
      <c r="F90" s="6" t="s">
        <v>744</v>
      </c>
    </row>
    <row r="91" spans="2:6" ht="21.75" customHeight="1" x14ac:dyDescent="0.35">
      <c r="B91" s="14" t="s">
        <v>760</v>
      </c>
      <c r="C91" s="45"/>
      <c r="D91" s="45"/>
      <c r="E91" s="45"/>
      <c r="F91" s="45"/>
    </row>
    <row r="92" spans="2:6" ht="21.75" customHeight="1" x14ac:dyDescent="0.35">
      <c r="B92" s="16" t="s">
        <v>428</v>
      </c>
      <c r="C92" s="36"/>
      <c r="D92" s="36"/>
      <c r="E92" s="47"/>
      <c r="F92" s="47"/>
    </row>
    <row r="93" spans="2:6" ht="21.75" customHeight="1" x14ac:dyDescent="0.35">
      <c r="B93" s="14" t="s">
        <v>429</v>
      </c>
      <c r="C93" s="45"/>
      <c r="D93" s="45"/>
      <c r="E93" s="45"/>
      <c r="F93" s="45"/>
    </row>
    <row r="94" spans="2:6" x14ac:dyDescent="0.35">
      <c r="B94" s="16" t="s">
        <v>761</v>
      </c>
      <c r="C94" s="47"/>
      <c r="D94" s="47"/>
      <c r="E94" s="47"/>
      <c r="F94" s="47"/>
    </row>
    <row r="95" spans="2:6" ht="29" x14ac:dyDescent="0.35">
      <c r="B95" s="14" t="s">
        <v>762</v>
      </c>
      <c r="C95" s="45"/>
      <c r="D95" s="45"/>
      <c r="E95" s="45"/>
      <c r="F95" s="45"/>
    </row>
    <row r="96" spans="2:6" ht="21.75" customHeight="1" x14ac:dyDescent="0.35">
      <c r="B96" s="16" t="s">
        <v>430</v>
      </c>
      <c r="C96" s="47"/>
      <c r="D96" s="47"/>
      <c r="E96" s="47"/>
      <c r="F96" s="47"/>
    </row>
    <row r="97" spans="2:7" ht="29" x14ac:dyDescent="0.35">
      <c r="B97" s="14" t="s">
        <v>431</v>
      </c>
      <c r="C97" s="45"/>
      <c r="D97" s="45"/>
      <c r="E97" s="45"/>
      <c r="F97" s="45"/>
    </row>
    <row r="99" spans="2:7" ht="24" customHeight="1" x14ac:dyDescent="0.35">
      <c r="B99" s="258" t="s">
        <v>763</v>
      </c>
      <c r="C99" s="352"/>
      <c r="D99" s="352"/>
      <c r="E99" s="352"/>
      <c r="F99" s="352"/>
      <c r="G99" s="352"/>
    </row>
    <row r="100" spans="2:7" ht="27.75" customHeight="1" x14ac:dyDescent="0.35">
      <c r="B100" s="6" t="s">
        <v>142</v>
      </c>
      <c r="C100" s="6" t="s">
        <v>764</v>
      </c>
      <c r="D100" s="6" t="s">
        <v>765</v>
      </c>
      <c r="E100" s="6" t="s">
        <v>766</v>
      </c>
      <c r="F100" s="6" t="s">
        <v>767</v>
      </c>
      <c r="G100" s="6" t="s">
        <v>768</v>
      </c>
    </row>
    <row r="101" spans="2:7" ht="25.5" customHeight="1" x14ac:dyDescent="0.35">
      <c r="B101" s="48" t="s">
        <v>153</v>
      </c>
      <c r="C101" s="26"/>
      <c r="D101" s="69" t="s">
        <v>769</v>
      </c>
      <c r="E101" s="49"/>
      <c r="F101" s="36"/>
      <c r="G101" s="5"/>
    </row>
    <row r="102" spans="2:7" ht="25.5" customHeight="1" x14ac:dyDescent="0.35">
      <c r="B102" s="50" t="s">
        <v>154</v>
      </c>
      <c r="C102" s="26"/>
      <c r="D102" s="68" t="s">
        <v>771</v>
      </c>
      <c r="E102" s="49"/>
      <c r="F102" s="36"/>
      <c r="G102" s="5"/>
    </row>
    <row r="103" spans="2:7" ht="25.5" customHeight="1" x14ac:dyDescent="0.35">
      <c r="B103" s="48" t="s">
        <v>155</v>
      </c>
      <c r="C103" s="26"/>
      <c r="D103" s="69" t="s">
        <v>773</v>
      </c>
      <c r="E103" s="49"/>
      <c r="F103" s="36"/>
      <c r="G103" s="5"/>
    </row>
    <row r="104" spans="2:7" ht="25.5" customHeight="1" x14ac:dyDescent="0.35">
      <c r="B104" s="50" t="s">
        <v>156</v>
      </c>
      <c r="C104" s="26"/>
      <c r="D104" s="68" t="s">
        <v>775</v>
      </c>
      <c r="E104" s="49"/>
      <c r="F104" s="36"/>
      <c r="G104" s="5"/>
    </row>
    <row r="105" spans="2:7" ht="25.5" customHeight="1" x14ac:dyDescent="0.35">
      <c r="B105" s="48" t="s">
        <v>157</v>
      </c>
      <c r="C105" s="26"/>
      <c r="D105" s="67" t="s">
        <v>777</v>
      </c>
      <c r="E105" s="49"/>
      <c r="F105" s="36"/>
      <c r="G105" s="5"/>
    </row>
    <row r="106" spans="2:7" ht="25.5" customHeight="1" x14ac:dyDescent="0.35">
      <c r="B106" s="50" t="s">
        <v>158</v>
      </c>
      <c r="C106" s="26"/>
      <c r="D106" s="68" t="s">
        <v>779</v>
      </c>
      <c r="E106" s="49"/>
      <c r="F106" s="36"/>
      <c r="G106" s="5"/>
    </row>
    <row r="107" spans="2:7" ht="25.5" customHeight="1" x14ac:dyDescent="0.35">
      <c r="B107" s="48" t="s">
        <v>159</v>
      </c>
      <c r="C107" s="26"/>
      <c r="D107" s="67" t="s">
        <v>781</v>
      </c>
      <c r="E107" s="49"/>
      <c r="F107" s="36"/>
      <c r="G107" s="5"/>
    </row>
    <row r="108" spans="2:7" ht="25.5" customHeight="1" x14ac:dyDescent="0.35">
      <c r="B108" s="50" t="s">
        <v>160</v>
      </c>
      <c r="C108" s="26"/>
      <c r="D108" s="74" t="s">
        <v>783</v>
      </c>
      <c r="E108" s="49"/>
      <c r="F108" s="36"/>
      <c r="G108" s="5"/>
    </row>
    <row r="109" spans="2:7" ht="43.5" x14ac:dyDescent="0.35">
      <c r="B109" s="48" t="s">
        <v>161</v>
      </c>
      <c r="C109" s="26"/>
      <c r="D109" s="69" t="s">
        <v>785</v>
      </c>
      <c r="E109" s="49"/>
      <c r="F109" s="36"/>
      <c r="G109" s="5"/>
    </row>
    <row r="110" spans="2:7" ht="58" x14ac:dyDescent="0.35">
      <c r="B110" s="50" t="s">
        <v>162</v>
      </c>
      <c r="C110" s="26"/>
      <c r="D110" s="74" t="s">
        <v>787</v>
      </c>
      <c r="E110" s="49"/>
      <c r="F110" s="36"/>
      <c r="G110" s="5"/>
    </row>
    <row r="111" spans="2:7" ht="25.5" customHeight="1" x14ac:dyDescent="0.35">
      <c r="B111" s="48" t="s">
        <v>163</v>
      </c>
      <c r="C111" s="26"/>
      <c r="D111" s="67" t="s">
        <v>789</v>
      </c>
      <c r="E111" s="49"/>
      <c r="F111" s="36"/>
      <c r="G111" s="5"/>
    </row>
    <row r="112" spans="2:7" ht="25.5" customHeight="1" x14ac:dyDescent="0.35">
      <c r="B112" s="50" t="s">
        <v>164</v>
      </c>
      <c r="C112" s="26"/>
      <c r="D112" s="74" t="s">
        <v>791</v>
      </c>
      <c r="E112" s="49"/>
      <c r="F112" s="36"/>
      <c r="G112" s="5"/>
    </row>
    <row r="113" spans="2:7" ht="25.5" customHeight="1" x14ac:dyDescent="0.35">
      <c r="B113" s="48" t="s">
        <v>165</v>
      </c>
      <c r="C113" s="26"/>
      <c r="D113" s="69" t="s">
        <v>793</v>
      </c>
      <c r="E113" s="49"/>
      <c r="F113" s="36"/>
      <c r="G113" s="5"/>
    </row>
    <row r="114" spans="2:7" ht="25.5" customHeight="1" x14ac:dyDescent="0.35">
      <c r="B114" s="50" t="s">
        <v>166</v>
      </c>
      <c r="C114" s="26"/>
      <c r="D114" s="74" t="s">
        <v>795</v>
      </c>
      <c r="E114" s="49"/>
      <c r="F114" s="36"/>
      <c r="G114" s="5"/>
    </row>
    <row r="115" spans="2:7" ht="25.5" customHeight="1" x14ac:dyDescent="0.35">
      <c r="B115" s="48" t="s">
        <v>167</v>
      </c>
      <c r="C115" s="26"/>
      <c r="D115" s="69" t="s">
        <v>797</v>
      </c>
      <c r="E115" s="49"/>
      <c r="F115" s="36"/>
      <c r="G115" s="5"/>
    </row>
    <row r="116" spans="2:7" ht="25.5" customHeight="1" x14ac:dyDescent="0.35">
      <c r="B116" s="50" t="s">
        <v>168</v>
      </c>
      <c r="C116" s="26"/>
      <c r="D116" s="74" t="s">
        <v>799</v>
      </c>
      <c r="E116" s="49"/>
      <c r="F116" s="36"/>
      <c r="G116" s="5"/>
    </row>
    <row r="117" spans="2:7" ht="25.5" customHeight="1" x14ac:dyDescent="0.35">
      <c r="B117" s="48" t="s">
        <v>169</v>
      </c>
      <c r="C117" s="26"/>
      <c r="D117" s="69" t="s">
        <v>801</v>
      </c>
      <c r="E117" s="49"/>
      <c r="F117" s="36"/>
      <c r="G117" s="5"/>
    </row>
    <row r="118" spans="2:7" ht="25.5" customHeight="1" x14ac:dyDescent="0.35">
      <c r="B118" s="50" t="s">
        <v>170</v>
      </c>
      <c r="C118" s="26"/>
      <c r="D118" s="74" t="s">
        <v>803</v>
      </c>
      <c r="E118" s="49"/>
      <c r="F118" s="36"/>
      <c r="G118" s="5"/>
    </row>
    <row r="119" spans="2:7" ht="25.5" customHeight="1" x14ac:dyDescent="0.35">
      <c r="B119" s="50" t="s">
        <v>172</v>
      </c>
      <c r="C119" s="26" t="s">
        <v>86</v>
      </c>
      <c r="D119" s="74" t="s">
        <v>805</v>
      </c>
      <c r="E119" s="49"/>
      <c r="F119" s="36"/>
      <c r="G119" s="5" t="s">
        <v>806</v>
      </c>
    </row>
    <row r="120" spans="2:7" ht="25.5" customHeight="1" x14ac:dyDescent="0.35">
      <c r="B120" s="50" t="s">
        <v>173</v>
      </c>
      <c r="C120" s="26"/>
      <c r="D120" s="74" t="s">
        <v>807</v>
      </c>
      <c r="E120" s="49"/>
      <c r="F120" s="36"/>
      <c r="G120" s="5"/>
    </row>
    <row r="121" spans="2:7" ht="25.5" customHeight="1" x14ac:dyDescent="0.35">
      <c r="B121" s="50" t="s">
        <v>174</v>
      </c>
      <c r="C121" s="26"/>
      <c r="D121" s="74" t="s">
        <v>808</v>
      </c>
      <c r="E121" s="49"/>
      <c r="F121" s="36"/>
      <c r="G121" s="5"/>
    </row>
    <row r="122" spans="2:7" ht="25.5" customHeight="1" x14ac:dyDescent="0.35">
      <c r="B122" s="216" t="s">
        <v>175</v>
      </c>
      <c r="C122" s="26"/>
      <c r="D122" s="218" t="s">
        <v>809</v>
      </c>
      <c r="E122" s="49"/>
      <c r="F122" s="36"/>
      <c r="G122" s="5"/>
    </row>
    <row r="124" spans="2:7" ht="24" customHeight="1" x14ac:dyDescent="0.35">
      <c r="B124" s="100" t="s">
        <v>810</v>
      </c>
      <c r="C124" s="100"/>
      <c r="D124" s="100"/>
    </row>
    <row r="125" spans="2:7" ht="21.75" customHeight="1" x14ac:dyDescent="0.35">
      <c r="B125" s="6" t="s">
        <v>811</v>
      </c>
      <c r="C125" s="6" t="s">
        <v>812</v>
      </c>
      <c r="D125" s="6" t="s">
        <v>736</v>
      </c>
    </row>
    <row r="126" spans="2:7" ht="21.75" customHeight="1" x14ac:dyDescent="0.35">
      <c r="B126" s="13" t="s">
        <v>813</v>
      </c>
      <c r="C126" s="64"/>
    </row>
    <row r="127" spans="2:7" ht="21.75" customHeight="1" x14ac:dyDescent="0.35">
      <c r="B127" s="15" t="s">
        <v>814</v>
      </c>
      <c r="C127" s="64"/>
    </row>
    <row r="128" spans="2:7" ht="21.75" customHeight="1" x14ac:dyDescent="0.35">
      <c r="B128" s="13" t="s">
        <v>817</v>
      </c>
      <c r="C128" s="64"/>
    </row>
    <row r="129" spans="2:7" ht="21.75" customHeight="1" x14ac:dyDescent="0.35">
      <c r="B129" s="15" t="s">
        <v>818</v>
      </c>
      <c r="C129" s="64"/>
    </row>
    <row r="130" spans="2:7" ht="21.75" customHeight="1" x14ac:dyDescent="0.35">
      <c r="B130" s="13" t="s">
        <v>819</v>
      </c>
      <c r="C130" s="64"/>
    </row>
    <row r="131" spans="2:7" ht="21.75" customHeight="1" x14ac:dyDescent="0.35">
      <c r="B131" s="15" t="s">
        <v>820</v>
      </c>
      <c r="C131" s="64"/>
    </row>
    <row r="132" spans="2:7" ht="29.25" customHeight="1" x14ac:dyDescent="0.35">
      <c r="B132" s="122" t="s">
        <v>821</v>
      </c>
      <c r="C132" s="64"/>
    </row>
    <row r="133" spans="2:7" ht="21.75" customHeight="1" x14ac:dyDescent="0.35">
      <c r="B133" s="123" t="s">
        <v>822</v>
      </c>
      <c r="C133" s="109"/>
      <c r="D133" s="109"/>
      <c r="G133" s="109"/>
    </row>
    <row r="135" spans="2:7" ht="24" customHeight="1" x14ac:dyDescent="0.35">
      <c r="B135" s="100" t="s">
        <v>823</v>
      </c>
      <c r="C135" s="100"/>
      <c r="D135" s="100"/>
      <c r="E135" s="100"/>
      <c r="F135" s="100"/>
    </row>
    <row r="136" spans="2:7" ht="21.75" customHeight="1" x14ac:dyDescent="0.35">
      <c r="B136" s="6" t="s">
        <v>824</v>
      </c>
      <c r="C136" s="6" t="s">
        <v>825</v>
      </c>
      <c r="D136" s="6" t="s">
        <v>826</v>
      </c>
      <c r="E136" s="6" t="s">
        <v>827</v>
      </c>
      <c r="F136" s="6" t="s">
        <v>269</v>
      </c>
    </row>
    <row r="137" spans="2:7" ht="21.75" customHeight="1" x14ac:dyDescent="0.35">
      <c r="B137" s="44" t="s">
        <v>828</v>
      </c>
      <c r="C137" s="99"/>
      <c r="D137" s="45"/>
      <c r="E137" s="14"/>
      <c r="F137" s="45"/>
    </row>
    <row r="138" spans="2:7" ht="21.75" customHeight="1" x14ac:dyDescent="0.35">
      <c r="B138" s="46" t="s">
        <v>830</v>
      </c>
      <c r="C138" s="99"/>
      <c r="D138" s="45"/>
      <c r="E138" s="16"/>
      <c r="F138" s="45"/>
    </row>
    <row r="139" spans="2:7" ht="21.75" customHeight="1" x14ac:dyDescent="0.35">
      <c r="B139" s="44" t="s">
        <v>831</v>
      </c>
      <c r="C139" s="99"/>
      <c r="D139" s="45"/>
      <c r="E139" s="14"/>
      <c r="F139" s="45"/>
    </row>
    <row r="140" spans="2:7" ht="21.75" customHeight="1" x14ac:dyDescent="0.35">
      <c r="B140" s="46" t="s">
        <v>832</v>
      </c>
      <c r="C140" s="99"/>
      <c r="D140" s="45"/>
      <c r="E140" s="16"/>
      <c r="F140" s="45"/>
    </row>
    <row r="141" spans="2:7" ht="30.75" customHeight="1" x14ac:dyDescent="0.35">
      <c r="B141" s="14" t="s">
        <v>833</v>
      </c>
      <c r="C141" s="99"/>
      <c r="D141" s="45"/>
      <c r="E141" s="14"/>
      <c r="F141" s="45"/>
    </row>
    <row r="142" spans="2:7" ht="33" customHeight="1" x14ac:dyDescent="0.35">
      <c r="B142" s="16" t="s">
        <v>834</v>
      </c>
      <c r="C142" s="99"/>
      <c r="D142" s="45"/>
      <c r="E142" s="16"/>
      <c r="F142" s="45"/>
    </row>
    <row r="143" spans="2:7" ht="21.75" customHeight="1" x14ac:dyDescent="0.35">
      <c r="B143" s="44" t="s">
        <v>835</v>
      </c>
      <c r="C143" s="99"/>
      <c r="D143" s="45"/>
      <c r="E143" s="14"/>
      <c r="F143" s="45"/>
    </row>
    <row r="144" spans="2:7" ht="21.75" customHeight="1" x14ac:dyDescent="0.35">
      <c r="B144" s="46" t="s">
        <v>836</v>
      </c>
      <c r="C144" s="99"/>
      <c r="D144" s="45"/>
      <c r="E144" s="16"/>
      <c r="F144" s="45"/>
    </row>
    <row r="145" spans="2:7" ht="21.75" customHeight="1" x14ac:dyDescent="0.35">
      <c r="B145" s="44" t="s">
        <v>837</v>
      </c>
      <c r="C145" s="99"/>
      <c r="D145" s="45"/>
      <c r="E145" s="14"/>
      <c r="F145" s="45"/>
    </row>
    <row r="146" spans="2:7" ht="21.75" customHeight="1" x14ac:dyDescent="0.35">
      <c r="B146" s="46" t="s">
        <v>838</v>
      </c>
      <c r="C146" s="99"/>
      <c r="D146" s="45"/>
      <c r="E146" s="16"/>
      <c r="F146" s="45"/>
    </row>
    <row r="148" spans="2:7" ht="24" customHeight="1" x14ac:dyDescent="0.35">
      <c r="B148" s="258" t="s">
        <v>841</v>
      </c>
      <c r="C148" s="352"/>
      <c r="D148" s="352"/>
      <c r="E148" s="352"/>
      <c r="F148" s="352"/>
      <c r="G148" s="352"/>
    </row>
    <row r="149" spans="2:7" ht="21.75" customHeight="1" x14ac:dyDescent="0.35">
      <c r="B149" s="6" t="s">
        <v>842</v>
      </c>
      <c r="C149" s="6" t="s">
        <v>843</v>
      </c>
    </row>
    <row r="150" spans="2:7" ht="21.75" customHeight="1" x14ac:dyDescent="0.35">
      <c r="B150" s="13" t="s">
        <v>844</v>
      </c>
      <c r="C150" s="251"/>
      <c r="D150" s="251"/>
      <c r="E150" s="251"/>
      <c r="F150" s="251"/>
      <c r="G150" s="251"/>
    </row>
    <row r="151" spans="2:7" ht="21.75" customHeight="1" x14ac:dyDescent="0.35">
      <c r="B151" s="15" t="s">
        <v>846</v>
      </c>
      <c r="C151" s="251"/>
      <c r="D151" s="251"/>
      <c r="E151" s="251"/>
      <c r="F151" s="251"/>
      <c r="G151" s="251"/>
    </row>
    <row r="152" spans="2:7" ht="21.75" customHeight="1" x14ac:dyDescent="0.35">
      <c r="B152" s="13" t="s">
        <v>847</v>
      </c>
      <c r="C152" s="251"/>
      <c r="D152" s="251"/>
      <c r="E152" s="251"/>
      <c r="F152" s="251"/>
      <c r="G152" s="251"/>
    </row>
    <row r="153" spans="2:7" ht="21.75" customHeight="1" x14ac:dyDescent="0.35">
      <c r="B153" s="15" t="s">
        <v>848</v>
      </c>
      <c r="C153" s="251"/>
      <c r="D153" s="251"/>
      <c r="E153" s="251"/>
      <c r="F153" s="251"/>
      <c r="G153" s="251"/>
    </row>
    <row r="154" spans="2:7" ht="21.75" customHeight="1" x14ac:dyDescent="0.35">
      <c r="B154" s="13" t="s">
        <v>849</v>
      </c>
      <c r="C154" s="251"/>
      <c r="D154" s="251"/>
      <c r="E154" s="251"/>
      <c r="F154" s="251"/>
      <c r="G154" s="251"/>
    </row>
    <row r="155" spans="2:7" ht="21.75" customHeight="1" x14ac:dyDescent="0.35">
      <c r="B155" s="15" t="s">
        <v>850</v>
      </c>
      <c r="C155" s="251"/>
      <c r="D155" s="251"/>
      <c r="E155" s="251"/>
      <c r="F155" s="251"/>
      <c r="G155" s="251"/>
    </row>
    <row r="156" spans="2:7" ht="21.75" customHeight="1" x14ac:dyDescent="0.35">
      <c r="B156" s="13" t="s">
        <v>852</v>
      </c>
      <c r="C156" s="251"/>
      <c r="D156" s="251"/>
      <c r="E156" s="251"/>
      <c r="F156" s="251"/>
      <c r="G156" s="251"/>
    </row>
    <row r="158" spans="2:7" ht="24" customHeight="1" x14ac:dyDescent="0.35">
      <c r="B158" s="258" t="s">
        <v>854</v>
      </c>
      <c r="C158" s="258"/>
      <c r="D158" s="258"/>
      <c r="E158" s="258"/>
      <c r="F158" s="258"/>
      <c r="G158" s="258"/>
    </row>
    <row r="159" spans="2:7" ht="21.75" customHeight="1" x14ac:dyDescent="0.35">
      <c r="B159" s="6" t="s">
        <v>855</v>
      </c>
      <c r="C159" s="6" t="s">
        <v>856</v>
      </c>
    </row>
    <row r="160" spans="2:7" ht="30" customHeight="1" x14ac:dyDescent="0.35">
      <c r="B160" s="51" t="s">
        <v>857</v>
      </c>
      <c r="C160" s="251"/>
      <c r="D160" s="251"/>
      <c r="E160" s="251"/>
      <c r="F160" s="251"/>
      <c r="G160" s="251"/>
    </row>
    <row r="161" spans="2:11" ht="30" customHeight="1" x14ac:dyDescent="0.35">
      <c r="B161" s="52" t="s">
        <v>859</v>
      </c>
      <c r="C161" s="251"/>
      <c r="D161" s="251"/>
      <c r="E161" s="251"/>
      <c r="F161" s="251"/>
      <c r="G161" s="251"/>
    </row>
    <row r="162" spans="2:11" ht="30" customHeight="1" x14ac:dyDescent="0.35">
      <c r="B162" s="51" t="s">
        <v>861</v>
      </c>
      <c r="C162" s="251"/>
      <c r="D162" s="251"/>
      <c r="E162" s="251"/>
      <c r="F162" s="251"/>
      <c r="G162" s="251"/>
    </row>
    <row r="163" spans="2:11" ht="30" customHeight="1" x14ac:dyDescent="0.35">
      <c r="B163" s="52" t="s">
        <v>863</v>
      </c>
      <c r="C163" s="251"/>
      <c r="D163" s="251"/>
      <c r="E163" s="251"/>
      <c r="F163" s="251"/>
      <c r="G163" s="251"/>
    </row>
    <row r="164" spans="2:11" ht="30" customHeight="1" x14ac:dyDescent="0.35">
      <c r="B164" s="51" t="s">
        <v>865</v>
      </c>
      <c r="C164" s="251"/>
      <c r="D164" s="251"/>
      <c r="E164" s="251"/>
      <c r="F164" s="251"/>
      <c r="G164" s="251"/>
    </row>
    <row r="165" spans="2:11" ht="30" customHeight="1" x14ac:dyDescent="0.35">
      <c r="B165" s="52" t="s">
        <v>867</v>
      </c>
      <c r="C165" s="251"/>
      <c r="D165" s="251"/>
      <c r="E165" s="251"/>
      <c r="F165" s="251"/>
      <c r="G165" s="251"/>
    </row>
    <row r="166" spans="2:11" ht="30" customHeight="1" x14ac:dyDescent="0.35">
      <c r="B166" s="51" t="s">
        <v>868</v>
      </c>
      <c r="C166" s="251"/>
      <c r="D166" s="251"/>
      <c r="E166" s="251"/>
      <c r="F166" s="251"/>
      <c r="G166" s="251"/>
    </row>
    <row r="167" spans="2:11" ht="30" customHeight="1" x14ac:dyDescent="0.35">
      <c r="B167" s="52" t="s">
        <v>870</v>
      </c>
      <c r="C167" s="256" t="s">
        <v>1305</v>
      </c>
      <c r="D167" s="257"/>
      <c r="E167" s="257"/>
      <c r="F167" s="257"/>
      <c r="G167" s="257"/>
    </row>
    <row r="168" spans="2:11" ht="30" customHeight="1" x14ac:dyDescent="0.35">
      <c r="B168" s="51" t="s">
        <v>872</v>
      </c>
      <c r="C168" s="251"/>
      <c r="D168" s="251"/>
      <c r="E168" s="251"/>
      <c r="F168" s="251"/>
      <c r="G168" s="251"/>
    </row>
    <row r="170" spans="2:11" ht="24" customHeight="1" x14ac:dyDescent="0.35">
      <c r="B170" s="255" t="s">
        <v>874</v>
      </c>
      <c r="C170" s="255"/>
      <c r="D170" s="255"/>
      <c r="E170" s="255"/>
      <c r="F170" s="255"/>
      <c r="G170" s="255"/>
      <c r="H170" s="238"/>
      <c r="I170" s="95" t="s">
        <v>877</v>
      </c>
      <c r="J170" s="95" t="s">
        <v>878</v>
      </c>
      <c r="K170" s="95" t="s">
        <v>879</v>
      </c>
    </row>
    <row r="171" spans="2:11" x14ac:dyDescent="0.35">
      <c r="B171" s="92" t="s">
        <v>268</v>
      </c>
      <c r="C171" s="93"/>
      <c r="D171" s="92" t="s">
        <v>875</v>
      </c>
      <c r="E171" s="93"/>
      <c r="F171" s="92" t="s">
        <v>876</v>
      </c>
      <c r="G171" s="93"/>
      <c r="H171" s="238"/>
      <c r="I171" s="97" t="s">
        <v>881</v>
      </c>
      <c r="J171" s="96" t="s">
        <v>882</v>
      </c>
      <c r="K171" s="96" t="s">
        <v>883</v>
      </c>
    </row>
    <row r="172" spans="2:11" x14ac:dyDescent="0.35">
      <c r="B172" s="94" t="s">
        <v>880</v>
      </c>
      <c r="C172" s="254"/>
      <c r="D172" s="254"/>
      <c r="E172" s="254"/>
      <c r="F172" s="254"/>
      <c r="G172" s="254"/>
      <c r="H172" s="238"/>
      <c r="I172" s="97" t="s">
        <v>885</v>
      </c>
      <c r="J172" s="96" t="s">
        <v>886</v>
      </c>
      <c r="K172" s="96" t="s">
        <v>887</v>
      </c>
    </row>
    <row r="173" spans="2:11" x14ac:dyDescent="0.35">
      <c r="B173" s="92" t="s">
        <v>884</v>
      </c>
      <c r="C173" s="254"/>
      <c r="D173" s="254"/>
      <c r="E173" s="254"/>
      <c r="F173" s="254"/>
      <c r="G173" s="254"/>
      <c r="H173" s="238"/>
      <c r="I173" s="97" t="s">
        <v>889</v>
      </c>
      <c r="J173" s="96" t="s">
        <v>890</v>
      </c>
      <c r="K173" s="96" t="s">
        <v>891</v>
      </c>
    </row>
    <row r="174" spans="2:11" x14ac:dyDescent="0.35">
      <c r="B174" s="94" t="s">
        <v>888</v>
      </c>
      <c r="C174" s="254"/>
      <c r="D174" s="254"/>
      <c r="E174" s="254"/>
      <c r="F174" s="254"/>
      <c r="G174" s="254"/>
      <c r="H174" s="238"/>
      <c r="I174" s="97" t="s">
        <v>894</v>
      </c>
      <c r="J174" s="96" t="s">
        <v>895</v>
      </c>
      <c r="K174" s="96" t="s">
        <v>896</v>
      </c>
    </row>
    <row r="175" spans="2:11" ht="27" customHeight="1" x14ac:dyDescent="0.35">
      <c r="B175" s="92" t="s">
        <v>892</v>
      </c>
      <c r="C175" s="256" t="s">
        <v>1051</v>
      </c>
      <c r="D175" s="257"/>
      <c r="E175" s="257"/>
      <c r="F175" s="257"/>
      <c r="G175" s="257"/>
      <c r="H175" s="238"/>
      <c r="I175" s="97" t="s">
        <v>898</v>
      </c>
      <c r="J175" s="96" t="s">
        <v>899</v>
      </c>
      <c r="K175" s="96" t="s">
        <v>900</v>
      </c>
    </row>
    <row r="176" spans="2:11" x14ac:dyDescent="0.35">
      <c r="B176" s="92" t="s">
        <v>897</v>
      </c>
      <c r="C176" s="254"/>
      <c r="D176" s="254"/>
      <c r="E176" s="254"/>
      <c r="F176" s="254"/>
      <c r="G176" s="254"/>
      <c r="H176" s="238"/>
      <c r="I176" s="97" t="s">
        <v>904</v>
      </c>
      <c r="J176" s="96" t="s">
        <v>905</v>
      </c>
      <c r="K176" s="96" t="s">
        <v>906</v>
      </c>
    </row>
    <row r="177" spans="2:11" ht="35.25" customHeight="1" x14ac:dyDescent="0.35">
      <c r="B177" s="94" t="s">
        <v>901</v>
      </c>
      <c r="C177" s="93"/>
      <c r="D177" s="92" t="s">
        <v>902</v>
      </c>
      <c r="E177" s="93"/>
      <c r="F177" s="92" t="s">
        <v>903</v>
      </c>
      <c r="G177" s="93"/>
      <c r="H177" s="238"/>
      <c r="I177" s="97" t="s">
        <v>910</v>
      </c>
      <c r="J177" s="96" t="s">
        <v>911</v>
      </c>
      <c r="K177" s="96" t="s">
        <v>912</v>
      </c>
    </row>
    <row r="178" spans="2:11" ht="32.25" customHeight="1" x14ac:dyDescent="0.35">
      <c r="B178" s="92" t="s">
        <v>907</v>
      </c>
      <c r="C178" s="93"/>
      <c r="D178" s="92" t="s">
        <v>908</v>
      </c>
      <c r="E178" s="93"/>
      <c r="F178" s="92" t="s">
        <v>909</v>
      </c>
      <c r="G178" s="93"/>
      <c r="H178" s="238"/>
      <c r="I178" s="97" t="s">
        <v>916</v>
      </c>
      <c r="J178" s="96" t="s">
        <v>917</v>
      </c>
      <c r="K178" s="96" t="s">
        <v>918</v>
      </c>
    </row>
    <row r="179" spans="2:11" x14ac:dyDescent="0.35">
      <c r="B179" s="94" t="s">
        <v>913</v>
      </c>
      <c r="C179" s="93"/>
      <c r="D179" s="92" t="s">
        <v>914</v>
      </c>
      <c r="E179" s="93"/>
      <c r="F179" s="92" t="s">
        <v>915</v>
      </c>
      <c r="G179" s="93"/>
      <c r="H179" s="238"/>
    </row>
    <row r="180" spans="2:11" x14ac:dyDescent="0.35">
      <c r="B180" s="92" t="s">
        <v>919</v>
      </c>
      <c r="C180" s="254"/>
      <c r="D180" s="254"/>
      <c r="E180" s="254"/>
      <c r="F180" s="254"/>
      <c r="G180" s="254"/>
      <c r="H180" s="238"/>
      <c r="I180" s="238"/>
      <c r="J180" s="238"/>
      <c r="K180" s="238"/>
    </row>
    <row r="181" spans="2:11" x14ac:dyDescent="0.35">
      <c r="B181" s="94" t="s">
        <v>920</v>
      </c>
      <c r="C181" s="254"/>
      <c r="D181" s="254"/>
      <c r="E181" s="254"/>
      <c r="F181" s="254"/>
      <c r="G181" s="254"/>
      <c r="H181" s="238"/>
    </row>
    <row r="182" spans="2:11" ht="29" x14ac:dyDescent="0.35">
      <c r="B182" s="92" t="s">
        <v>921</v>
      </c>
      <c r="C182" s="254"/>
      <c r="D182" s="254"/>
      <c r="E182" s="254"/>
      <c r="F182" s="254"/>
      <c r="G182" s="254"/>
      <c r="H182" s="238"/>
    </row>
  </sheetData>
  <mergeCells count="53">
    <mergeCell ref="B58:C58"/>
    <mergeCell ref="B2:G2"/>
    <mergeCell ref="B4:G4"/>
    <mergeCell ref="C5:E5"/>
    <mergeCell ref="C6:E6"/>
    <mergeCell ref="C7:E7"/>
    <mergeCell ref="C8:E8"/>
    <mergeCell ref="C9:E9"/>
    <mergeCell ref="C10:E10"/>
    <mergeCell ref="C11:E11"/>
    <mergeCell ref="C12:E12"/>
    <mergeCell ref="C13:E13"/>
    <mergeCell ref="C18:E18"/>
    <mergeCell ref="C19:E19"/>
    <mergeCell ref="C16:E16"/>
    <mergeCell ref="C25:E25"/>
    <mergeCell ref="B99:G99"/>
    <mergeCell ref="B78:F78"/>
    <mergeCell ref="C154:G154"/>
    <mergeCell ref="B148:G148"/>
    <mergeCell ref="C150:G150"/>
    <mergeCell ref="C151:G151"/>
    <mergeCell ref="C152:G152"/>
    <mergeCell ref="C153:G153"/>
    <mergeCell ref="C172:G172"/>
    <mergeCell ref="C155:G155"/>
    <mergeCell ref="C156:G156"/>
    <mergeCell ref="B158:G158"/>
    <mergeCell ref="C160:G160"/>
    <mergeCell ref="C161:G161"/>
    <mergeCell ref="C162:G162"/>
    <mergeCell ref="C163:G163"/>
    <mergeCell ref="C164:G164"/>
    <mergeCell ref="C165:G165"/>
    <mergeCell ref="C166:G166"/>
    <mergeCell ref="B170:G170"/>
    <mergeCell ref="C167:G167"/>
    <mergeCell ref="C168:G168"/>
    <mergeCell ref="C182:G182"/>
    <mergeCell ref="C173:G173"/>
    <mergeCell ref="C174:G174"/>
    <mergeCell ref="C175:G175"/>
    <mergeCell ref="C176:G176"/>
    <mergeCell ref="C180:G180"/>
    <mergeCell ref="C181:G181"/>
    <mergeCell ref="C28:E28"/>
    <mergeCell ref="C29:E29"/>
    <mergeCell ref="C27:E27"/>
    <mergeCell ref="C20:E20"/>
    <mergeCell ref="C21:E21"/>
    <mergeCell ref="C22:E22"/>
    <mergeCell ref="C23:E23"/>
    <mergeCell ref="C24:E24"/>
  </mergeCells>
  <dataValidations count="7">
    <dataValidation type="list" allowBlank="1" sqref="C101:C122" xr:uid="{F8436D47-A0BF-4932-996B-766B71F400CF}">
      <formula1>"Sí,No,Parcial"</formula1>
      <formula2>0</formula2>
    </dataValidation>
    <dataValidation type="list" allowBlank="1" sqref="F34:F38 F41:F47 F50:F52 F55:F56" xr:uid="{FAD2CB71-8C3A-419B-BCB1-9F13D0D707DB}">
      <formula1>"Alta,Media,Baja,Sin mejora"</formula1>
      <formula2>0</formula2>
    </dataValidation>
    <dataValidation type="list" allowBlank="1" showInputMessage="1" showErrorMessage="1" promptTitle="Seleccione herramienta" prompt="Seleccione una opción de la lista o escriba otra herramienta si aplica." sqref="C146" xr:uid="{3250A61A-2ADC-4531-A352-154EA07A0352}">
      <formula1>"API REST,Power Automate,Zapier,Make,Azure Logic Apps,MuleSoft,Boomi,Workato,ServiceNow IntegrationHub,Jira Automation"</formula1>
    </dataValidation>
    <dataValidation type="list" allowBlank="1" showInputMessage="1" showErrorMessage="1" promptTitle="Seleccione herramienta" prompt="Seleccione una opción de la lista o escriba otra herramienta si aplica." sqref="C142" xr:uid="{9B2ED85E-F5FB-47D1-935D-034E1E5918E0}">
      <formula1>"Microsoft Teams Phone,Genesys Cloud,Avaya,3CX,Cisco Webex Contact Center,Amazon Connect,Twilio Flex,Five9,NICE CXone,Talkdesk"</formula1>
    </dataValidation>
    <dataValidation type="date" allowBlank="1" showInputMessage="1" showErrorMessage="1" sqref="C9:E9" xr:uid="{AD3E2A0A-9D76-48A3-825C-380A47E1467A}">
      <formula1>46174</formula1>
      <formula2>46368</formula2>
    </dataValidation>
    <dataValidation allowBlank="1" sqref="C16:E16 C18:E25" xr:uid="{9BA9F43A-9F36-4BD9-A198-54857A3C4DC3}"/>
    <dataValidation allowBlank="1" showInputMessage="1" showErrorMessage="1" sqref="C8:E8" xr:uid="{955D228D-C9E9-4BFC-9E11-BE644680A5DD}"/>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3">
        <x14:dataValidation type="list" allowBlank="1" showInputMessage="1" showErrorMessage="1" xr:uid="{77C86A7C-BF44-4C64-8327-0955D52BCED4}">
          <x14:formula1>
            <xm:f>Listas!$N$5:$N$11</xm:f>
          </x14:formula1>
          <xm:sqref>C5:E5</xm:sqref>
        </x14:dataValidation>
        <x14:dataValidation type="list" allowBlank="1" xr:uid="{E1A29A09-4B3F-4C45-A314-A7BC005A5F91}">
          <x14:formula1>
            <xm:f>Listas!$L$5:$L$8</xm:f>
          </x14:formula1>
          <x14:formula2>
            <xm:f>0</xm:f>
          </x14:formula2>
          <xm:sqref>C164</xm:sqref>
        </x14:dataValidation>
        <x14:dataValidation type="list" allowBlank="1" xr:uid="{A79013AE-FC50-43DB-AC1B-217CB087AE71}">
          <x14:formula1>
            <xm:f>Listas!$F$5:$F$8</xm:f>
          </x14:formula1>
          <x14:formula2>
            <xm:f>0</xm:f>
          </x14:formula2>
          <xm:sqref>F101:F118</xm:sqref>
        </x14:dataValidation>
        <x14:dataValidation type="list" allowBlank="1" xr:uid="{D31F6FA9-3DD4-4641-92B0-96E80C290A37}">
          <x14:formula1>
            <xm:f>Listas!$B$5:$B$9</xm:f>
          </x14:formula1>
          <x14:formula2>
            <xm:f>0</xm:f>
          </x14:formula2>
          <xm:sqref>D34:D38 D41:D47 D50:D52 D55:D56</xm:sqref>
        </x14:dataValidation>
        <x14:dataValidation type="list" allowBlank="1" xr:uid="{E47E8195-E443-4031-8C7E-F0418569172B}">
          <x14:formula1>
            <xm:f>Listas!$D$5:$D$11</xm:f>
          </x14:formula1>
          <x14:formula2>
            <xm:f>0</xm:f>
          </x14:formula2>
          <xm:sqref>C14 C17</xm:sqref>
        </x14:dataValidation>
        <x14:dataValidation type="list" allowBlank="1" xr:uid="{3B14C1C4-CEF9-4EC2-B778-2CECAF9C2366}">
          <x14:formula1>
            <xm:f>Listas!$H$5:$H$10</xm:f>
          </x14:formula1>
          <x14:formula2>
            <xm:f>0</xm:f>
          </x14:formula2>
          <xm:sqref>C12</xm:sqref>
        </x14:dataValidation>
        <x14:dataValidation type="list" allowBlank="1" showInputMessage="1" showErrorMessage="1" xr:uid="{35B6E8E4-9B78-461C-81E9-445BB54C4934}">
          <x14:formula1>
            <xm:f>Listas!$P$5:$P$9</xm:f>
          </x14:formula1>
          <xm:sqref>F137:F146</xm:sqref>
        </x14:dataValidation>
        <x14:dataValidation type="list" allowBlank="1" showInputMessage="1" showErrorMessage="1" xr:uid="{6F73AB49-03B9-4415-A4C5-32A65B2DA8CF}">
          <x14:formula1>
            <xm:f>Listas!$R$5:$R$8</xm:f>
          </x14:formula1>
          <xm:sqref>D137:D146</xm:sqref>
        </x14:dataValidation>
        <x14:dataValidation type="list" allowBlank="1" showInputMessage="1" showErrorMessage="1" promptTitle="Seleccione herramienta" prompt="Seleccione una opción de la lista o escriba otra herramienta si aplica." xr:uid="{35271D19-766B-4B35-A92F-C33C988799D4}">
          <x14:formula1>
            <xm:f>Listas!$J$21:$J$35</xm:f>
          </x14:formula1>
          <xm:sqref>C145</xm:sqref>
        </x14:dataValidation>
        <x14:dataValidation type="list" allowBlank="1" showInputMessage="1" showErrorMessage="1" promptTitle="Seleccione herramienta" prompt="Seleccione una opción de la lista o escriba otra herramienta si aplica." xr:uid="{000133B6-7703-42BC-A198-0E3466C9F5E6}">
          <x14:formula1>
            <xm:f>Listas!$L$21:$L$35</xm:f>
          </x14:formula1>
          <xm:sqref>C144</xm:sqref>
        </x14:dataValidation>
        <x14:dataValidation type="list" allowBlank="1" showInputMessage="1" showErrorMessage="1" promptTitle="Seleccione herramienta" prompt="Seleccione una opción de la lista o escriba otra herramienta si aplica." xr:uid="{4B47BD97-0281-4B5D-8F4E-57F1F21AD48E}">
          <x14:formula1>
            <xm:f>Listas!$H$21:$H$35</xm:f>
          </x14:formula1>
          <xm:sqref>C143</xm:sqref>
        </x14:dataValidation>
        <x14:dataValidation type="list" allowBlank="1" showInputMessage="1" showErrorMessage="1" promptTitle="Seleccione herramienta" prompt="Seleccione una opción de la lista o escriba otra herramienta si aplica." xr:uid="{FEB7F42D-98D2-4078-B43C-0A722C2ADCFF}">
          <x14:formula1>
            <xm:f>Listas!$N$21:$N$35</xm:f>
          </x14:formula1>
          <xm:sqref>C141</xm:sqref>
        </x14:dataValidation>
        <x14:dataValidation type="list" allowBlank="1" showInputMessage="1" showErrorMessage="1" promptTitle="Seleccione herramienta" prompt="Seleccione una opción de la lista o escriba otra herramienta si aplica." xr:uid="{3DF77B2F-F8A8-4391-8A1B-38F3E905D543}">
          <x14:formula1>
            <xm:f>Listas!$P$21:$P$35</xm:f>
          </x14:formula1>
          <xm:sqref>C140</xm:sqref>
        </x14:dataValidation>
        <x14:dataValidation type="list" allowBlank="1" showInputMessage="1" showErrorMessage="1" promptTitle="Seleccione herramienta" prompt="Seleccione una opción de la lista o escriba otra herramienta si aplica." xr:uid="{2A43FC9B-CE4B-4905-A4EB-85FA7184B3BE}">
          <x14:formula1>
            <xm:f>Listas!$F$21:$F$35</xm:f>
          </x14:formula1>
          <xm:sqref>C139</xm:sqref>
        </x14:dataValidation>
        <x14:dataValidation type="list" allowBlank="1" showInputMessage="1" showErrorMessage="1" promptTitle="Seleccione herramienta" prompt="Seleccione una opción de la lista o escriba otra herramienta si aplica." xr:uid="{F6F8C0F9-1204-4E32-8576-EEA0D7AE6665}">
          <x14:formula1>
            <xm:f>Listas!$D$21:$D$35</xm:f>
          </x14:formula1>
          <xm:sqref>C138</xm:sqref>
        </x14:dataValidation>
        <x14:dataValidation type="list" allowBlank="1" showInputMessage="1" showErrorMessage="1" promptTitle="Seleccione herramienta" prompt="Seleccione una opción de la lista o escriba otra herramienta si aplica." xr:uid="{E862B7CD-5E08-41C2-8BB7-3A4D854038E9}">
          <x14:formula1>
            <xm:f>Listas!$B$21:$B$35</xm:f>
          </x14:formula1>
          <xm:sqref>C137</xm:sqref>
        </x14:dataValidation>
        <x14:dataValidation type="list" allowBlank="1" showInputMessage="1" showErrorMessage="1" xr:uid="{ED863A5E-C0E1-4BF4-9A13-826E0D95B52E}">
          <x14:formula1>
            <xm:f>Listas!$J$45:$J$49</xm:f>
          </x14:formula1>
          <xm:sqref>C97:D97</xm:sqref>
        </x14:dataValidation>
        <x14:dataValidation type="list" allowBlank="1" showInputMessage="1" showErrorMessage="1" xr:uid="{ACE874C6-D2B4-4764-8C40-202ECD2A7FA3}">
          <x14:formula1>
            <xm:f>Listas!$H$45:$H$48</xm:f>
          </x14:formula1>
          <xm:sqref>C96:D96</xm:sqref>
        </x14:dataValidation>
        <x14:dataValidation type="list" allowBlank="1" showInputMessage="1" showErrorMessage="1" xr:uid="{CAB29D09-AFF8-4230-B7A4-9E1549FDC562}">
          <x14:formula1>
            <xm:f>Listas!$F$45:$F$52</xm:f>
          </x14:formula1>
          <xm:sqref>C93:D93</xm:sqref>
        </x14:dataValidation>
        <x14:dataValidation type="list" allowBlank="1" showInputMessage="1" showErrorMessage="1" xr:uid="{FA252B16-9BCA-461F-A251-838806864ACA}">
          <x14:formula1>
            <xm:f>Listas!$D$45:$D$49</xm:f>
          </x14:formula1>
          <xm:sqref>C92:D92</xm:sqref>
        </x14:dataValidation>
        <x14:dataValidation type="list" allowBlank="1" showInputMessage="1" showErrorMessage="1" xr:uid="{DF7EFB4A-701A-4E62-9067-C6C516A4A5B0}">
          <x14:formula1>
            <xm:f>Listas!$B$45:$B$48</xm:f>
          </x14:formula1>
          <xm:sqref>C91:D91</xm:sqref>
        </x14:dataValidation>
        <x14:dataValidation type="list" allowBlank="1" showInputMessage="1" showErrorMessage="1" xr:uid="{8D525CAF-4B80-4B32-8C54-0577F0D1252F}">
          <x14:formula1>
            <xm:f>Listas!$B$53:$B$58</xm:f>
          </x14:formula1>
          <xm:sqref>C132</xm:sqref>
        </x14:dataValidation>
        <x14:dataValidation type="list" allowBlank="1" showInputMessage="1" showErrorMessage="1" xr:uid="{EF03CF3B-3BF0-47CE-A74A-C488074F675C}">
          <x14:formula1>
            <xm:f>Listas!$B$12:$B$17</xm:f>
          </x14:formula1>
          <xm:sqref>C15</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B8DBD-F8B9-4A78-9F12-EEE653E2EF6F}">
  <sheetPr>
    <tabColor theme="0" tint="-0.249977111117893"/>
  </sheetPr>
  <dimension ref="A1"/>
  <sheetViews>
    <sheetView workbookViewId="0">
      <selection activeCell="I19" sqref="I19"/>
    </sheetView>
  </sheetViews>
  <sheetFormatPr baseColWidth="10" defaultColWidth="8.7265625" defaultRowHeight="14.5" x14ac:dyDescent="0.35"/>
  <sheetData>
    <row r="1" spans="1:1" x14ac:dyDescent="0.35">
      <c r="A1" t="s">
        <v>1339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24</vt:i4>
      </vt:variant>
    </vt:vector>
  </HeadingPairs>
  <TitlesOfParts>
    <vt:vector size="24" baseType="lpstr">
      <vt:lpstr>Control de Cambios</vt:lpstr>
      <vt:lpstr>Instrucciones</vt:lpstr>
      <vt:lpstr>Dashboard</vt:lpstr>
      <vt:lpstr>Graficas</vt:lpstr>
      <vt:lpstr>ChartData</vt:lpstr>
      <vt:lpstr>Listas</vt:lpstr>
      <vt:lpstr>Metricas bancolombia</vt:lpstr>
      <vt:lpstr>Metricas Sura</vt:lpstr>
      <vt:lpstr>Transcript Virginia &amp; Lina</vt:lpstr>
      <vt:lpstr>Analisis de FTE, Tickets, MTTR</vt:lpstr>
      <vt:lpstr>Automatizaciones</vt:lpstr>
      <vt:lpstr>AES</vt:lpstr>
      <vt:lpstr>SURA Cotizadores</vt:lpstr>
      <vt:lpstr>SURA Digital Venta</vt:lpstr>
      <vt:lpstr>SURA Automatizacion</vt:lpstr>
      <vt:lpstr>SURA Canales Masivos</vt:lpstr>
      <vt:lpstr>XM</vt:lpstr>
      <vt:lpstr>BCO COES Integracion</vt:lpstr>
      <vt:lpstr>BCO COES Datos</vt:lpstr>
      <vt:lpstr>BCO Soporte</vt:lpstr>
      <vt:lpstr>BCO COES Emma</vt:lpstr>
      <vt:lpstr>BCO Emma Iseries</vt:lpstr>
      <vt:lpstr>MEDICARTE</vt:lpstr>
      <vt:lpstr>Andres Posso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Natalia Zartha Suarez</cp:lastModifiedBy>
  <cp:revision>3</cp:revision>
  <dcterms:created xsi:type="dcterms:W3CDTF">2026-07-03T21:44:11Z</dcterms:created>
  <dcterms:modified xsi:type="dcterms:W3CDTF">2026-07-16T13:14:29Z</dcterms:modified>
  <cp:category/>
  <cp:contentStatus/>
</cp:coreProperties>
</file>