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ютий 2022" sheetId="1" r:id="rId4"/>
    <sheet state="visible" name="Січень 2022" sheetId="2" r:id="rId5"/>
    <sheet state="visible" name="Грудень 2021" sheetId="3" r:id="rId6"/>
    <sheet state="visible" name="Листопад 2021" sheetId="4" r:id="rId7"/>
    <sheet state="visible" name="Жовтень 2021" sheetId="5" r:id="rId8"/>
    <sheet state="visible" name="Вересень 2021" sheetId="6" r:id="rId9"/>
    <sheet state="visible" name="серпень 2021" sheetId="7" r:id="rId10"/>
    <sheet state="visible" name="липень 2021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5">
      <text>
        <t xml:space="preserve">4G модем для батька
	-Igor Pysanka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20">
      <text>
        <t xml:space="preserve">Нова пошта
	-Nataliia Pysanka</t>
      </text>
    </comment>
    <comment authorId="0" ref="C38">
      <text>
        <t xml:space="preserve">без урахування оплати за школу
	-Nataliia Pysanka</t>
      </text>
    </comment>
    <comment authorId="0" ref="H13">
      <text>
        <t xml:space="preserve">заміна скла
	-Nataliia Pysanka</t>
      </text>
    </comment>
    <comment authorId="0" ref="M29">
      <text>
        <t xml:space="preserve">кіно
	-Nataliia Pysanka</t>
      </text>
    </comment>
    <comment authorId="0" ref="K25">
      <text>
        <t xml:space="preserve">За телевізор
	-Nataliia Pysanka</t>
      </text>
    </comment>
    <comment authorId="0" ref="G25">
      <text>
        <t xml:space="preserve">Майстерклас
	-Nataliia Pysanka</t>
      </text>
    </comment>
    <comment authorId="0" ref="E25">
      <text>
        <t xml:space="preserve">Оренда в Чернівцях
	-Nataliia Pysanka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B24">
      <text>
        <t xml:space="preserve">Диагностика плити
	-Nataliia Pysanka</t>
      </text>
    </comment>
    <comment authorId="0" ref="W12">
      <text>
        <t xml:space="preserve">Заміна підшипників ступиць та підвісного підшипника
	-Igor Pysanka</t>
      </text>
    </comment>
    <comment authorId="0" ref="P28">
      <text>
        <t xml:space="preserve">Квитки в театр
	-Nataliia Pysanka</t>
      </text>
    </comment>
    <comment authorId="0" ref="O24">
      <text>
        <t xml:space="preserve">Доставка НП
	-Igor Pysanka</t>
      </text>
    </comment>
    <comment authorId="0" ref="N24">
      <text>
        <t xml:space="preserve">Доставка НП
	-Nataliia Pysanka</t>
      </text>
    </comment>
    <comment authorId="0" ref="I19">
      <text>
        <t xml:space="preserve">На телевізор в Лебедин
	-Nataliia Pysanka</t>
      </text>
    </comment>
    <comment authorId="0" ref="I28">
      <text>
        <t xml:space="preserve">Квіти та подарунок Аліні
	-Nataliia Pysanka</t>
      </text>
    </comment>
    <comment authorId="0" ref="I24">
      <text>
        <t xml:space="preserve">Листівки
	-Nataliia Pysanka</t>
      </text>
    </comment>
    <comment authorId="0" ref="H24">
      <text>
        <t xml:space="preserve">Омивач
	-Igor Pysanka</t>
      </text>
    </comment>
    <comment authorId="0" ref="G7">
      <text>
        <t xml:space="preserve">Головоломки на др Саші
	-Nataliia Pysanka</t>
      </text>
    </comment>
    <comment authorId="0" ref="G24">
      <text>
        <t xml:space="preserve">Парковка
	-Igor Pysanka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35">
      <text>
        <t xml:space="preserve">Різка дерев
	-Nataliia Pysanka</t>
      </text>
    </comment>
    <comment authorId="0" ref="AF24">
      <text>
        <t xml:space="preserve">Мийка
	-Nataliia Pysanka</t>
      </text>
    </comment>
    <comment authorId="0" ref="AF5">
      <text>
        <t xml:space="preserve">Сумка і гаманець
	-Igor Pysanka</t>
      </text>
    </comment>
    <comment authorId="0" ref="AD35">
      <text>
        <t xml:space="preserve">За дерева
	-Nataliia Pysanka</t>
      </text>
    </comment>
    <comment authorId="0" ref="AD24">
      <text>
        <t xml:space="preserve">English
	-Nataliia Pysanka</t>
      </text>
    </comment>
    <comment authorId="0" ref="Z28">
      <text>
        <t xml:space="preserve">Оренда в Чернівцях
	-Nataliia Pysanka</t>
      </text>
    </comment>
    <comment authorId="0" ref="U32">
      <text>
        <t xml:space="preserve">Монтаж бойлера
	-Nataliia Pysanka</t>
      </text>
    </comment>
    <comment authorId="0" ref="U29">
      <text>
        <t xml:space="preserve">Интернет
	-Igor Pysanka</t>
      </text>
    </comment>
    <comment authorId="0" ref="Q29">
      <text>
        <t xml:space="preserve">Корм котіку
	-Nataliia Pysanka</t>
      </text>
    </comment>
    <comment authorId="0" ref="N35">
      <text>
        <t xml:space="preserve">Аванс за зпилювання
	-Nataliia Pysanka</t>
      </text>
    </comment>
    <comment authorId="0" ref="M8">
      <text>
        <t xml:space="preserve">Косметолог (пілінг, масаж, маска) + масаж
	-Nataliia Pysanka</t>
      </text>
    </comment>
    <comment authorId="0" ref="M27">
      <text>
        <t xml:space="preserve">Топікрем
	-Nataliia Pysanka</t>
      </text>
    </comment>
    <comment authorId="0" ref="L18">
      <text>
        <t xml:space="preserve">Аваст
	-Nataliia Pysanka</t>
      </text>
    </comment>
    <comment authorId="0" ref="H5">
      <text>
        <t xml:space="preserve">Піжама Максу
	-Nataliia Pysanka</t>
      </text>
    </comment>
    <comment authorId="0" ref="G26">
      <text>
        <t xml:space="preserve">Басейн 03.11-29.11
	-Nataliia Pysanka</t>
      </text>
    </comment>
    <comment authorId="0" ref="H8">
      <text>
        <t xml:space="preserve">Лазерна епіляція
	-Nataliia Pysanka</t>
      </text>
    </comment>
    <comment authorId="0" ref="G5">
      <text>
        <t xml:space="preserve">взуття Максу
	-Nataliia Pysanka</t>
      </text>
    </comment>
    <comment authorId="0" ref="G10">
      <text>
        <t xml:space="preserve">гель для прання
	-Nataliia Pysanka</t>
      </text>
    </comment>
    <comment authorId="0" ref="G24">
      <text>
        <t xml:space="preserve">speaking club
	-Nataliia Pysanka</t>
      </text>
    </comment>
    <comment authorId="0" ref="F7">
      <text>
        <t xml:space="preserve">Подарунок на др для Анюти
	-Nataliia Pysanka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10">
      <text>
        <t xml:space="preserve">вафельниця
	-Nataliia Pysanka</t>
      </text>
    </comment>
    <comment authorId="0" ref="AC10">
      <text>
        <t xml:space="preserve">Лавова лампа
	-Nataliia Pysanka</t>
      </text>
    </comment>
    <comment authorId="0" ref="Z10">
      <text>
        <t xml:space="preserve">Сміття
	-Nataliia Pysanka</t>
      </text>
    </comment>
    <comment authorId="0" ref="U19">
      <text>
        <t xml:space="preserve">Консультація слюсара
	-Nataliia Pysanka</t>
      </text>
    </comment>
    <comment authorId="0" ref="O8">
      <text>
        <t xml:space="preserve">Масаж
	-Nataliia Pysanka</t>
      </text>
    </comment>
    <comment authorId="0" ref="O28">
      <text>
        <t xml:space="preserve">Аванс ДР
	-Nataliia Pysanka</t>
      </text>
    </comment>
    <comment authorId="0" ref="J29">
      <text>
        <t xml:space="preserve">Забор
	-Nataliia Pysanka</t>
      </text>
    </comment>
    <comment authorId="0" ref="G12">
      <text>
        <t xml:space="preserve">Колеса
	-Igor Pysanka</t>
      </text>
    </comment>
    <comment authorId="0" ref="F24">
      <text>
        <t xml:space="preserve">Таблетки
	-Igor Pysanka</t>
      </text>
    </comment>
    <comment authorId="0" ref="D24">
      <text>
        <t xml:space="preserve">Батарейка
	-Nataliia Pysanka</t>
      </text>
    </comment>
    <comment authorId="0" ref="C8">
      <text>
        <t xml:space="preserve">Барбершоп БОРОДАЧ
	-Igor Pysanka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26">
      <text>
        <t xml:space="preserve">hiit works 3 monthes
	-Nataliia Pysanka</t>
      </text>
    </comment>
    <comment authorId="0" ref="AE26">
      <text>
        <t xml:space="preserve">Функц. тестування
	-Nataliia Pysanka
_Позначено як завершене_
	-Igor Pysanka
_Відкрито знову_
	-Nataliia Pysanka</t>
      </text>
    </comment>
    <comment authorId="0" ref="Z2">
      <text>
        <t xml:space="preserve">300 - посилка для бабушки
	-Nataliia Pysanka
_Позначено як завершене_
	-Igor Pysanka
_Відкрито знову_
	-Nataliia Pysanka</t>
      </text>
    </comment>
    <comment authorId="0" ref="Z31">
      <text>
        <t xml:space="preserve">Передплата групм
	-Nataliia Pysanka
_Позначено як завершене_
	-Igor Pysanka
_Відкрито знову_
	-Nataliia Pysanka</t>
      </text>
    </comment>
    <comment authorId="0" ref="Z12">
      <text>
        <t xml:space="preserve">Коврики
	-Igor Pysanka
_Позначено як завершене_
	-Igor Pysanka
_Відкрито знову_
	-Nataliia Pysanka</t>
      </text>
    </comment>
    <comment authorId="0" ref="X5">
      <text>
        <t xml:space="preserve">Ласти
	-Nataliia Pysanka
_Позначено як завершене_
	-Igor Pysanka
_Відкрито знову_
	-Nataliia Pysanka</t>
      </text>
    </comment>
    <comment authorId="0" ref="S8">
      <text>
        <t xml:space="preserve">Манікюр
	-Nataliia Pysanka
_Позначено як завершене_
	-Igor Pysanka
_Відкрито знову_
	-Nataliia Pysanka</t>
      </text>
    </comment>
    <comment authorId="0" ref="P24">
      <text>
        <t xml:space="preserve">За ремонт сережок
	-Igor Pysanka
_Позначено як завершене_
	-Igor Pysanka
_Відкрито знову_
	-Nataliia Pysanka</t>
      </text>
    </comment>
    <comment authorId="0" ref="N14">
      <text>
        <t xml:space="preserve">Горщики, юкка, вимикач світла, омивашка, жуйка
	-Nataliia Pysanka
_Позначено як завершене_
	-Igor Pysanka
_Відкрито знову_
	-Nataliia Pysanka</t>
      </text>
    </comment>
    <comment authorId="0" ref="J24">
      <text>
        <t xml:space="preserve">Доставка НП
	-Nataliia Pysanka
_Позначено як завершене_
	-Igor Pysanka
_Відкрито знову_
	-Nataliia Pysanka</t>
      </text>
    </comment>
    <comment authorId="0" ref="J3">
      <text>
        <t xml:space="preserve">Самокат+карта+50 поїздок
	-Nataliia Pysanka
_Позначено як завершене_
	-Igor Pysanka
_Відкрито знову_
	-Nataliia Pysanka</t>
      </text>
    </comment>
    <comment authorId="0" ref="F8">
      <text>
        <t xml:space="preserve">Лінзи
	-Nataliia Pysanka
_Позначено як завершене_
	-Igor Pysanka
_Відкрито знову_
	-Nataliia Pysanka</t>
      </text>
    </comment>
    <comment authorId="0" ref="F15">
      <text>
        <t xml:space="preserve">Корм коту
	-Nataliia Pysanka
_Позначено як завершене_
	-Igor Pysanka
_Відкрито знову_
	-Nataliia Pysanka</t>
      </text>
    </comment>
    <comment authorId="0" ref="F24">
      <text>
        <t xml:space="preserve">Тренування
	-Nataliia Pysanka
_Позначено як завершене_
	-Igor Pysanka
_Відкрито знову_
	-Nataliia Pysanka</t>
      </text>
    </comment>
    <comment authorId="0" ref="E3">
      <text>
        <t xml:space="preserve">Самокат
	-Nataliia Pysanka
_Позначено як завершене_
	-Igor Pysanka
_Відкрито знову_
	-Nataliia Pysanka</t>
      </text>
    </comment>
    <comment authorId="0" ref="D25">
      <text>
        <t xml:space="preserve">Обіди
	-Nataliia Pysanka
_Позначено як завершене_
	-Igor Pysanka
_Відкрито знову_
	-Nataliia Pysanka</t>
      </text>
    </comment>
    <comment authorId="0" ref="C24">
      <text>
        <t xml:space="preserve">Квіти
	-Nataliia Pysanka
_Позначено як завершене_
	-Igor Pysanka
_Відкрито знову_
	-Nataliia Pysanka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20">
      <text>
        <t xml:space="preserve">Бізнес зал Бориспіль
	-Nataliia Pysanka</t>
      </text>
    </comment>
    <comment authorId="0" ref="AF26">
      <text>
        <t xml:space="preserve">Museum Marmaris
	-Nataliia Pysanka</t>
      </text>
    </comment>
    <comment authorId="0" ref="AG4">
      <text>
        <t xml:space="preserve">McDonalds Dalaman
	-Nataliia Pysanka</t>
      </text>
    </comment>
    <comment authorId="0" ref="Y24">
      <text>
        <t xml:space="preserve">Розчин для лінз, ліки
	-Nataliia Pysanka</t>
      </text>
    </comment>
    <comment authorId="0" ref="X24">
      <text>
        <t xml:space="preserve">Максу за зуб
	-Nataliia Pysanka</t>
      </text>
    </comment>
    <comment authorId="0" ref="W24">
      <text>
        <t xml:space="preserve">Подарок маме
	-Igor Pysanka</t>
      </text>
    </comment>
    <comment authorId="0" ref="V21">
      <text>
        <t xml:space="preserve">YouTube Premium
	-Igor Pysanka</t>
      </text>
    </comment>
    <comment authorId="0" ref="U24">
      <text>
        <t xml:space="preserve">Доставка НП
	-Nataliia Pysanka</t>
      </text>
    </comment>
    <comment authorId="0" ref="U26">
      <text>
        <t xml:space="preserve">Забіг 10 км уклон
	-Nataliia Pysanka</t>
      </text>
    </comment>
    <comment authorId="0" ref="T5">
      <text>
        <t xml:space="preserve">Одяг+сумка-бананка
	-Nataliia Pysanka</t>
      </text>
    </comment>
    <comment authorId="0" ref="T8">
      <text>
        <t xml:space="preserve">Косметика
	-Nataliia Pysanka</t>
      </text>
    </comment>
    <comment authorId="0" ref="M19">
      <text>
        <t xml:space="preserve">ЖЕК
	-Nataliia Pysanka</t>
      </text>
    </comment>
    <comment authorId="0" ref="M24">
      <text>
        <t xml:space="preserve">Маточное стадо улитки
	-Igor Pysanka</t>
      </text>
    </comment>
    <comment authorId="0" ref="M21">
      <text>
        <t xml:space="preserve">Пополнение маме
	-Igor Pysanka</t>
      </text>
    </comment>
    <comment authorId="0" ref="J21">
      <text>
        <t xml:space="preserve">Пополнение папе
	-Igor Pysanka</t>
      </text>
    </comment>
    <comment authorId="0" ref="K24">
      <text>
        <t xml:space="preserve">Оплата за тулу по планированию TickTick
	-Igor Pysanka</t>
      </text>
    </comment>
    <comment authorId="0" ref="L29">
      <text>
        <t xml:space="preserve">Массаж
	-Igor Pysanka</t>
      </text>
    </comment>
    <comment authorId="0" ref="L8">
      <text>
        <t xml:space="preserve">Брови, вії
	-Nataliia Pysanka</t>
      </text>
    </comment>
  </commentList>
</comments>
</file>

<file path=xl/sharedStrings.xml><?xml version="1.0" encoding="utf-8"?>
<sst xmlns="http://schemas.openxmlformats.org/spreadsheetml/2006/main" count="290" uniqueCount="43">
  <si>
    <t>Категорії</t>
  </si>
  <si>
    <t>витрачено</t>
  </si>
  <si>
    <t>План</t>
  </si>
  <si>
    <t>Залишок</t>
  </si>
  <si>
    <t>Продукти</t>
  </si>
  <si>
    <t>Проїзд</t>
  </si>
  <si>
    <t>Доставка</t>
  </si>
  <si>
    <t>Кафе</t>
  </si>
  <si>
    <t>Одяг</t>
  </si>
  <si>
    <t>книги</t>
  </si>
  <si>
    <t>Іграшки</t>
  </si>
  <si>
    <t>Краса</t>
  </si>
  <si>
    <t>Канцелярія</t>
  </si>
  <si>
    <t>Побутові товари</t>
  </si>
  <si>
    <t>Бензин</t>
  </si>
  <si>
    <t>ТО авто</t>
  </si>
  <si>
    <t>Штрафи</t>
  </si>
  <si>
    <t>Епіцентр</t>
  </si>
  <si>
    <t>Мама</t>
  </si>
  <si>
    <t>прибирання</t>
  </si>
  <si>
    <t>iHerb</t>
  </si>
  <si>
    <t>Інтернет</t>
  </si>
  <si>
    <t xml:space="preserve">Для дому </t>
  </si>
  <si>
    <t>vodafon, netflix</t>
  </si>
  <si>
    <t>Сонячні панелі</t>
  </si>
  <si>
    <t>Квитки</t>
  </si>
  <si>
    <t>Аналізи</t>
  </si>
  <si>
    <t>Інше</t>
  </si>
  <si>
    <t>Школа</t>
  </si>
  <si>
    <t>Тренування</t>
  </si>
  <si>
    <t>Лікування</t>
  </si>
  <si>
    <t>Розваги</t>
  </si>
  <si>
    <t xml:space="preserve">Вільшани </t>
  </si>
  <si>
    <t>Вода</t>
  </si>
  <si>
    <t>Терапія</t>
  </si>
  <si>
    <t>Квартира</t>
  </si>
  <si>
    <t>Теплиця</t>
  </si>
  <si>
    <t>Навчання</t>
  </si>
  <si>
    <t>Мазінки</t>
  </si>
  <si>
    <t>В день</t>
  </si>
  <si>
    <t>Усього</t>
  </si>
  <si>
    <t>Квитки жд</t>
  </si>
  <si>
    <t>манікюр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</si>
</sst>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.&quot;mm"/>
    <numFmt numFmtId="165" formatCode="dd.mm.yyyy"/>
    <numFmt numFmtId="166" formatCode="dd/mm"/>
  </numFmts>
  <fonts count="14">
    <font>
      <sz val="10.0"/>
      <color rgb="FF000000"/>
      <name val="Arial"/>
    </font>
    <font>
      <b/>
      <color theme="1"/>
      <name val="Verdana"/>
    </font>
    <font>
      <b/>
      <sz val="8.0"/>
      <color theme="1"/>
      <name val="Verdana"/>
    </font>
    <font>
      <color theme="1"/>
      <name val="Verdana"/>
    </font>
    <font>
      <sz val="8.0"/>
      <color rgb="FF6D9EEB"/>
      <name val="Verdana"/>
    </font>
    <font>
      <sz val="8.0"/>
      <color theme="1"/>
      <name val="Verdana"/>
    </font>
    <font>
      <sz val="10.0"/>
      <color theme="1"/>
      <name val="Verdana"/>
    </font>
    <font>
      <sz val="8.0"/>
      <color rgb="FF5B95F9"/>
      <name val="Verdana"/>
    </font>
    <font>
      <color theme="4"/>
      <name val="Verdana"/>
    </font>
    <font>
      <sz val="8.0"/>
      <color theme="4"/>
      <name val="Verdana"/>
    </font>
    <font>
      <u/>
      <sz val="8.0"/>
      <color theme="1"/>
      <name val="Verdana"/>
    </font>
    <font>
      <sz val="8.0"/>
      <color rgb="FF8A6D3B"/>
      <name val="DINProRegular"/>
    </font>
    <font>
      <b/>
      <sz val="10.0"/>
      <color theme="1"/>
      <name val="Verdana"/>
    </font>
    <font>
      <sz val="10.0"/>
      <color rgb="FF8A6D3B"/>
      <name val="DINProRegular"/>
    </font>
  </fonts>
  <fills count="7">
    <fill>
      <patternFill patternType="none"/>
    </fill>
    <fill>
      <patternFill patternType="lightGray"/>
    </fill>
    <fill>
      <patternFill patternType="solid">
        <fgColor rgb="FFE8F0FE"/>
        <bgColor rgb="FFE8F0FE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5B95F9"/>
        <bgColor rgb="FF5B95F9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6" numFmtId="0" xfId="0" applyAlignment="1" applyFill="1" applyFont="1">
      <alignment readingOrder="0"/>
    </xf>
    <xf borderId="2" fillId="3" fontId="4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2" fillId="2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2" fillId="3" fontId="7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1" numFmtId="0" xfId="0" applyFont="1"/>
    <xf borderId="2" fillId="4" fontId="5" numFmtId="0" xfId="0" applyBorder="1" applyFill="1" applyFont="1"/>
    <xf borderId="0" fillId="4" fontId="4" numFmtId="0" xfId="0" applyAlignment="1" applyFont="1">
      <alignment readingOrder="0"/>
    </xf>
    <xf borderId="0" fillId="4" fontId="5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2" fillId="0" fontId="4" numFmtId="0" xfId="0" applyBorder="1" applyFont="1"/>
    <xf borderId="0" fillId="0" fontId="1" numFmtId="0" xfId="0" applyAlignment="1" applyFont="1">
      <alignment readingOrder="0"/>
    </xf>
    <xf borderId="0" fillId="2" fontId="1" numFmtId="0" xfId="0" applyFont="1"/>
    <xf borderId="2" fillId="0" fontId="1" numFmtId="0" xfId="0" applyBorder="1" applyFont="1"/>
    <xf borderId="0" fillId="0" fontId="3" numFmtId="0" xfId="0" applyFont="1"/>
    <xf borderId="2" fillId="0" fontId="3" numFmtId="0" xfId="0" applyBorder="1" applyFont="1"/>
    <xf borderId="0" fillId="0" fontId="3" numFmtId="0" xfId="0" applyFont="1"/>
    <xf borderId="3" fillId="0" fontId="3" numFmtId="0" xfId="0" applyBorder="1" applyFon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8" numFmtId="0" xfId="0" applyAlignment="1" applyFont="1">
      <alignment readingOrder="0"/>
    </xf>
    <xf borderId="2" fillId="4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2" fontId="5" numFmtId="0" xfId="0" applyAlignment="1" applyFont="1">
      <alignment readingOrder="0"/>
    </xf>
    <xf borderId="0" fillId="2" fontId="5" numFmtId="0" xfId="0" applyFont="1"/>
    <xf borderId="0" fillId="2" fontId="5" numFmtId="0" xfId="0" applyAlignment="1" applyFont="1">
      <alignment readingOrder="0"/>
    </xf>
    <xf borderId="0" fillId="3" fontId="5" numFmtId="0" xfId="0" applyFont="1"/>
    <xf borderId="0" fillId="2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2" fontId="1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5" fontId="1" numFmtId="164" xfId="0" applyAlignment="1" applyFill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6" numFmtId="0" xfId="0" applyAlignment="1" applyFont="1">
      <alignment readingOrder="0"/>
    </xf>
    <xf borderId="0" fillId="2" fontId="6" numFmtId="0" xfId="0" applyFont="1"/>
    <xf borderId="0" fillId="2" fontId="6" numFmtId="0" xfId="0" applyAlignment="1" applyFont="1">
      <alignment readingOrder="0"/>
    </xf>
    <xf borderId="0" fillId="3" fontId="6" numFmtId="0" xfId="0" applyFont="1"/>
    <xf borderId="0" fillId="2" fontId="6" numFmtId="0" xfId="0" applyFont="1"/>
    <xf borderId="0" fillId="0" fontId="12" numFmtId="0" xfId="0" applyFont="1"/>
    <xf borderId="0" fillId="2" fontId="13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6" xfId="0" applyAlignment="1" applyFont="1" applyNumberFormat="1">
      <alignment readingOrder="0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8">
    <tableStyle count="3" pivot="0" name="Лютий 2022-style">
      <tableStyleElement dxfId="2" type="headerRow"/>
      <tableStyleElement dxfId="3" type="firstRowStripe"/>
      <tableStyleElement dxfId="4" type="secondRowStripe"/>
    </tableStyle>
    <tableStyle count="3" pivot="0" name="Січень 2022-style">
      <tableStyleElement dxfId="2" type="headerRow"/>
      <tableStyleElement dxfId="3" type="firstRowStripe"/>
      <tableStyleElement dxfId="4" type="secondRowStripe"/>
    </tableStyle>
    <tableStyle count="3" pivot="0" name="Грудень 2021-style">
      <tableStyleElement dxfId="2" type="headerRow"/>
      <tableStyleElement dxfId="3" type="firstRowStripe"/>
      <tableStyleElement dxfId="4" type="secondRowStripe"/>
    </tableStyle>
    <tableStyle count="3" pivot="0" name="Листопад 2021-style">
      <tableStyleElement dxfId="2" type="headerRow"/>
      <tableStyleElement dxfId="3" type="firstRowStripe"/>
      <tableStyleElement dxfId="4" type="secondRowStripe"/>
    </tableStyle>
    <tableStyle count="3" pivot="0" name="Жовтень 2021-style">
      <tableStyleElement dxfId="2" type="headerRow"/>
      <tableStyleElement dxfId="3" type="firstRowStripe"/>
      <tableStyleElement dxfId="4" type="secondRowStripe"/>
    </tableStyle>
    <tableStyle count="3" pivot="0" name="Вересень 2021-style">
      <tableStyleElement dxfId="2" type="headerRow"/>
      <tableStyleElement dxfId="3" type="firstRowStripe"/>
      <tableStyleElement dxfId="4" type="secondRowStripe"/>
    </tableStyle>
    <tableStyle count="3" pivot="0" name="серпень 2021-style">
      <tableStyleElement dxfId="2" type="headerRow"/>
      <tableStyleElement dxfId="3" type="firstRowStripe"/>
      <tableStyleElement dxfId="4" type="secondRowStripe"/>
    </tableStyle>
    <tableStyle count="3" pivot="0" name="липень 202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'Лютий 2022'!$B$1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'Лютий 2022'!$A$2:$A$37</c:f>
            </c:strRef>
          </c:cat>
          <c:val>
            <c:numRef>
              <c:f>'Лютий 2022'!$B$2:$B$37</c:f>
              <c:numCache/>
            </c:numRef>
          </c:val>
        </c:ser>
        <c:axId val="1592971226"/>
        <c:axId val="311636627"/>
      </c:barChart>
      <c:catAx>
        <c:axId val="1592971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311636627"/>
      </c:catAx>
      <c:valAx>
        <c:axId val="311636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159297122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'Січень 2022'!$B$1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'Січень 2022'!$A$2:$A$37</c:f>
            </c:strRef>
          </c:cat>
          <c:val>
            <c:numRef>
              <c:f>'Січень 2022'!$B$2:$B$37</c:f>
              <c:numCache/>
            </c:numRef>
          </c:val>
        </c:ser>
        <c:axId val="892155245"/>
        <c:axId val="550095267"/>
      </c:barChart>
      <c:catAx>
        <c:axId val="892155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550095267"/>
      </c:catAx>
      <c:valAx>
        <c:axId val="550095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89215524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'Грудень 2021'!$B$1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'Грудень 2021'!$A$2:$A$35</c:f>
            </c:strRef>
          </c:cat>
          <c:val>
            <c:numRef>
              <c:f>'Грудень 2021'!$B$2:$B$35</c:f>
              <c:numCache/>
            </c:numRef>
          </c:val>
        </c:ser>
        <c:axId val="2136834141"/>
        <c:axId val="1057174298"/>
      </c:barChart>
      <c:catAx>
        <c:axId val="2136834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057174298"/>
      </c:catAx>
      <c:valAx>
        <c:axId val="1057174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213683414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'Листопад 2021'!$B$1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'Листопад 2021'!$A$2:$A$35</c:f>
            </c:strRef>
          </c:cat>
          <c:val>
            <c:numRef>
              <c:f>'Листопад 2021'!$B$2:$B$35</c:f>
              <c:numCache/>
            </c:numRef>
          </c:val>
        </c:ser>
        <c:axId val="837902162"/>
        <c:axId val="184331136"/>
      </c:barChart>
      <c:catAx>
        <c:axId val="837902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84331136"/>
      </c:catAx>
      <c:valAx>
        <c:axId val="184331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83790216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'Жовтень 2021'!$B$1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'Жовтень 2021'!$A$2:$A$34</c:f>
            </c:strRef>
          </c:cat>
          <c:val>
            <c:numRef>
              <c:f>'Жовтень 2021'!$B$2:$B$34</c:f>
              <c:numCache/>
            </c:numRef>
          </c:val>
        </c:ser>
        <c:axId val="1999623753"/>
        <c:axId val="1605471983"/>
      </c:barChart>
      <c:catAx>
        <c:axId val="1999623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605471983"/>
      </c:catAx>
      <c:valAx>
        <c:axId val="1605471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199962375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'Вересень 2021'!$B$1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'Вересень 2021'!$A$2:$A$32</c:f>
            </c:strRef>
          </c:cat>
          <c:val>
            <c:numRef>
              <c:f>'Вересень 2021'!$B$2:$B$32</c:f>
              <c:numCache/>
            </c:numRef>
          </c:val>
        </c:ser>
        <c:axId val="1054045048"/>
        <c:axId val="255618186"/>
      </c:barChart>
      <c:catAx>
        <c:axId val="105404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255618186"/>
      </c:catAx>
      <c:valAx>
        <c:axId val="255618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105404504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'серпень 2021'!$B$1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'серпень 2021'!$A$2:$A$30</c:f>
            </c:strRef>
          </c:cat>
          <c:val>
            <c:numRef>
              <c:f>'серпень 2021'!$B$2:$B$30</c:f>
              <c:numCache/>
            </c:numRef>
          </c:val>
        </c:ser>
        <c:axId val="1406846645"/>
        <c:axId val="1100945666"/>
      </c:barChart>
      <c:catAx>
        <c:axId val="1406846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100945666"/>
      </c:catAx>
      <c:valAx>
        <c:axId val="1100945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140684664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Витрачено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'липень 2021'!$B$1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'липень 2021'!$A$2:$A$21</c:f>
            </c:strRef>
          </c:cat>
          <c:val>
            <c:numRef>
              <c:f>'липень 2021'!$B$2:$B$21</c:f>
              <c:numCache/>
            </c:numRef>
          </c:val>
        </c:ser>
        <c:axId val="557010585"/>
        <c:axId val="1500381454"/>
      </c:barChart>
      <c:catAx>
        <c:axId val="557010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Категорії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500381454"/>
      </c:catAx>
      <c:valAx>
        <c:axId val="1500381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витрачено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sans-serif"/>
              </a:defRPr>
            </a:pPr>
          </a:p>
        </c:txPr>
        <c:crossAx val="55701058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38</xdr:row>
      <xdr:rowOff>190500</xdr:rowOff>
    </xdr:from>
    <xdr:ext cx="8296275" cy="45053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38</xdr:row>
      <xdr:rowOff>190500</xdr:rowOff>
    </xdr:from>
    <xdr:ext cx="8296275" cy="45053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37</xdr:row>
      <xdr:rowOff>190500</xdr:rowOff>
    </xdr:from>
    <xdr:ext cx="8296275" cy="45053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37</xdr:row>
      <xdr:rowOff>190500</xdr:rowOff>
    </xdr:from>
    <xdr:ext cx="8296275" cy="45053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36</xdr:row>
      <xdr:rowOff>190500</xdr:rowOff>
    </xdr:from>
    <xdr:ext cx="8296275" cy="45053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34</xdr:row>
      <xdr:rowOff>190500</xdr:rowOff>
    </xdr:from>
    <xdr:ext cx="8296275" cy="45053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32</xdr:row>
      <xdr:rowOff>190500</xdr:rowOff>
    </xdr:from>
    <xdr:ext cx="8296275" cy="45053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24</xdr:row>
      <xdr:rowOff>47625</xdr:rowOff>
    </xdr:from>
    <xdr:ext cx="8296275" cy="44481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F39" display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Лютий 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I39" displayName="Table_2" id="2">
  <tableColumns count="3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Січень 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I38" displayName="Table_3" id="3">
  <tableColumns count="3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Грудень 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H38" displayName="Table_4" id="4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Листопад 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G37" displayName="Table_5" id="5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Жовтень 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AF35" displayName="Table_6" id="6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Вересень 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AG33" displayName="Table_7" id="7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серпень 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O24" displayName="Table_8" id="8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липень 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9.86"/>
    <col customWidth="1" min="3" max="3" width="7.0"/>
    <col customWidth="1" min="4" max="4" width="8.29"/>
    <col customWidth="1" min="5" max="32" width="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>
        <v>44593.0</v>
      </c>
      <c r="F1" s="4">
        <v>44594.0</v>
      </c>
      <c r="G1" s="4">
        <v>44595.0</v>
      </c>
      <c r="H1" s="4">
        <v>44596.0</v>
      </c>
      <c r="I1" s="4">
        <v>44597.0</v>
      </c>
      <c r="J1" s="4">
        <v>44598.0</v>
      </c>
      <c r="K1" s="4">
        <v>44599.0</v>
      </c>
      <c r="L1" s="4">
        <v>44600.0</v>
      </c>
      <c r="M1" s="4">
        <v>44601.0</v>
      </c>
      <c r="N1" s="4">
        <v>44602.0</v>
      </c>
      <c r="O1" s="4">
        <v>44603.0</v>
      </c>
      <c r="P1" s="4">
        <v>44604.0</v>
      </c>
      <c r="Q1" s="4">
        <v>44605.0</v>
      </c>
      <c r="R1" s="4">
        <v>44606.0</v>
      </c>
      <c r="S1" s="4">
        <v>44607.0</v>
      </c>
      <c r="T1" s="4">
        <v>44608.0</v>
      </c>
      <c r="U1" s="4">
        <v>44609.0</v>
      </c>
      <c r="V1" s="4">
        <v>44610.0</v>
      </c>
      <c r="W1" s="4">
        <v>44611.0</v>
      </c>
      <c r="X1" s="4">
        <v>44612.0</v>
      </c>
      <c r="Y1" s="4">
        <v>44613.0</v>
      </c>
      <c r="Z1" s="4">
        <v>44614.0</v>
      </c>
      <c r="AA1" s="4">
        <v>44615.0</v>
      </c>
      <c r="AB1" s="4">
        <v>44616.0</v>
      </c>
      <c r="AC1" s="4">
        <v>44617.0</v>
      </c>
      <c r="AD1" s="4">
        <v>44618.0</v>
      </c>
      <c r="AE1" s="4">
        <v>44619.0</v>
      </c>
      <c r="AF1" s="4">
        <v>44620.0</v>
      </c>
    </row>
    <row r="2">
      <c r="A2" s="5" t="s">
        <v>4</v>
      </c>
      <c r="B2" s="5">
        <f t="shared" ref="B2:B36" si="1">sum(E2:AF2)</f>
        <v>230.9</v>
      </c>
      <c r="C2" s="6">
        <v>12000.0</v>
      </c>
      <c r="D2" s="7">
        <f t="shared" ref="D2:D36" si="2">C2-B2</f>
        <v>11769.1</v>
      </c>
      <c r="E2" s="8">
        <f>195.9</f>
        <v>195.9</v>
      </c>
      <c r="F2" s="8">
        <f>35</f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>
      <c r="A3" s="9" t="s">
        <v>5</v>
      </c>
      <c r="B3" s="5">
        <f t="shared" si="1"/>
        <v>0</v>
      </c>
      <c r="C3" s="6">
        <v>600.0</v>
      </c>
      <c r="D3" s="7">
        <f t="shared" si="2"/>
        <v>600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>
      <c r="A4" s="10" t="s">
        <v>6</v>
      </c>
      <c r="B4" s="5">
        <f t="shared" si="1"/>
        <v>186</v>
      </c>
      <c r="C4" s="11">
        <v>300.0</v>
      </c>
      <c r="D4" s="7">
        <f t="shared" si="2"/>
        <v>114</v>
      </c>
      <c r="E4" s="8"/>
      <c r="F4" s="8">
        <f>12+57+60+57</f>
        <v>186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>
      <c r="A5" s="5" t="s">
        <v>7</v>
      </c>
      <c r="B5" s="5">
        <f t="shared" si="1"/>
        <v>367</v>
      </c>
      <c r="C5" s="6">
        <v>5000.0</v>
      </c>
      <c r="D5" s="7">
        <f t="shared" si="2"/>
        <v>4633</v>
      </c>
      <c r="E5" s="8">
        <v>107.0</v>
      </c>
      <c r="F5" s="8">
        <v>260.0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>
      <c r="A6" s="12" t="s">
        <v>8</v>
      </c>
      <c r="B6" s="5">
        <f t="shared" si="1"/>
        <v>400</v>
      </c>
      <c r="C6" s="6">
        <v>3000.0</v>
      </c>
      <c r="D6" s="7">
        <f t="shared" si="2"/>
        <v>2600</v>
      </c>
      <c r="E6" s="8">
        <v>400.0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>
      <c r="A7" s="9" t="s">
        <v>9</v>
      </c>
      <c r="B7" s="9">
        <f t="shared" si="1"/>
        <v>0</v>
      </c>
      <c r="C7" s="13">
        <v>500.0</v>
      </c>
      <c r="D7" s="14">
        <f t="shared" si="2"/>
        <v>500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>
      <c r="A8" s="12" t="s">
        <v>10</v>
      </c>
      <c r="B8" s="5">
        <f t="shared" si="1"/>
        <v>0</v>
      </c>
      <c r="C8" s="6">
        <v>1000.0</v>
      </c>
      <c r="D8" s="7">
        <f t="shared" si="2"/>
        <v>1000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>
      <c r="A9" s="5" t="s">
        <v>11</v>
      </c>
      <c r="B9" s="5">
        <f t="shared" si="1"/>
        <v>1730</v>
      </c>
      <c r="C9" s="6">
        <v>5000.0</v>
      </c>
      <c r="D9" s="7">
        <f t="shared" si="2"/>
        <v>3270</v>
      </c>
      <c r="E9" s="8">
        <v>1080.0</v>
      </c>
      <c r="F9" s="8">
        <v>650.0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>
      <c r="A10" s="12" t="s">
        <v>12</v>
      </c>
      <c r="B10" s="5">
        <f t="shared" si="1"/>
        <v>71.6</v>
      </c>
      <c r="C10" s="6">
        <v>400.0</v>
      </c>
      <c r="D10" s="7">
        <f t="shared" si="2"/>
        <v>328.4</v>
      </c>
      <c r="E10" s="8">
        <f>71.6</f>
        <v>71.6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>
      <c r="A11" s="5" t="s">
        <v>13</v>
      </c>
      <c r="B11" s="5">
        <f t="shared" si="1"/>
        <v>0</v>
      </c>
      <c r="C11" s="6">
        <v>1700.0</v>
      </c>
      <c r="D11" s="7">
        <f t="shared" si="2"/>
        <v>1700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>
      <c r="A12" s="12" t="s">
        <v>14</v>
      </c>
      <c r="B12" s="5">
        <f t="shared" si="1"/>
        <v>0</v>
      </c>
      <c r="C12" s="6">
        <v>4000.0</v>
      </c>
      <c r="D12" s="7">
        <f t="shared" si="2"/>
        <v>4000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>
      <c r="A13" s="5" t="s">
        <v>15</v>
      </c>
      <c r="B13" s="5">
        <f t="shared" si="1"/>
        <v>0</v>
      </c>
      <c r="C13" s="6">
        <v>3000.0</v>
      </c>
      <c r="D13" s="7">
        <f t="shared" si="2"/>
        <v>3000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>
      <c r="A14" s="12" t="s">
        <v>16</v>
      </c>
      <c r="B14" s="5">
        <f t="shared" si="1"/>
        <v>0</v>
      </c>
      <c r="C14" s="6"/>
      <c r="D14" s="7">
        <f t="shared" si="2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>
      <c r="A15" s="9" t="s">
        <v>17</v>
      </c>
      <c r="B15" s="5">
        <f t="shared" si="1"/>
        <v>0</v>
      </c>
      <c r="C15" s="6">
        <v>700.0</v>
      </c>
      <c r="D15" s="7">
        <f t="shared" si="2"/>
        <v>700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>
      <c r="A16" s="5" t="s">
        <v>18</v>
      </c>
      <c r="B16" s="5">
        <f t="shared" si="1"/>
        <v>0</v>
      </c>
      <c r="C16" s="6">
        <v>4000.0</v>
      </c>
      <c r="D16" s="7">
        <f t="shared" si="2"/>
        <v>4000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>
      <c r="A17" s="9" t="s">
        <v>19</v>
      </c>
      <c r="B17" s="5">
        <f t="shared" si="1"/>
        <v>0</v>
      </c>
      <c r="C17" s="6">
        <v>0.0</v>
      </c>
      <c r="D17" s="7">
        <f t="shared" si="2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>
      <c r="A18" s="5" t="s">
        <v>20</v>
      </c>
      <c r="B18" s="5">
        <f t="shared" si="1"/>
        <v>0</v>
      </c>
      <c r="C18" s="6">
        <v>0.0</v>
      </c>
      <c r="D18" s="7">
        <f t="shared" si="2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9" t="s">
        <v>21</v>
      </c>
      <c r="B19" s="5">
        <f t="shared" si="1"/>
        <v>250</v>
      </c>
      <c r="C19" s="6">
        <v>700.0</v>
      </c>
      <c r="D19" s="7">
        <f t="shared" si="2"/>
        <v>450</v>
      </c>
      <c r="E19" s="8">
        <f>250</f>
        <v>250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>
      <c r="A20" s="5" t="s">
        <v>22</v>
      </c>
      <c r="B20" s="5">
        <f t="shared" si="1"/>
        <v>53</v>
      </c>
      <c r="C20" s="6">
        <v>500.0</v>
      </c>
      <c r="D20" s="7">
        <f t="shared" si="2"/>
        <v>447</v>
      </c>
      <c r="E20" s="8">
        <v>53.0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>
      <c r="A21" s="5" t="s">
        <v>23</v>
      </c>
      <c r="B21" s="5">
        <f t="shared" si="1"/>
        <v>400</v>
      </c>
      <c r="C21" s="6">
        <v>400.0</v>
      </c>
      <c r="D21" s="7">
        <f t="shared" si="2"/>
        <v>0</v>
      </c>
      <c r="E21" s="8">
        <f>310+90</f>
        <v>400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>
      <c r="A22" s="12" t="s">
        <v>24</v>
      </c>
      <c r="B22" s="5">
        <f t="shared" si="1"/>
        <v>0</v>
      </c>
      <c r="C22" s="6">
        <v>14000.0</v>
      </c>
      <c r="D22" s="7">
        <f t="shared" si="2"/>
        <v>14000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>
      <c r="A23" s="9" t="s">
        <v>25</v>
      </c>
      <c r="B23" s="5">
        <f t="shared" si="1"/>
        <v>0</v>
      </c>
      <c r="C23" s="6">
        <v>0.0</v>
      </c>
      <c r="D23" s="7">
        <f t="shared" si="2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>
      <c r="A24" s="12" t="s">
        <v>26</v>
      </c>
      <c r="B24" s="5">
        <f t="shared" si="1"/>
        <v>0</v>
      </c>
      <c r="C24" s="6"/>
      <c r="D24" s="7">
        <f t="shared" si="2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>
      <c r="A25" s="9" t="s">
        <v>27</v>
      </c>
      <c r="B25" s="5">
        <f t="shared" si="1"/>
        <v>1099</v>
      </c>
      <c r="C25" s="6">
        <v>2500.0</v>
      </c>
      <c r="D25" s="7">
        <f t="shared" si="2"/>
        <v>1401</v>
      </c>
      <c r="E25" s="8"/>
      <c r="F25" s="8">
        <v>1099.0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>
      <c r="A26" s="12" t="s">
        <v>28</v>
      </c>
      <c r="B26" s="5">
        <f t="shared" si="1"/>
        <v>0</v>
      </c>
      <c r="C26" s="15">
        <v>0.0</v>
      </c>
      <c r="D26" s="7">
        <f t="shared" si="2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>
      <c r="A27" s="16" t="s">
        <v>29</v>
      </c>
      <c r="B27" s="5">
        <f t="shared" si="1"/>
        <v>0</v>
      </c>
      <c r="C27" s="6">
        <v>2100.0</v>
      </c>
      <c r="D27" s="7">
        <f t="shared" si="2"/>
        <v>2100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>
      <c r="A28" s="16" t="s">
        <v>30</v>
      </c>
      <c r="B28" s="5">
        <f t="shared" si="1"/>
        <v>0</v>
      </c>
      <c r="C28" s="6">
        <v>2000.0</v>
      </c>
      <c r="D28" s="7">
        <f t="shared" si="2"/>
        <v>2000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>
      <c r="A29" s="16" t="s">
        <v>31</v>
      </c>
      <c r="B29" s="5">
        <f t="shared" si="1"/>
        <v>0</v>
      </c>
      <c r="C29" s="6">
        <v>2000.0</v>
      </c>
      <c r="D29" s="7">
        <f t="shared" si="2"/>
        <v>2000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>
      <c r="A30" s="16" t="s">
        <v>32</v>
      </c>
      <c r="B30" s="5">
        <f t="shared" si="1"/>
        <v>885</v>
      </c>
      <c r="C30" s="6">
        <v>1200.0</v>
      </c>
      <c r="D30" s="7">
        <f t="shared" si="2"/>
        <v>315</v>
      </c>
      <c r="E30" s="8">
        <v>885.0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>
      <c r="A31" s="5" t="s">
        <v>33</v>
      </c>
      <c r="B31" s="5">
        <f t="shared" si="1"/>
        <v>0</v>
      </c>
      <c r="C31" s="6">
        <v>200.0</v>
      </c>
      <c r="D31" s="7">
        <f t="shared" si="2"/>
        <v>200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>
      <c r="A32" s="16" t="s">
        <v>34</v>
      </c>
      <c r="B32" s="5">
        <f t="shared" si="1"/>
        <v>0</v>
      </c>
      <c r="C32" s="6">
        <v>4200.0</v>
      </c>
      <c r="D32" s="7">
        <f t="shared" si="2"/>
        <v>4200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>
      <c r="A33" s="5" t="s">
        <v>35</v>
      </c>
      <c r="B33" s="5">
        <f t="shared" si="1"/>
        <v>0</v>
      </c>
      <c r="C33" s="6">
        <v>28000.0</v>
      </c>
      <c r="D33" s="7">
        <f t="shared" si="2"/>
        <v>28000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>
      <c r="A34" s="5" t="s">
        <v>36</v>
      </c>
      <c r="B34" s="5">
        <f t="shared" si="1"/>
        <v>0</v>
      </c>
      <c r="C34" s="6">
        <v>0.0</v>
      </c>
      <c r="D34" s="7">
        <f t="shared" si="2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>
      <c r="A35" s="9" t="s">
        <v>37</v>
      </c>
      <c r="B35" s="9">
        <f t="shared" si="1"/>
        <v>0</v>
      </c>
      <c r="C35" s="13">
        <v>6500.0</v>
      </c>
      <c r="D35" s="14">
        <f t="shared" si="2"/>
        <v>6500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>
      <c r="A36" s="12" t="s">
        <v>38</v>
      </c>
      <c r="B36" s="12">
        <f t="shared" si="1"/>
        <v>303</v>
      </c>
      <c r="C36" s="11">
        <v>1000.0</v>
      </c>
      <c r="D36" s="17">
        <f t="shared" si="2"/>
        <v>697</v>
      </c>
      <c r="E36" s="8">
        <v>303.0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>
      <c r="A37" s="1" t="s">
        <v>39</v>
      </c>
      <c r="B37" s="18"/>
      <c r="C37" s="19"/>
      <c r="D37" s="20"/>
      <c r="E37" s="21">
        <f t="shared" ref="E37:AA37" si="3">SUM(E2:E36)</f>
        <v>3745.5</v>
      </c>
      <c r="F37" s="21">
        <f t="shared" si="3"/>
        <v>2230</v>
      </c>
      <c r="G37" s="21">
        <f t="shared" si="3"/>
        <v>0</v>
      </c>
      <c r="H37" s="21">
        <f t="shared" si="3"/>
        <v>0</v>
      </c>
      <c r="I37" s="21">
        <f t="shared" si="3"/>
        <v>0</v>
      </c>
      <c r="J37" s="21">
        <f t="shared" si="3"/>
        <v>0</v>
      </c>
      <c r="K37" s="21">
        <f t="shared" si="3"/>
        <v>0</v>
      </c>
      <c r="L37" s="21">
        <f t="shared" si="3"/>
        <v>0</v>
      </c>
      <c r="M37" s="21">
        <f t="shared" si="3"/>
        <v>0</v>
      </c>
      <c r="N37" s="21">
        <f t="shared" si="3"/>
        <v>0</v>
      </c>
      <c r="O37" s="21">
        <f t="shared" si="3"/>
        <v>0</v>
      </c>
      <c r="P37" s="21">
        <f t="shared" si="3"/>
        <v>0</v>
      </c>
      <c r="Q37" s="21">
        <f t="shared" si="3"/>
        <v>0</v>
      </c>
      <c r="R37" s="21">
        <f t="shared" si="3"/>
        <v>0</v>
      </c>
      <c r="S37" s="21">
        <f t="shared" si="3"/>
        <v>0</v>
      </c>
      <c r="T37" s="21">
        <f t="shared" si="3"/>
        <v>0</v>
      </c>
      <c r="U37" s="21">
        <f t="shared" si="3"/>
        <v>0</v>
      </c>
      <c r="V37" s="21">
        <f t="shared" si="3"/>
        <v>0</v>
      </c>
      <c r="W37" s="21">
        <f t="shared" si="3"/>
        <v>0</v>
      </c>
      <c r="X37" s="21">
        <f t="shared" si="3"/>
        <v>0</v>
      </c>
      <c r="Y37" s="21">
        <f t="shared" si="3"/>
        <v>0</v>
      </c>
      <c r="Z37" s="21">
        <f t="shared" si="3"/>
        <v>0</v>
      </c>
      <c r="AA37" s="21">
        <f t="shared" si="3"/>
        <v>0</v>
      </c>
      <c r="AB37" s="21">
        <f t="shared" ref="AB37:AF37" si="4">SUM(AB2:AB33)</f>
        <v>0</v>
      </c>
      <c r="AC37" s="21">
        <f t="shared" si="4"/>
        <v>0</v>
      </c>
      <c r="AD37" s="21">
        <f t="shared" si="4"/>
        <v>0</v>
      </c>
      <c r="AE37" s="21">
        <f t="shared" si="4"/>
        <v>0</v>
      </c>
      <c r="AF37" s="21">
        <f t="shared" si="4"/>
        <v>0</v>
      </c>
    </row>
    <row r="38">
      <c r="A38" s="22" t="s">
        <v>40</v>
      </c>
      <c r="B38" s="23">
        <f>sum(B2:B36)-B26</f>
        <v>5975.5</v>
      </c>
      <c r="C38" s="24">
        <f>sum(C2:C37)</f>
        <v>106500</v>
      </c>
      <c r="D38" s="7">
        <f t="shared" ref="D38:D39" si="5">C38-B38</f>
        <v>100524.5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>
      <c r="A39" s="25">
        <f>AF1-E1+1</f>
        <v>28</v>
      </c>
      <c r="B39" s="26"/>
      <c r="C39" s="27"/>
      <c r="D39" s="7">
        <f t="shared" si="5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C57" s="29"/>
    </row>
    <row r="58">
      <c r="A58" s="30">
        <f>B38-B22-J26-O25</f>
        <v>5975.5</v>
      </c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  <row r="1002">
      <c r="C1002" s="29"/>
    </row>
    <row r="1003">
      <c r="C1003" s="29"/>
    </row>
    <row r="1004">
      <c r="C1004" s="29"/>
    </row>
    <row r="1005">
      <c r="C1005" s="29"/>
    </row>
    <row r="1006">
      <c r="C1006" s="29"/>
    </row>
    <row r="1007">
      <c r="C1007" s="29"/>
    </row>
    <row r="1008">
      <c r="C1008" s="29"/>
    </row>
    <row r="1009">
      <c r="C1009" s="29"/>
    </row>
    <row r="1010">
      <c r="C1010" s="29"/>
    </row>
    <row r="1011">
      <c r="C1011" s="29"/>
    </row>
    <row r="1012">
      <c r="C1012" s="29"/>
    </row>
    <row r="1013">
      <c r="C1013" s="29"/>
    </row>
    <row r="1014">
      <c r="C1014" s="29"/>
    </row>
    <row r="1015">
      <c r="C1015" s="31"/>
    </row>
  </sheetData>
  <conditionalFormatting sqref="C2:C36 D2:D39 E2:AF36">
    <cfRule type="timePeriod" dxfId="0" priority="1" timePeriod="today"/>
  </conditionalFormatting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9.86"/>
    <col customWidth="1" min="3" max="35" width="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2">
        <v>44562.0</v>
      </c>
      <c r="F1" s="33">
        <v>44532.0</v>
      </c>
      <c r="G1" s="33">
        <v>44533.0</v>
      </c>
      <c r="H1" s="33">
        <v>44534.0</v>
      </c>
      <c r="I1" s="33">
        <v>44535.0</v>
      </c>
      <c r="J1" s="33">
        <v>44536.0</v>
      </c>
      <c r="K1" s="33">
        <v>44537.0</v>
      </c>
      <c r="L1" s="33">
        <v>44538.0</v>
      </c>
      <c r="M1" s="33">
        <v>44539.0</v>
      </c>
      <c r="N1" s="33">
        <v>44540.0</v>
      </c>
      <c r="O1" s="33">
        <v>44541.0</v>
      </c>
      <c r="P1" s="33">
        <v>44542.0</v>
      </c>
      <c r="Q1" s="33">
        <v>44543.0</v>
      </c>
      <c r="R1" s="33">
        <v>44544.0</v>
      </c>
      <c r="S1" s="33">
        <v>44545.0</v>
      </c>
      <c r="T1" s="33">
        <v>44546.0</v>
      </c>
      <c r="U1" s="33">
        <v>44547.0</v>
      </c>
      <c r="V1" s="33">
        <v>44548.0</v>
      </c>
      <c r="W1" s="33">
        <v>44549.0</v>
      </c>
      <c r="X1" s="33">
        <v>44550.0</v>
      </c>
      <c r="Y1" s="33">
        <v>44551.0</v>
      </c>
      <c r="Z1" s="33">
        <v>44552.0</v>
      </c>
      <c r="AA1" s="33">
        <v>44553.0</v>
      </c>
      <c r="AB1" s="33">
        <v>44554.0</v>
      </c>
      <c r="AC1" s="33">
        <v>44555.0</v>
      </c>
      <c r="AD1" s="33">
        <v>44556.0</v>
      </c>
      <c r="AE1" s="33">
        <v>44557.0</v>
      </c>
      <c r="AF1" s="33">
        <v>44558.0</v>
      </c>
      <c r="AG1" s="33">
        <v>44559.0</v>
      </c>
      <c r="AH1" s="33">
        <v>44560.0</v>
      </c>
      <c r="AI1" s="33">
        <v>44561.0</v>
      </c>
    </row>
    <row r="2">
      <c r="A2" s="5" t="s">
        <v>4</v>
      </c>
      <c r="B2" s="5">
        <f t="shared" ref="B2:B36" si="1">sum(E2:AI2)</f>
        <v>10968.35</v>
      </c>
      <c r="C2" s="6">
        <v>12000.0</v>
      </c>
      <c r="D2" s="7">
        <f t="shared" ref="D2:D36" si="2">C2-B2</f>
        <v>1031.65</v>
      </c>
      <c r="E2" s="8">
        <f>125.78</f>
        <v>125.78</v>
      </c>
      <c r="F2" s="8">
        <f>76.53+338.5</f>
        <v>415.03</v>
      </c>
      <c r="G2" s="8">
        <f>332.94</f>
        <v>332.94</v>
      </c>
      <c r="H2" s="8">
        <f>44.75</f>
        <v>44.75</v>
      </c>
      <c r="I2" s="8">
        <f>31.98+160.15+165</f>
        <v>357.13</v>
      </c>
      <c r="J2" s="8">
        <f>478.75+1041.88+298.9</f>
        <v>1819.53</v>
      </c>
      <c r="K2" s="8">
        <f>247.4</f>
        <v>247.4</v>
      </c>
      <c r="L2" s="8">
        <f>122.93</f>
        <v>122.93</v>
      </c>
      <c r="M2" s="8">
        <f>343.05+233.53</f>
        <v>576.58</v>
      </c>
      <c r="N2" s="8"/>
      <c r="O2" s="8">
        <v>318.45</v>
      </c>
      <c r="P2" s="8">
        <v>162.48</v>
      </c>
      <c r="Q2" s="8">
        <v>212.64</v>
      </c>
      <c r="R2" s="8">
        <f>160.04</f>
        <v>160.04</v>
      </c>
      <c r="S2" s="8">
        <v>651.92</v>
      </c>
      <c r="T2" s="8">
        <f>133.15+505.75</f>
        <v>638.9</v>
      </c>
      <c r="U2" s="8"/>
      <c r="V2" s="8">
        <f>208.15</f>
        <v>208.15</v>
      </c>
      <c r="W2" s="8">
        <v>95.99</v>
      </c>
      <c r="X2" s="8">
        <f>90.6+20+270.96+109.02+193.9</f>
        <v>684.48</v>
      </c>
      <c r="Y2" s="8"/>
      <c r="Z2" s="8">
        <f>338.06+141.94</f>
        <v>480</v>
      </c>
      <c r="AA2" s="8">
        <f>382.47+222.54</f>
        <v>605.01</v>
      </c>
      <c r="AB2" s="8"/>
      <c r="AC2" s="8">
        <v>395.63</v>
      </c>
      <c r="AD2" s="8">
        <f>29</f>
        <v>29</v>
      </c>
      <c r="AE2" s="8">
        <f>300.75+43.9</f>
        <v>344.65</v>
      </c>
      <c r="AF2" s="8">
        <f>191.94+38.1</f>
        <v>230.04</v>
      </c>
      <c r="AG2" s="8">
        <v>530.16</v>
      </c>
      <c r="AH2" s="8">
        <f>714.74+108.8</f>
        <v>823.54</v>
      </c>
      <c r="AI2" s="8">
        <v>355.2</v>
      </c>
    </row>
    <row r="3">
      <c r="A3" s="9" t="s">
        <v>5</v>
      </c>
      <c r="B3" s="5">
        <f t="shared" si="1"/>
        <v>492.15</v>
      </c>
      <c r="C3" s="6">
        <v>600.0</v>
      </c>
      <c r="D3" s="7">
        <f t="shared" si="2"/>
        <v>107.85</v>
      </c>
      <c r="E3" s="8"/>
      <c r="F3" s="8"/>
      <c r="G3" s="8"/>
      <c r="H3" s="8"/>
      <c r="I3" s="8"/>
      <c r="J3" s="8"/>
      <c r="K3" s="8"/>
      <c r="L3" s="8">
        <f>325</f>
        <v>325</v>
      </c>
      <c r="M3" s="8"/>
      <c r="N3" s="8"/>
      <c r="O3" s="8">
        <v>107.15</v>
      </c>
      <c r="P3" s="8"/>
      <c r="Q3" s="8"/>
      <c r="R3" s="8"/>
      <c r="S3" s="8"/>
      <c r="T3" s="8"/>
      <c r="U3" s="8"/>
      <c r="V3" s="8"/>
      <c r="W3" s="8"/>
      <c r="X3" s="8">
        <f>60</f>
        <v>60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>
      <c r="A4" s="10" t="s">
        <v>6</v>
      </c>
      <c r="B4" s="5">
        <f t="shared" si="1"/>
        <v>0</v>
      </c>
      <c r="C4" s="11"/>
      <c r="D4" s="7">
        <f t="shared" si="2"/>
        <v>0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>
      <c r="A5" s="5" t="s">
        <v>7</v>
      </c>
      <c r="B5" s="5">
        <f t="shared" si="1"/>
        <v>5407.67</v>
      </c>
      <c r="C5" s="6">
        <v>5000.0</v>
      </c>
      <c r="D5" s="7">
        <f t="shared" si="2"/>
        <v>-407.67</v>
      </c>
      <c r="E5" s="8">
        <v>72.0</v>
      </c>
      <c r="F5" s="8">
        <f>100+654</f>
        <v>754</v>
      </c>
      <c r="G5" s="8">
        <f>362</f>
        <v>362</v>
      </c>
      <c r="H5" s="8">
        <f>121+981+61+57</f>
        <v>1220</v>
      </c>
      <c r="I5" s="8">
        <v>330.0</v>
      </c>
      <c r="J5" s="8"/>
      <c r="K5" s="8">
        <f>140</f>
        <v>140</v>
      </c>
      <c r="L5" s="8">
        <f>397+180</f>
        <v>577</v>
      </c>
      <c r="M5" s="8">
        <f>220</f>
        <v>220</v>
      </c>
      <c r="N5" s="8"/>
      <c r="O5" s="8">
        <f>58.67+120</f>
        <v>178.67</v>
      </c>
      <c r="P5" s="8"/>
      <c r="Q5" s="8"/>
      <c r="R5" s="8"/>
      <c r="S5" s="8">
        <f>80</f>
        <v>80</v>
      </c>
      <c r="T5" s="8">
        <v>103.0</v>
      </c>
      <c r="U5" s="8">
        <f>41+28</f>
        <v>69</v>
      </c>
      <c r="V5" s="8"/>
      <c r="W5" s="8">
        <v>123.0</v>
      </c>
      <c r="X5" s="8"/>
      <c r="Y5" s="8"/>
      <c r="Z5" s="8">
        <v>643.0</v>
      </c>
      <c r="AA5" s="8"/>
      <c r="AB5" s="8">
        <v>220.0</v>
      </c>
      <c r="AC5" s="8">
        <v>123.0</v>
      </c>
      <c r="AD5" s="8">
        <v>122.0</v>
      </c>
      <c r="AE5" s="8"/>
      <c r="AF5" s="8">
        <v>71.0</v>
      </c>
      <c r="AG5" s="8"/>
      <c r="AH5" s="8"/>
      <c r="AI5" s="8"/>
    </row>
    <row r="6">
      <c r="A6" s="12" t="s">
        <v>8</v>
      </c>
      <c r="B6" s="5">
        <f t="shared" si="1"/>
        <v>5074</v>
      </c>
      <c r="C6" s="6">
        <v>7000.0</v>
      </c>
      <c r="D6" s="7">
        <f t="shared" si="2"/>
        <v>1926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v>950.0</v>
      </c>
      <c r="W6" s="8"/>
      <c r="X6" s="8">
        <v>2300.0</v>
      </c>
      <c r="Y6" s="8"/>
      <c r="Z6" s="8"/>
      <c r="AA6" s="8">
        <f>1565</f>
        <v>1565</v>
      </c>
      <c r="AC6" s="8"/>
      <c r="AD6" s="8">
        <v>259.0</v>
      </c>
      <c r="AE6" s="8"/>
      <c r="AF6" s="8"/>
      <c r="AG6" s="8"/>
      <c r="AH6" s="8"/>
      <c r="AI6" s="8"/>
    </row>
    <row r="7">
      <c r="A7" s="9" t="s">
        <v>9</v>
      </c>
      <c r="B7" s="9">
        <f t="shared" si="1"/>
        <v>0</v>
      </c>
      <c r="C7" s="13">
        <v>500.0</v>
      </c>
      <c r="D7" s="14">
        <f t="shared" si="2"/>
        <v>500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>
      <c r="A8" s="12" t="s">
        <v>10</v>
      </c>
      <c r="B8" s="5">
        <f t="shared" si="1"/>
        <v>147.1</v>
      </c>
      <c r="C8" s="6">
        <v>1000.0</v>
      </c>
      <c r="D8" s="7">
        <f t="shared" si="2"/>
        <v>852.9</v>
      </c>
      <c r="E8" s="8"/>
      <c r="F8" s="8"/>
      <c r="G8" s="8"/>
      <c r="H8" s="8"/>
      <c r="I8" s="8"/>
      <c r="J8" s="8"/>
      <c r="K8" s="8"/>
      <c r="L8" s="8"/>
      <c r="M8" s="8"/>
      <c r="N8" s="8">
        <f>110.3+36.8</f>
        <v>147.1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>
      <c r="A9" s="5" t="s">
        <v>11</v>
      </c>
      <c r="B9" s="5">
        <f t="shared" si="1"/>
        <v>6408.72</v>
      </c>
      <c r="C9" s="6">
        <v>7000.0</v>
      </c>
      <c r="D9" s="7">
        <f t="shared" si="2"/>
        <v>591.28</v>
      </c>
      <c r="E9" s="8"/>
      <c r="F9" s="8"/>
      <c r="G9" s="8"/>
      <c r="H9" s="8"/>
      <c r="I9" s="8"/>
      <c r="J9" s="8">
        <f>1300+1114.72</f>
        <v>2414.72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>
        <v>570.0</v>
      </c>
      <c r="X9" s="8">
        <f>744</f>
        <v>744</v>
      </c>
      <c r="Y9" s="8"/>
      <c r="Z9" s="8">
        <v>700.0</v>
      </c>
      <c r="AA9" s="8"/>
      <c r="AB9" s="8"/>
      <c r="AC9" s="8"/>
      <c r="AD9" s="8">
        <v>500.0</v>
      </c>
      <c r="AE9" s="8">
        <v>1480.0</v>
      </c>
      <c r="AF9" s="8"/>
      <c r="AG9" s="8"/>
      <c r="AH9" s="8"/>
      <c r="AI9" s="8"/>
    </row>
    <row r="10">
      <c r="A10" s="12" t="s">
        <v>12</v>
      </c>
      <c r="B10" s="5">
        <f t="shared" si="1"/>
        <v>419.5</v>
      </c>
      <c r="C10" s="6">
        <v>200.0</v>
      </c>
      <c r="D10" s="7">
        <f t="shared" si="2"/>
        <v>-219.5</v>
      </c>
      <c r="E10" s="8"/>
      <c r="F10" s="8"/>
      <c r="G10" s="8"/>
      <c r="H10" s="8"/>
      <c r="I10" s="8"/>
      <c r="J10" s="8"/>
      <c r="K10" s="8"/>
      <c r="L10" s="8"/>
      <c r="M10" s="8">
        <v>179.0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v>240.5</v>
      </c>
      <c r="AE10" s="8"/>
      <c r="AF10" s="8"/>
      <c r="AG10" s="8"/>
      <c r="AH10" s="8"/>
      <c r="AI10" s="8"/>
    </row>
    <row r="11">
      <c r="A11" s="5" t="s">
        <v>13</v>
      </c>
      <c r="B11" s="5">
        <f t="shared" si="1"/>
        <v>1119.43</v>
      </c>
      <c r="C11" s="6">
        <v>1700.0</v>
      </c>
      <c r="D11" s="7">
        <f t="shared" si="2"/>
        <v>580.57</v>
      </c>
      <c r="E11" s="8"/>
      <c r="F11" s="8"/>
      <c r="G11" s="8"/>
      <c r="H11" s="8"/>
      <c r="I11" s="8"/>
      <c r="J11" s="8"/>
      <c r="K11" s="8"/>
      <c r="L11" s="8"/>
      <c r="M11" s="8">
        <f>269.24</f>
        <v>269.24</v>
      </c>
      <c r="N11" s="8"/>
      <c r="O11" s="8"/>
      <c r="P11" s="8"/>
      <c r="Q11" s="8">
        <v>64.0</v>
      </c>
      <c r="R11" s="8"/>
      <c r="S11" s="8"/>
      <c r="T11" s="8"/>
      <c r="U11" s="8">
        <v>136.19</v>
      </c>
      <c r="V11" s="8">
        <f>14.89+180.88</f>
        <v>195.77</v>
      </c>
      <c r="W11" s="8"/>
      <c r="X11" s="8">
        <f>195</f>
        <v>195</v>
      </c>
      <c r="Y11" s="8"/>
      <c r="Z11" s="8"/>
      <c r="AA11" s="8"/>
      <c r="AB11" s="8"/>
      <c r="AC11" s="8"/>
      <c r="AD11" s="8">
        <v>259.23</v>
      </c>
      <c r="AE11" s="8"/>
      <c r="AF11" s="8"/>
      <c r="AG11" s="8"/>
      <c r="AH11" s="8"/>
      <c r="AI11" s="8"/>
    </row>
    <row r="12">
      <c r="A12" s="12" t="s">
        <v>14</v>
      </c>
      <c r="B12" s="5">
        <f t="shared" si="1"/>
        <v>8191.26</v>
      </c>
      <c r="C12" s="6">
        <v>12000.0</v>
      </c>
      <c r="D12" s="7">
        <f t="shared" si="2"/>
        <v>3808.74</v>
      </c>
      <c r="E12" s="8">
        <f>1713.78+1032.62</f>
        <v>2746.4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2143.49</v>
      </c>
      <c r="Q12" s="8"/>
      <c r="R12" s="8"/>
      <c r="S12" s="8"/>
      <c r="T12" s="8"/>
      <c r="U12" s="8"/>
      <c r="V12" s="8"/>
      <c r="W12" s="8"/>
      <c r="X12" s="8">
        <v>1592.2</v>
      </c>
      <c r="Y12" s="8"/>
      <c r="Z12" s="8"/>
      <c r="AA12" s="8"/>
      <c r="AB12" s="8">
        <v>1709.17</v>
      </c>
      <c r="AC12" s="8"/>
      <c r="AD12" s="8"/>
      <c r="AE12" s="8"/>
      <c r="AF12" s="8"/>
      <c r="AG12" s="8"/>
      <c r="AH12" s="8"/>
      <c r="AI12" s="8"/>
    </row>
    <row r="13">
      <c r="A13" s="5" t="s">
        <v>15</v>
      </c>
      <c r="B13" s="5">
        <f t="shared" si="1"/>
        <v>6000</v>
      </c>
      <c r="C13" s="6">
        <v>3000.0</v>
      </c>
      <c r="D13" s="7">
        <f t="shared" si="2"/>
        <v>-3000</v>
      </c>
      <c r="E13" s="8"/>
      <c r="F13" s="8"/>
      <c r="G13" s="8"/>
      <c r="H13" s="8">
        <v>6000.0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>
      <c r="A14" s="12" t="s">
        <v>16</v>
      </c>
      <c r="B14" s="5">
        <f t="shared" si="1"/>
        <v>0</v>
      </c>
      <c r="C14" s="6"/>
      <c r="D14" s="7">
        <f t="shared" si="2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>
      <c r="A15" s="9" t="s">
        <v>17</v>
      </c>
      <c r="B15" s="5">
        <f t="shared" si="1"/>
        <v>0</v>
      </c>
      <c r="C15" s="6">
        <v>500.0</v>
      </c>
      <c r="D15" s="7">
        <f t="shared" si="2"/>
        <v>500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>
      <c r="A16" s="5" t="s">
        <v>18</v>
      </c>
      <c r="B16" s="5">
        <f t="shared" si="1"/>
        <v>3000</v>
      </c>
      <c r="C16" s="6">
        <v>4000.0</v>
      </c>
      <c r="D16" s="7">
        <f t="shared" si="2"/>
        <v>1000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>
        <v>3000.0</v>
      </c>
    </row>
    <row r="17">
      <c r="A17" s="9" t="s">
        <v>19</v>
      </c>
      <c r="B17" s="5">
        <f t="shared" si="1"/>
        <v>700</v>
      </c>
      <c r="C17" s="6">
        <v>600.0</v>
      </c>
      <c r="D17" s="7">
        <f t="shared" si="2"/>
        <v>-100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>
        <v>700.0</v>
      </c>
      <c r="AD17" s="8"/>
      <c r="AE17" s="8"/>
      <c r="AF17" s="8"/>
      <c r="AG17" s="8"/>
      <c r="AH17" s="8"/>
      <c r="AI17" s="8"/>
    </row>
    <row r="18">
      <c r="A18" s="5" t="s">
        <v>20</v>
      </c>
      <c r="B18" s="5">
        <f t="shared" si="1"/>
        <v>0</v>
      </c>
      <c r="C18" s="6">
        <v>2500.0</v>
      </c>
      <c r="D18" s="7">
        <f t="shared" si="2"/>
        <v>2500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>
      <c r="A19" s="9" t="s">
        <v>21</v>
      </c>
      <c r="B19" s="5">
        <f t="shared" si="1"/>
        <v>0</v>
      </c>
      <c r="C19" s="6">
        <v>700.0</v>
      </c>
      <c r="D19" s="7">
        <f t="shared" si="2"/>
        <v>700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>
      <c r="A20" s="5" t="s">
        <v>22</v>
      </c>
      <c r="B20" s="5">
        <f t="shared" si="1"/>
        <v>256</v>
      </c>
      <c r="C20" s="6">
        <v>500.0</v>
      </c>
      <c r="D20" s="7">
        <f t="shared" si="2"/>
        <v>244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>
        <v>91.0</v>
      </c>
      <c r="Z20" s="8">
        <f>100</f>
        <v>100</v>
      </c>
      <c r="AA20" s="8"/>
      <c r="AB20" s="8"/>
      <c r="AC20" s="8"/>
      <c r="AD20" s="8"/>
      <c r="AE20" s="8"/>
      <c r="AF20" s="8"/>
      <c r="AG20" s="8">
        <v>65.0</v>
      </c>
      <c r="AH20" s="8"/>
      <c r="AI20" s="8"/>
    </row>
    <row r="21">
      <c r="A21" s="5" t="s">
        <v>23</v>
      </c>
      <c r="B21" s="5">
        <f t="shared" si="1"/>
        <v>629</v>
      </c>
      <c r="C21" s="6">
        <v>400.0</v>
      </c>
      <c r="D21" s="7">
        <f t="shared" si="2"/>
        <v>-229</v>
      </c>
      <c r="E21" s="8">
        <f>90+200</f>
        <v>290</v>
      </c>
      <c r="F21" s="8"/>
      <c r="G21" s="8"/>
      <c r="H21" s="8"/>
      <c r="I21" s="8">
        <v>54.0</v>
      </c>
      <c r="J21" s="8"/>
      <c r="K21" s="8"/>
      <c r="L21" s="8">
        <v>135.0</v>
      </c>
      <c r="M21" s="8"/>
      <c r="N21" s="8"/>
      <c r="O21" s="8"/>
      <c r="P21" s="8">
        <v>150.0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>
      <c r="A22" s="12" t="s">
        <v>24</v>
      </c>
      <c r="B22" s="5">
        <f t="shared" si="1"/>
        <v>23240</v>
      </c>
      <c r="C22" s="6">
        <v>14000.0</v>
      </c>
      <c r="D22" s="7">
        <f t="shared" si="2"/>
        <v>-9240</v>
      </c>
      <c r="E22" s="8"/>
      <c r="F22" s="8"/>
      <c r="G22" s="8"/>
      <c r="H22" s="8">
        <f>14000</f>
        <v>14000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>
        <v>9240.0</v>
      </c>
      <c r="AD22" s="8"/>
      <c r="AE22" s="8"/>
      <c r="AF22" s="8"/>
      <c r="AG22" s="8"/>
      <c r="AH22" s="8"/>
      <c r="AI22" s="8"/>
    </row>
    <row r="23">
      <c r="A23" s="9" t="s">
        <v>25</v>
      </c>
      <c r="B23" s="5">
        <f t="shared" si="1"/>
        <v>0</v>
      </c>
      <c r="C23" s="6">
        <v>0.0</v>
      </c>
      <c r="D23" s="7">
        <f t="shared" si="2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>
      <c r="A24" s="12" t="s">
        <v>26</v>
      </c>
      <c r="B24" s="5">
        <f t="shared" si="1"/>
        <v>0</v>
      </c>
      <c r="C24" s="6"/>
      <c r="D24" s="7">
        <f t="shared" si="2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>
      <c r="A25" s="9" t="s">
        <v>27</v>
      </c>
      <c r="B25" s="5">
        <f t="shared" si="1"/>
        <v>2084.72</v>
      </c>
      <c r="C25" s="6">
        <v>2500.0</v>
      </c>
      <c r="D25" s="7">
        <f t="shared" si="2"/>
        <v>415.28</v>
      </c>
      <c r="E25" s="8">
        <v>880.0</v>
      </c>
      <c r="F25" s="8"/>
      <c r="G25" s="8">
        <v>550.0</v>
      </c>
      <c r="H25" s="8"/>
      <c r="I25" s="8"/>
      <c r="J25" s="8">
        <f>114.72</f>
        <v>114.72</v>
      </c>
      <c r="K25" s="8">
        <f>500</f>
        <v>500</v>
      </c>
      <c r="L25" s="8"/>
      <c r="M25" s="8"/>
      <c r="N25" s="8">
        <v>40.0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>
      <c r="A26" s="36" t="s">
        <v>28</v>
      </c>
      <c r="B26" s="5">
        <f t="shared" si="1"/>
        <v>84293</v>
      </c>
      <c r="C26" s="37">
        <f>82293+2000</f>
        <v>84293</v>
      </c>
      <c r="D26" s="7">
        <f t="shared" si="2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f>2000+82293</f>
        <v>84293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>
      <c r="A27" s="16" t="s">
        <v>29</v>
      </c>
      <c r="B27" s="5">
        <f t="shared" si="1"/>
        <v>1800</v>
      </c>
      <c r="C27" s="6">
        <v>2100.0</v>
      </c>
      <c r="D27" s="7">
        <f t="shared" si="2"/>
        <v>300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1800.0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>
      <c r="A28" s="16" t="s">
        <v>30</v>
      </c>
      <c r="B28" s="5">
        <f t="shared" si="1"/>
        <v>7134.39</v>
      </c>
      <c r="C28" s="6">
        <v>4000.0</v>
      </c>
      <c r="D28" s="7">
        <f t="shared" si="2"/>
        <v>-3134.39</v>
      </c>
      <c r="E28" s="8"/>
      <c r="F28" s="8"/>
      <c r="G28" s="8">
        <v>89.0</v>
      </c>
      <c r="H28" s="8"/>
      <c r="I28" s="8">
        <v>142.51</v>
      </c>
      <c r="J28" s="8"/>
      <c r="K28" s="8">
        <f>630</f>
        <v>630</v>
      </c>
      <c r="L28" s="8"/>
      <c r="M28" s="8"/>
      <c r="N28" s="8">
        <v>1569.8</v>
      </c>
      <c r="O28" s="8"/>
      <c r="P28" s="8"/>
      <c r="Q28" s="8"/>
      <c r="R28" s="8"/>
      <c r="S28" s="8"/>
      <c r="T28" s="8"/>
      <c r="U28" s="8"/>
      <c r="V28" s="8">
        <f>417.38</f>
        <v>417.38</v>
      </c>
      <c r="W28" s="8"/>
      <c r="X28" s="8"/>
      <c r="Y28" s="8"/>
      <c r="Z28" s="8"/>
      <c r="AA28" s="8"/>
      <c r="AB28" s="8"/>
      <c r="AC28" s="8"/>
      <c r="AD28" s="8">
        <f>212.62+29.67+164.19+29.8</f>
        <v>436.28</v>
      </c>
      <c r="AE28" s="8">
        <v>313.4</v>
      </c>
      <c r="AF28" s="8">
        <f>1270+80.15+564.12+32.75</f>
        <v>1947.02</v>
      </c>
      <c r="AG28" s="8"/>
      <c r="AH28" s="8">
        <v>799.0</v>
      </c>
      <c r="AI28" s="8">
        <v>790.0</v>
      </c>
    </row>
    <row r="29">
      <c r="A29" s="16" t="s">
        <v>31</v>
      </c>
      <c r="B29" s="5">
        <f t="shared" si="1"/>
        <v>1180</v>
      </c>
      <c r="C29" s="6">
        <v>2000.0</v>
      </c>
      <c r="D29" s="7">
        <f t="shared" si="2"/>
        <v>820</v>
      </c>
      <c r="E29" s="8"/>
      <c r="F29" s="8"/>
      <c r="G29" s="8"/>
      <c r="H29" s="8"/>
      <c r="I29" s="8"/>
      <c r="J29" s="8"/>
      <c r="K29" s="8"/>
      <c r="L29" s="8"/>
      <c r="M29" s="8">
        <v>315.0</v>
      </c>
      <c r="N29" s="8"/>
      <c r="O29" s="8"/>
      <c r="P29" s="8"/>
      <c r="Q29" s="8"/>
      <c r="R29" s="8"/>
      <c r="S29" s="8">
        <f>250+220</f>
        <v>470</v>
      </c>
      <c r="T29" s="8">
        <f>395</f>
        <v>395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>
      <c r="A30" s="16" t="s">
        <v>32</v>
      </c>
      <c r="B30" s="5">
        <f t="shared" si="1"/>
        <v>1688.64</v>
      </c>
      <c r="C30" s="6">
        <v>1200.0</v>
      </c>
      <c r="D30" s="7">
        <f t="shared" si="2"/>
        <v>-488.64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1688.64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>
      <c r="A31" s="5" t="s">
        <v>33</v>
      </c>
      <c r="B31" s="5">
        <f t="shared" si="1"/>
        <v>133.8</v>
      </c>
      <c r="C31" s="6">
        <v>200.0</v>
      </c>
      <c r="D31" s="7">
        <f t="shared" si="2"/>
        <v>66.2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f>25</f>
        <v>25</v>
      </c>
      <c r="R31" s="8"/>
      <c r="S31" s="8"/>
      <c r="T31" s="8">
        <f>32.5</f>
        <v>32.5</v>
      </c>
      <c r="U31" s="8"/>
      <c r="V31" s="8"/>
      <c r="W31" s="8"/>
      <c r="X31" s="8"/>
      <c r="Y31" s="8"/>
      <c r="Z31" s="8"/>
      <c r="AA31" s="8">
        <v>37.5</v>
      </c>
      <c r="AB31" s="8"/>
      <c r="AC31" s="8"/>
      <c r="AD31" s="8"/>
      <c r="AE31" s="8"/>
      <c r="AF31" s="8"/>
      <c r="AG31" s="8">
        <v>38.8</v>
      </c>
      <c r="AH31" s="8"/>
      <c r="AI31" s="8"/>
    </row>
    <row r="32">
      <c r="A32" s="16" t="s">
        <v>34</v>
      </c>
      <c r="B32" s="5">
        <f t="shared" si="1"/>
        <v>2967</v>
      </c>
      <c r="C32" s="6">
        <v>4200.0</v>
      </c>
      <c r="D32" s="7">
        <f t="shared" si="2"/>
        <v>1233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>
        <v>858.5</v>
      </c>
      <c r="V32" s="8"/>
      <c r="W32" s="8"/>
      <c r="X32" s="8"/>
      <c r="Y32" s="8"/>
      <c r="Z32" s="8"/>
      <c r="AA32" s="8"/>
      <c r="AB32" s="8"/>
      <c r="AC32" s="8">
        <v>400.0</v>
      </c>
      <c r="AD32" s="8"/>
      <c r="AE32" s="8">
        <v>858.5</v>
      </c>
      <c r="AF32" s="8"/>
      <c r="AG32" s="8"/>
      <c r="AH32" s="8"/>
      <c r="AI32" s="8">
        <v>850.0</v>
      </c>
    </row>
    <row r="33">
      <c r="A33" s="5" t="s">
        <v>35</v>
      </c>
      <c r="B33" s="5">
        <f t="shared" si="1"/>
        <v>3442.72</v>
      </c>
      <c r="C33" s="6">
        <v>14000.0</v>
      </c>
      <c r="D33" s="7">
        <f t="shared" si="2"/>
        <v>10557.28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f>32.41+15.35+269.01+23.52+31.07+46.28+3025.08</f>
        <v>3442.72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>
      <c r="A34" s="5" t="s">
        <v>36</v>
      </c>
      <c r="B34" s="5">
        <f t="shared" si="1"/>
        <v>0</v>
      </c>
      <c r="C34" s="6"/>
      <c r="D34" s="7">
        <f t="shared" si="2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>
      <c r="A35" s="9" t="s">
        <v>37</v>
      </c>
      <c r="B35" s="9">
        <f t="shared" si="1"/>
        <v>2460.6</v>
      </c>
      <c r="C35" s="13">
        <v>6500.0</v>
      </c>
      <c r="D35" s="14">
        <f t="shared" si="2"/>
        <v>4039.4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>
        <v>555.6</v>
      </c>
      <c r="R35" s="35">
        <v>540.0</v>
      </c>
      <c r="S35" s="35"/>
      <c r="T35" s="35"/>
      <c r="U35" s="35"/>
      <c r="V35" s="35"/>
      <c r="W35" s="35"/>
      <c r="X35" s="35"/>
      <c r="Y35" s="35">
        <v>540.0</v>
      </c>
      <c r="Z35" s="35"/>
      <c r="AA35" s="35"/>
      <c r="AB35" s="35"/>
      <c r="AC35" s="35"/>
      <c r="AD35" s="35"/>
      <c r="AE35" s="35"/>
      <c r="AF35" s="35">
        <f>540+285</f>
        <v>825</v>
      </c>
      <c r="AG35" s="35"/>
      <c r="AH35" s="35"/>
      <c r="AI35" s="35"/>
    </row>
    <row r="36">
      <c r="A36" s="12" t="s">
        <v>38</v>
      </c>
      <c r="B36" s="12">
        <f t="shared" si="1"/>
        <v>47.49</v>
      </c>
      <c r="C36" s="11">
        <v>1000.0</v>
      </c>
      <c r="D36" s="17">
        <f t="shared" si="2"/>
        <v>952.51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>
        <v>47.49</v>
      </c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</row>
    <row r="37">
      <c r="A37" s="1" t="s">
        <v>39</v>
      </c>
      <c r="B37" s="18"/>
      <c r="C37" s="19"/>
      <c r="D37" s="20"/>
      <c r="E37" s="21">
        <f t="shared" ref="E37:AA37" si="3">SUM(E2:E36)</f>
        <v>4114.18</v>
      </c>
      <c r="F37" s="21">
        <f t="shared" si="3"/>
        <v>1169.03</v>
      </c>
      <c r="G37" s="21">
        <f t="shared" si="3"/>
        <v>1333.94</v>
      </c>
      <c r="H37" s="21">
        <f t="shared" si="3"/>
        <v>21264.75</v>
      </c>
      <c r="I37" s="21">
        <f t="shared" si="3"/>
        <v>883.64</v>
      </c>
      <c r="J37" s="21">
        <f t="shared" si="3"/>
        <v>4348.97</v>
      </c>
      <c r="K37" s="21">
        <f t="shared" si="3"/>
        <v>1517.4</v>
      </c>
      <c r="L37" s="21">
        <f t="shared" si="3"/>
        <v>1159.93</v>
      </c>
      <c r="M37" s="21">
        <f t="shared" si="3"/>
        <v>1559.82</v>
      </c>
      <c r="N37" s="21">
        <f t="shared" si="3"/>
        <v>1756.9</v>
      </c>
      <c r="O37" s="21">
        <f t="shared" si="3"/>
        <v>604.27</v>
      </c>
      <c r="P37" s="21">
        <f t="shared" si="3"/>
        <v>88485.1</v>
      </c>
      <c r="Q37" s="21">
        <f t="shared" si="3"/>
        <v>4299.96</v>
      </c>
      <c r="R37" s="21">
        <f t="shared" si="3"/>
        <v>2500.04</v>
      </c>
      <c r="S37" s="21">
        <f t="shared" si="3"/>
        <v>1201.92</v>
      </c>
      <c r="T37" s="21">
        <f t="shared" si="3"/>
        <v>1169.4</v>
      </c>
      <c r="U37" s="21">
        <f t="shared" si="3"/>
        <v>1063.69</v>
      </c>
      <c r="V37" s="21">
        <f t="shared" si="3"/>
        <v>1771.3</v>
      </c>
      <c r="W37" s="21">
        <f t="shared" si="3"/>
        <v>788.99</v>
      </c>
      <c r="X37" s="21">
        <f t="shared" si="3"/>
        <v>5575.68</v>
      </c>
      <c r="Y37" s="21">
        <f t="shared" si="3"/>
        <v>631</v>
      </c>
      <c r="Z37" s="21">
        <f t="shared" si="3"/>
        <v>1923</v>
      </c>
      <c r="AA37" s="21">
        <f t="shared" si="3"/>
        <v>2207.51</v>
      </c>
      <c r="AB37" s="21">
        <f t="shared" ref="AB37:AH37" si="4">SUM(AB2:AB33)</f>
        <v>1929.17</v>
      </c>
      <c r="AC37" s="21">
        <f t="shared" si="4"/>
        <v>10858.63</v>
      </c>
      <c r="AD37" s="21">
        <f t="shared" si="4"/>
        <v>1846.01</v>
      </c>
      <c r="AE37" s="21">
        <f t="shared" si="4"/>
        <v>2996.55</v>
      </c>
      <c r="AF37" s="21">
        <f t="shared" si="4"/>
        <v>2248.06</v>
      </c>
      <c r="AG37" s="21">
        <f t="shared" si="4"/>
        <v>633.96</v>
      </c>
      <c r="AH37" s="21">
        <f t="shared" si="4"/>
        <v>1622.54</v>
      </c>
      <c r="AI37" s="21"/>
    </row>
    <row r="38">
      <c r="A38" s="22" t="s">
        <v>40</v>
      </c>
      <c r="B38" s="23">
        <f>sum(B2:B36)-B26</f>
        <v>94992.54</v>
      </c>
      <c r="C38" s="24">
        <f>sum(C2:C37)-C26+2000</f>
        <v>112900</v>
      </c>
      <c r="D38" s="7">
        <f t="shared" ref="D38:D39" si="5">C38-B38</f>
        <v>17907.46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>
      <c r="A39" s="25">
        <f>AI1-E1+1</f>
        <v>0</v>
      </c>
      <c r="B39" s="26"/>
      <c r="C39" s="27"/>
      <c r="D39" s="7">
        <f t="shared" si="5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C57" s="29"/>
    </row>
    <row r="58">
      <c r="A58" s="30">
        <f>B38-B22-J26-O25</f>
        <v>71752.54</v>
      </c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  <row r="1002">
      <c r="C1002" s="29"/>
    </row>
    <row r="1003">
      <c r="C1003" s="29"/>
    </row>
    <row r="1004">
      <c r="C1004" s="29"/>
    </row>
    <row r="1005">
      <c r="C1005" s="29"/>
    </row>
    <row r="1006">
      <c r="C1006" s="29"/>
    </row>
    <row r="1007">
      <c r="C1007" s="29"/>
    </row>
    <row r="1008">
      <c r="C1008" s="29"/>
    </row>
    <row r="1009">
      <c r="C1009" s="29"/>
    </row>
    <row r="1010">
      <c r="C1010" s="29"/>
    </row>
    <row r="1011">
      <c r="C1011" s="29"/>
    </row>
    <row r="1012">
      <c r="C1012" s="29"/>
    </row>
    <row r="1013">
      <c r="C1013" s="29"/>
    </row>
    <row r="1014">
      <c r="C1014" s="29"/>
    </row>
    <row r="1015">
      <c r="C1015" s="31"/>
    </row>
  </sheetData>
  <conditionalFormatting sqref="C2:C36 D2:D39 E2:AI36">
    <cfRule type="timePeriod" dxfId="0" priority="1" timePeriod="today"/>
  </conditionalFormatting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9.86"/>
    <col customWidth="1" min="3" max="35" width="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3">
        <v>44531.0</v>
      </c>
      <c r="F1" s="33">
        <v>44532.0</v>
      </c>
      <c r="G1" s="33">
        <v>44533.0</v>
      </c>
      <c r="H1" s="33">
        <v>44534.0</v>
      </c>
      <c r="I1" s="33">
        <v>44535.0</v>
      </c>
      <c r="J1" s="33">
        <v>44536.0</v>
      </c>
      <c r="K1" s="33">
        <v>44537.0</v>
      </c>
      <c r="L1" s="33">
        <v>44538.0</v>
      </c>
      <c r="M1" s="33">
        <v>44539.0</v>
      </c>
      <c r="N1" s="33">
        <v>44540.0</v>
      </c>
      <c r="O1" s="33">
        <v>44541.0</v>
      </c>
      <c r="P1" s="33">
        <v>44542.0</v>
      </c>
      <c r="Q1" s="33">
        <v>44543.0</v>
      </c>
      <c r="R1" s="33">
        <v>44544.0</v>
      </c>
      <c r="S1" s="33">
        <v>44545.0</v>
      </c>
      <c r="T1" s="33">
        <v>44546.0</v>
      </c>
      <c r="U1" s="33">
        <v>44547.0</v>
      </c>
      <c r="V1" s="33">
        <v>44548.0</v>
      </c>
      <c r="W1" s="33">
        <v>44549.0</v>
      </c>
      <c r="X1" s="33">
        <v>44550.0</v>
      </c>
      <c r="Y1" s="33">
        <v>44551.0</v>
      </c>
      <c r="Z1" s="33">
        <v>44552.0</v>
      </c>
      <c r="AA1" s="33">
        <v>44553.0</v>
      </c>
      <c r="AB1" s="33">
        <v>44554.0</v>
      </c>
      <c r="AC1" s="33">
        <v>44555.0</v>
      </c>
      <c r="AD1" s="33">
        <v>44556.0</v>
      </c>
      <c r="AE1" s="33">
        <v>44557.0</v>
      </c>
      <c r="AF1" s="33">
        <v>44558.0</v>
      </c>
      <c r="AG1" s="33">
        <v>44559.0</v>
      </c>
      <c r="AH1" s="33">
        <v>44560.0</v>
      </c>
      <c r="AI1" s="33">
        <v>44561.0</v>
      </c>
    </row>
    <row r="2">
      <c r="A2" s="5" t="s">
        <v>4</v>
      </c>
      <c r="B2" s="5">
        <f t="shared" ref="B2:B35" si="1">sum(E2:AH2)</f>
        <v>11537.72</v>
      </c>
      <c r="C2" s="6">
        <v>12000.0</v>
      </c>
      <c r="D2" s="7">
        <f t="shared" ref="D2:D33" si="2">C2-B2</f>
        <v>462.28</v>
      </c>
      <c r="E2" s="8"/>
      <c r="F2" s="8">
        <f>83.77+509.49</f>
        <v>593.26</v>
      </c>
      <c r="G2" s="8"/>
      <c r="H2" s="8">
        <f>305.83</f>
        <v>305.83</v>
      </c>
      <c r="I2" s="8">
        <f>757.31</f>
        <v>757.31</v>
      </c>
      <c r="J2" s="8">
        <v>716.1</v>
      </c>
      <c r="K2" s="8">
        <f>122.67+89.4+358.3+92.18</f>
        <v>662.55</v>
      </c>
      <c r="L2" s="8">
        <v>188.36</v>
      </c>
      <c r="M2" s="8">
        <v>246.41</v>
      </c>
      <c r="N2" s="8">
        <f>464.32+23.99</f>
        <v>488.31</v>
      </c>
      <c r="O2" s="8">
        <f>129+34.5+438.37</f>
        <v>601.87</v>
      </c>
      <c r="P2" s="8">
        <f>221+75.3</f>
        <v>296.3</v>
      </c>
      <c r="Q2" s="8"/>
      <c r="R2" s="8">
        <f>415+89+206.43</f>
        <v>710.43</v>
      </c>
      <c r="S2" s="8"/>
      <c r="T2" s="8">
        <f>357.12+647.9</f>
        <v>1005.02</v>
      </c>
      <c r="U2" s="8"/>
      <c r="V2" s="8"/>
      <c r="W2" s="8">
        <f>210.9+342.43+153.34+225.34</f>
        <v>932.01</v>
      </c>
      <c r="X2" s="8">
        <f>183.65+43.8</f>
        <v>227.45</v>
      </c>
      <c r="Y2" s="8">
        <v>168.85</v>
      </c>
      <c r="Z2" s="8">
        <f>283.48+52.5</f>
        <v>335.98</v>
      </c>
      <c r="AA2" s="8">
        <f>186.93+198.16+26+30</f>
        <v>441.09</v>
      </c>
      <c r="AB2" s="8">
        <v>278.74</v>
      </c>
      <c r="AC2" s="8">
        <f>132.71+380.19</f>
        <v>512.9</v>
      </c>
      <c r="AD2" s="8">
        <f>136+302+86</f>
        <v>524</v>
      </c>
      <c r="AE2" s="8">
        <f>609+162.4</f>
        <v>771.4</v>
      </c>
      <c r="AF2" s="8">
        <v>150.72</v>
      </c>
      <c r="AG2" s="8"/>
      <c r="AH2" s="8">
        <v>622.83</v>
      </c>
      <c r="AI2" s="8">
        <f>510.54</f>
        <v>510.54</v>
      </c>
    </row>
    <row r="3">
      <c r="A3" s="9" t="s">
        <v>5</v>
      </c>
      <c r="B3" s="5">
        <f t="shared" si="1"/>
        <v>539</v>
      </c>
      <c r="C3" s="6">
        <v>600.0</v>
      </c>
      <c r="D3" s="7">
        <f t="shared" si="2"/>
        <v>61</v>
      </c>
      <c r="E3" s="8">
        <v>66.0</v>
      </c>
      <c r="F3" s="8"/>
      <c r="G3" s="8"/>
      <c r="H3" s="8">
        <v>8.0</v>
      </c>
      <c r="I3" s="8"/>
      <c r="J3" s="8">
        <v>10.0</v>
      </c>
      <c r="K3" s="8"/>
      <c r="L3" s="8"/>
      <c r="M3" s="8">
        <f>122</f>
        <v>122</v>
      </c>
      <c r="N3" s="8"/>
      <c r="O3" s="8"/>
      <c r="P3" s="38"/>
      <c r="Q3" s="8"/>
      <c r="R3" s="8"/>
      <c r="S3" s="8"/>
      <c r="T3" s="8"/>
      <c r="U3" s="8"/>
      <c r="V3" s="8"/>
      <c r="W3" s="8">
        <v>325.0</v>
      </c>
      <c r="X3" s="8">
        <v>8.0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>
      <c r="A4" s="5" t="s">
        <v>7</v>
      </c>
      <c r="B4" s="5">
        <f t="shared" si="1"/>
        <v>7597.15</v>
      </c>
      <c r="C4" s="6">
        <v>5000.0</v>
      </c>
      <c r="D4" s="7">
        <f t="shared" si="2"/>
        <v>-2597.15</v>
      </c>
      <c r="E4" s="8">
        <v>30.0</v>
      </c>
      <c r="F4" s="8"/>
      <c r="G4" s="8">
        <v>53.0</v>
      </c>
      <c r="H4" s="8">
        <f>182+155+179</f>
        <v>516</v>
      </c>
      <c r="I4" s="8">
        <f>260</f>
        <v>260</v>
      </c>
      <c r="J4" s="8">
        <v>415.0</v>
      </c>
      <c r="K4" s="8"/>
      <c r="L4" s="8">
        <f>30.77+25</f>
        <v>55.77</v>
      </c>
      <c r="M4" s="8">
        <v>122.0</v>
      </c>
      <c r="N4" s="8">
        <v>25.0</v>
      </c>
      <c r="O4" s="8">
        <v>450.0</v>
      </c>
      <c r="P4" s="8">
        <f>715+35</f>
        <v>750</v>
      </c>
      <c r="Q4" s="8">
        <f>103+14</f>
        <v>117</v>
      </c>
      <c r="R4" s="8"/>
      <c r="S4" s="8">
        <f>111+28</f>
        <v>139</v>
      </c>
      <c r="T4" s="8">
        <v>48.19</v>
      </c>
      <c r="U4" s="8">
        <f>115+160+28</f>
        <v>303</v>
      </c>
      <c r="V4" s="8"/>
      <c r="W4" s="8">
        <v>100.0</v>
      </c>
      <c r="X4" s="8"/>
      <c r="Y4" s="8">
        <f>109+71.4</f>
        <v>180.4</v>
      </c>
      <c r="Z4" s="8">
        <f>107.89+16</f>
        <v>123.89</v>
      </c>
      <c r="AA4" s="8">
        <f>112+1740</f>
        <v>1852</v>
      </c>
      <c r="AB4" s="8">
        <v>138.0</v>
      </c>
      <c r="AC4" s="8">
        <v>850.0</v>
      </c>
      <c r="AD4" s="8"/>
      <c r="AE4" s="8"/>
      <c r="AF4" s="8">
        <f>279.9+72</f>
        <v>351.9</v>
      </c>
      <c r="AG4" s="8">
        <f>306+25</f>
        <v>331</v>
      </c>
      <c r="AH4" s="8">
        <f>386</f>
        <v>386</v>
      </c>
      <c r="AI4" s="8">
        <f>250</f>
        <v>250</v>
      </c>
    </row>
    <row r="5">
      <c r="A5" s="9" t="s">
        <v>8</v>
      </c>
      <c r="B5" s="5">
        <f t="shared" si="1"/>
        <v>1005</v>
      </c>
      <c r="C5" s="6">
        <v>5000.0</v>
      </c>
      <c r="D5" s="7">
        <f t="shared" si="2"/>
        <v>3995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>
        <v>1005.0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>
      <c r="A6" s="12" t="s">
        <v>9</v>
      </c>
      <c r="B6" s="12">
        <f t="shared" si="1"/>
        <v>200</v>
      </c>
      <c r="C6" s="11">
        <v>500.0</v>
      </c>
      <c r="D6" s="17">
        <f t="shared" si="2"/>
        <v>300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>
        <v>200.0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>
      <c r="A7" s="9" t="s">
        <v>10</v>
      </c>
      <c r="B7" s="5">
        <f t="shared" si="1"/>
        <v>7412.6</v>
      </c>
      <c r="C7" s="6">
        <v>5000.0</v>
      </c>
      <c r="D7" s="7">
        <f t="shared" si="2"/>
        <v>-2412.6</v>
      </c>
      <c r="E7" s="8"/>
      <c r="F7" s="8"/>
      <c r="G7" s="8">
        <v>1158.0</v>
      </c>
      <c r="H7" s="8">
        <v>25.0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>
        <v>2485.6</v>
      </c>
      <c r="X7" s="8"/>
      <c r="Y7" s="8"/>
      <c r="Z7" s="8"/>
      <c r="AA7" s="8">
        <f>393+1699</f>
        <v>2092</v>
      </c>
      <c r="AB7" s="8">
        <v>820.0</v>
      </c>
      <c r="AC7" s="8"/>
      <c r="AD7" s="8"/>
      <c r="AE7" s="8"/>
      <c r="AF7" s="8">
        <v>832.0</v>
      </c>
      <c r="AG7" s="8"/>
      <c r="AH7" s="8"/>
      <c r="AI7" s="8"/>
    </row>
    <row r="8">
      <c r="A8" s="5" t="s">
        <v>11</v>
      </c>
      <c r="B8" s="5">
        <f t="shared" si="1"/>
        <v>2101</v>
      </c>
      <c r="C8" s="6">
        <v>5000.0</v>
      </c>
      <c r="D8" s="7">
        <f t="shared" si="2"/>
        <v>2899</v>
      </c>
      <c r="E8" s="8">
        <v>500.0</v>
      </c>
      <c r="F8" s="8"/>
      <c r="G8" s="8"/>
      <c r="H8" s="8">
        <v>355.0</v>
      </c>
      <c r="I8" s="8"/>
      <c r="J8" s="8"/>
      <c r="K8" s="8"/>
      <c r="L8" s="8"/>
      <c r="M8" s="8"/>
      <c r="N8" s="8"/>
      <c r="O8" s="8"/>
      <c r="P8" s="8"/>
      <c r="Q8" s="8">
        <v>340.0</v>
      </c>
      <c r="R8" s="8"/>
      <c r="S8" s="8">
        <v>400.0</v>
      </c>
      <c r="T8" s="8">
        <v>506.0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>
        <v>1010.0</v>
      </c>
    </row>
    <row r="9">
      <c r="A9" s="9" t="s">
        <v>12</v>
      </c>
      <c r="B9" s="5">
        <f t="shared" si="1"/>
        <v>134.4</v>
      </c>
      <c r="C9" s="6">
        <v>200.0</v>
      </c>
      <c r="D9" s="7">
        <f t="shared" si="2"/>
        <v>65.6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>
        <v>75.0</v>
      </c>
      <c r="Z9" s="8"/>
      <c r="AA9" s="8"/>
      <c r="AB9" s="8"/>
      <c r="AC9" s="8"/>
      <c r="AD9" s="8"/>
      <c r="AE9" s="8"/>
      <c r="AF9" s="8">
        <v>59.4</v>
      </c>
      <c r="AG9" s="8"/>
      <c r="AH9" s="8"/>
      <c r="AI9" s="8"/>
    </row>
    <row r="10">
      <c r="A10" s="5" t="s">
        <v>13</v>
      </c>
      <c r="B10" s="5">
        <f t="shared" si="1"/>
        <v>1222.42</v>
      </c>
      <c r="C10" s="6">
        <v>1700.0</v>
      </c>
      <c r="D10" s="7">
        <f t="shared" si="2"/>
        <v>477.58</v>
      </c>
      <c r="E10" s="8">
        <f>328.2</f>
        <v>328.2</v>
      </c>
      <c r="F10" s="8"/>
      <c r="G10" s="8"/>
      <c r="H10" s="8"/>
      <c r="I10" s="8"/>
      <c r="J10" s="8"/>
      <c r="K10" s="8">
        <v>47.0</v>
      </c>
      <c r="L10" s="8"/>
      <c r="M10" s="8"/>
      <c r="N10" s="8"/>
      <c r="O10" s="8"/>
      <c r="P10" s="8"/>
      <c r="Q10" s="8">
        <v>99.38</v>
      </c>
      <c r="R10" s="8"/>
      <c r="S10" s="8"/>
      <c r="T10" s="8"/>
      <c r="U10" s="8"/>
      <c r="V10" s="8">
        <v>69.47</v>
      </c>
      <c r="W10" s="8"/>
      <c r="X10" s="8">
        <v>317.0</v>
      </c>
      <c r="Y10" s="8">
        <f>196.98</f>
        <v>196.98</v>
      </c>
      <c r="Z10" s="8"/>
      <c r="AA10" s="8"/>
      <c r="AB10" s="8">
        <f>63</f>
        <v>63</v>
      </c>
      <c r="AC10" s="8"/>
      <c r="AD10" s="8">
        <v>101.39</v>
      </c>
      <c r="AE10" s="8"/>
      <c r="AF10" s="8"/>
      <c r="AG10" s="8"/>
      <c r="AH10" s="8"/>
      <c r="AI10" s="8"/>
    </row>
    <row r="11">
      <c r="A11" s="9" t="s">
        <v>14</v>
      </c>
      <c r="B11" s="5">
        <f t="shared" si="1"/>
        <v>11610.31</v>
      </c>
      <c r="C11" s="6">
        <v>14700.0</v>
      </c>
      <c r="D11" s="7">
        <f t="shared" si="2"/>
        <v>3089.69</v>
      </c>
      <c r="E11" s="8"/>
      <c r="F11" s="8"/>
      <c r="G11" s="8"/>
      <c r="H11" s="8">
        <f>1902.76</f>
        <v>1902.76</v>
      </c>
      <c r="I11" s="8">
        <v>1998.61</v>
      </c>
      <c r="J11" s="8"/>
      <c r="K11" s="8">
        <f>1476.19</f>
        <v>1476.19</v>
      </c>
      <c r="L11" s="8"/>
      <c r="M11" s="8"/>
      <c r="N11" s="8"/>
      <c r="O11" s="8"/>
      <c r="P11" s="8"/>
      <c r="Q11" s="8"/>
      <c r="R11" s="8"/>
      <c r="S11" s="8">
        <v>1967.34</v>
      </c>
      <c r="T11" s="8"/>
      <c r="U11" s="8"/>
      <c r="V11" s="8"/>
      <c r="W11" s="8"/>
      <c r="X11" s="8"/>
      <c r="Y11" s="8"/>
      <c r="Z11" s="8">
        <v>1920.1</v>
      </c>
      <c r="AA11" s="8"/>
      <c r="AB11" s="8"/>
      <c r="AC11" s="8"/>
      <c r="AD11" s="8"/>
      <c r="AE11" s="8"/>
      <c r="AF11" s="8">
        <f>1359.6+985.71</f>
        <v>2345.31</v>
      </c>
      <c r="AG11" s="8"/>
      <c r="AH11" s="8"/>
      <c r="AI11" s="8"/>
    </row>
    <row r="12">
      <c r="A12" s="5" t="s">
        <v>15</v>
      </c>
      <c r="B12" s="5">
        <f t="shared" si="1"/>
        <v>9600</v>
      </c>
      <c r="C12" s="6">
        <v>3000.0</v>
      </c>
      <c r="D12" s="7">
        <f t="shared" si="2"/>
        <v>-6600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9600.0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>
      <c r="A13" s="9" t="s">
        <v>16</v>
      </c>
      <c r="B13" s="5">
        <f t="shared" si="1"/>
        <v>176</v>
      </c>
      <c r="C13" s="6"/>
      <c r="D13" s="7">
        <f t="shared" si="2"/>
        <v>-176</v>
      </c>
      <c r="E13" s="8"/>
      <c r="F13" s="8"/>
      <c r="G13" s="8"/>
      <c r="H13" s="8"/>
      <c r="I13" s="8">
        <v>176.0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>
      <c r="A14" s="12" t="s">
        <v>17</v>
      </c>
      <c r="B14" s="5">
        <f t="shared" si="1"/>
        <v>445.54</v>
      </c>
      <c r="C14" s="6">
        <v>500.0</v>
      </c>
      <c r="D14" s="7">
        <f t="shared" si="2"/>
        <v>54.46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>
        <v>445.54</v>
      </c>
      <c r="AD14" s="8"/>
      <c r="AE14" s="8"/>
      <c r="AF14" s="8"/>
      <c r="AG14" s="8"/>
      <c r="AH14" s="8"/>
      <c r="AI14" s="8"/>
    </row>
    <row r="15">
      <c r="A15" s="5" t="s">
        <v>18</v>
      </c>
      <c r="B15" s="5">
        <f t="shared" si="1"/>
        <v>2120</v>
      </c>
      <c r="C15" s="6">
        <v>4000.0</v>
      </c>
      <c r="D15" s="7">
        <f t="shared" si="2"/>
        <v>1880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120.0</v>
      </c>
      <c r="P15" s="8"/>
      <c r="Q15" s="8">
        <v>2000.0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>
      <c r="A16" s="12" t="s">
        <v>19</v>
      </c>
      <c r="B16" s="5">
        <f t="shared" si="1"/>
        <v>600</v>
      </c>
      <c r="C16" s="6">
        <v>600.0</v>
      </c>
      <c r="D16" s="7">
        <f t="shared" si="2"/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600.0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>
      <c r="A17" s="5" t="s">
        <v>20</v>
      </c>
      <c r="B17" s="5">
        <f t="shared" si="1"/>
        <v>0</v>
      </c>
      <c r="C17" s="6">
        <v>0.0</v>
      </c>
      <c r="D17" s="7">
        <f t="shared" si="2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>
      <c r="A18" s="12" t="s">
        <v>21</v>
      </c>
      <c r="B18" s="5">
        <f t="shared" si="1"/>
        <v>200</v>
      </c>
      <c r="C18" s="6">
        <v>700.0</v>
      </c>
      <c r="D18" s="7">
        <f t="shared" si="2"/>
        <v>500</v>
      </c>
      <c r="E18" s="8">
        <v>200.0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>
      <c r="A19" s="5" t="s">
        <v>22</v>
      </c>
      <c r="B19" s="5">
        <f t="shared" si="1"/>
        <v>500</v>
      </c>
      <c r="C19" s="6">
        <v>500.0</v>
      </c>
      <c r="D19" s="7">
        <f t="shared" si="2"/>
        <v>0</v>
      </c>
      <c r="E19" s="8"/>
      <c r="F19" s="8"/>
      <c r="G19" s="8"/>
      <c r="H19" s="8"/>
      <c r="I19" s="8">
        <v>500.0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>
      <c r="A20" s="5" t="s">
        <v>23</v>
      </c>
      <c r="B20" s="5">
        <f t="shared" si="1"/>
        <v>370</v>
      </c>
      <c r="C20" s="6">
        <v>400.0</v>
      </c>
      <c r="D20" s="7">
        <f t="shared" si="2"/>
        <v>30</v>
      </c>
      <c r="E20" s="8">
        <f>90+135+45</f>
        <v>270</v>
      </c>
      <c r="F20" s="8"/>
      <c r="G20" s="8"/>
      <c r="H20" s="8"/>
      <c r="I20" s="8"/>
      <c r="J20" s="8"/>
      <c r="K20" s="8"/>
      <c r="L20" s="8"/>
      <c r="M20" s="8">
        <v>100.0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>
        <f>135+45</f>
        <v>180</v>
      </c>
    </row>
    <row r="21">
      <c r="A21" s="12" t="s">
        <v>24</v>
      </c>
      <c r="B21" s="5">
        <f t="shared" si="1"/>
        <v>14000</v>
      </c>
      <c r="C21" s="6">
        <v>14000.0</v>
      </c>
      <c r="D21" s="7">
        <f t="shared" si="2"/>
        <v>0</v>
      </c>
      <c r="E21" s="8">
        <v>14000.0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>
      <c r="A22" s="12" t="s">
        <v>25</v>
      </c>
      <c r="B22" s="5">
        <f t="shared" si="1"/>
        <v>9130.21</v>
      </c>
      <c r="C22" s="6">
        <v>8300.0</v>
      </c>
      <c r="D22" s="7">
        <f t="shared" si="2"/>
        <v>-830.21</v>
      </c>
      <c r="E22" s="8"/>
      <c r="F22" s="8"/>
      <c r="G22" s="8"/>
      <c r="H22" s="8"/>
      <c r="I22" s="8"/>
      <c r="J22" s="8"/>
      <c r="K22" s="8"/>
      <c r="L22" s="8">
        <v>8412.0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>
        <v>718.21</v>
      </c>
      <c r="AI22" s="8"/>
    </row>
    <row r="23">
      <c r="A23" s="9" t="s">
        <v>26</v>
      </c>
      <c r="B23" s="5">
        <f t="shared" si="1"/>
        <v>41.3</v>
      </c>
      <c r="C23" s="6"/>
      <c r="D23" s="7">
        <f t="shared" si="2"/>
        <v>-41.3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41.3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>
      <c r="A24" s="12" t="s">
        <v>27</v>
      </c>
      <c r="B24" s="5">
        <f t="shared" si="1"/>
        <v>1193.3</v>
      </c>
      <c r="C24" s="6">
        <v>1000.0</v>
      </c>
      <c r="D24" s="7">
        <f t="shared" si="2"/>
        <v>-193.3</v>
      </c>
      <c r="E24" s="8"/>
      <c r="G24" s="8">
        <v>100.0</v>
      </c>
      <c r="H24" s="8">
        <f>141.3</f>
        <v>141.3</v>
      </c>
      <c r="I24" s="8">
        <v>360.0</v>
      </c>
      <c r="J24" s="8"/>
      <c r="K24" s="8"/>
      <c r="L24" s="8"/>
      <c r="M24" s="8">
        <v>27.0</v>
      </c>
      <c r="N24" s="8">
        <v>42.0</v>
      </c>
      <c r="O24" s="8">
        <v>65.0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>
        <f>100</f>
        <v>100</v>
      </c>
      <c r="AC24" s="8">
        <f>63+80</f>
        <v>143</v>
      </c>
      <c r="AD24" s="8"/>
      <c r="AE24" s="8"/>
      <c r="AF24" s="8"/>
      <c r="AG24" s="8"/>
      <c r="AH24" s="8">
        <f>175+40</f>
        <v>215</v>
      </c>
      <c r="AI24" s="8">
        <v>30.0</v>
      </c>
    </row>
    <row r="25">
      <c r="A25" s="16" t="s">
        <v>28</v>
      </c>
      <c r="B25" s="5">
        <f t="shared" si="1"/>
        <v>700</v>
      </c>
      <c r="C25" s="6">
        <v>200.0</v>
      </c>
      <c r="D25" s="7">
        <f t="shared" si="2"/>
        <v>-500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200</f>
        <v>200</v>
      </c>
      <c r="T25" s="8"/>
      <c r="U25" s="8">
        <v>500.0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>
      <c r="A26" s="16" t="s">
        <v>29</v>
      </c>
      <c r="B26" s="5">
        <f t="shared" si="1"/>
        <v>2160</v>
      </c>
      <c r="C26" s="6">
        <v>2100.0</v>
      </c>
      <c r="D26" s="7">
        <f t="shared" si="2"/>
        <v>-60</v>
      </c>
      <c r="E26" s="8"/>
      <c r="F26" s="8"/>
      <c r="G26" s="8"/>
      <c r="H26" s="8"/>
      <c r="I26" s="8">
        <v>280.0</v>
      </c>
      <c r="J26" s="8"/>
      <c r="K26" s="8"/>
      <c r="L26" s="8"/>
      <c r="M26" s="8"/>
      <c r="N26" s="8">
        <f>1600</f>
        <v>1600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>
        <v>280.0</v>
      </c>
      <c r="AE26" s="8"/>
      <c r="AF26" s="8"/>
      <c r="AG26" s="8"/>
      <c r="AH26" s="8"/>
      <c r="AI26" s="8"/>
    </row>
    <row r="27">
      <c r="A27" s="16" t="s">
        <v>30</v>
      </c>
      <c r="B27" s="5">
        <f t="shared" si="1"/>
        <v>2327.5</v>
      </c>
      <c r="C27" s="6">
        <v>2000.0</v>
      </c>
      <c r="D27" s="7">
        <f t="shared" si="2"/>
        <v>-327.5</v>
      </c>
      <c r="E27" s="8"/>
      <c r="F27" s="8"/>
      <c r="G27" s="8"/>
      <c r="H27" s="8"/>
      <c r="I27" s="8"/>
      <c r="J27" s="8"/>
      <c r="K27" s="8"/>
      <c r="L27" s="8"/>
      <c r="M27" s="8">
        <v>1466.4</v>
      </c>
      <c r="N27" s="8"/>
      <c r="O27" s="8"/>
      <c r="P27" s="8"/>
      <c r="Q27" s="8"/>
      <c r="R27" s="8">
        <v>215.0</v>
      </c>
      <c r="S27" s="8"/>
      <c r="T27" s="8">
        <f>20+122.1</f>
        <v>142.1</v>
      </c>
      <c r="U27" s="8"/>
      <c r="V27" s="8">
        <v>4.0</v>
      </c>
      <c r="W27" s="8"/>
      <c r="X27" s="8"/>
      <c r="Y27" s="8"/>
      <c r="Z27" s="8">
        <v>500.0</v>
      </c>
      <c r="AA27" s="8"/>
      <c r="AB27" s="8"/>
      <c r="AC27" s="8"/>
      <c r="AD27" s="8"/>
      <c r="AE27" s="8"/>
      <c r="AF27" s="8"/>
      <c r="AG27" s="8"/>
      <c r="AH27" s="8"/>
      <c r="AI27" s="8"/>
    </row>
    <row r="28">
      <c r="A28" s="16" t="s">
        <v>31</v>
      </c>
      <c r="B28" s="5">
        <f t="shared" si="1"/>
        <v>2181</v>
      </c>
      <c r="C28" s="6">
        <v>1000.0</v>
      </c>
      <c r="D28" s="7">
        <f t="shared" si="2"/>
        <v>-1181</v>
      </c>
      <c r="E28" s="8"/>
      <c r="F28" s="8"/>
      <c r="G28" s="8"/>
      <c r="H28" s="8"/>
      <c r="I28" s="8">
        <f>250+1400</f>
        <v>1650</v>
      </c>
      <c r="J28" s="8"/>
      <c r="K28" s="8"/>
      <c r="L28" s="8"/>
      <c r="M28" s="8"/>
      <c r="N28" s="8"/>
      <c r="O28" s="8"/>
      <c r="P28" s="8">
        <v>500.0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>
        <v>31.0</v>
      </c>
      <c r="AH28" s="8"/>
      <c r="AI28" s="8"/>
    </row>
    <row r="29">
      <c r="A29" s="16" t="s">
        <v>32</v>
      </c>
      <c r="B29" s="5">
        <f t="shared" si="1"/>
        <v>500</v>
      </c>
      <c r="C29" s="6">
        <v>1200.0</v>
      </c>
      <c r="D29" s="7">
        <f t="shared" si="2"/>
        <v>700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v>500.0</v>
      </c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>
      <c r="A30" s="5" t="s">
        <v>33</v>
      </c>
      <c r="B30" s="5">
        <f t="shared" si="1"/>
        <v>76.3</v>
      </c>
      <c r="C30" s="6">
        <v>200.0</v>
      </c>
      <c r="D30" s="7">
        <f t="shared" si="2"/>
        <v>123.7</v>
      </c>
      <c r="E30" s="8"/>
      <c r="F30" s="8"/>
      <c r="G30" s="8"/>
      <c r="H30" s="8"/>
      <c r="I30" s="8"/>
      <c r="J30" s="8"/>
      <c r="K30" s="8"/>
      <c r="L30" s="8"/>
      <c r="M30" s="3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>
        <v>12.5</v>
      </c>
      <c r="Z30" s="8">
        <v>12.5</v>
      </c>
      <c r="AA30" s="8"/>
      <c r="AB30" s="8"/>
      <c r="AC30" s="8">
        <v>51.3</v>
      </c>
      <c r="AD30" s="8"/>
      <c r="AE30" s="8"/>
      <c r="AF30" s="8"/>
      <c r="AG30" s="8"/>
      <c r="AH30" s="8"/>
      <c r="AI30" s="8"/>
    </row>
    <row r="31">
      <c r="A31" s="16" t="s">
        <v>34</v>
      </c>
      <c r="B31" s="5">
        <f t="shared" si="1"/>
        <v>2950</v>
      </c>
      <c r="C31" s="6">
        <v>4200.0</v>
      </c>
      <c r="D31" s="7">
        <f t="shared" si="2"/>
        <v>1250</v>
      </c>
      <c r="E31" s="8"/>
      <c r="F31" s="8"/>
      <c r="G31" s="8"/>
      <c r="H31" s="8"/>
      <c r="I31" s="8"/>
      <c r="J31" s="8"/>
      <c r="K31" s="8"/>
      <c r="L31" s="8"/>
      <c r="M31" s="8">
        <v>850.0</v>
      </c>
      <c r="N31" s="8"/>
      <c r="O31" s="8"/>
      <c r="P31" s="8"/>
      <c r="Q31" s="8">
        <v>850.0</v>
      </c>
      <c r="R31" s="8"/>
      <c r="S31" s="8"/>
      <c r="T31" s="8"/>
      <c r="U31" s="8"/>
      <c r="V31" s="8"/>
      <c r="W31" s="8"/>
      <c r="X31" s="8">
        <v>400.0</v>
      </c>
      <c r="Y31" s="8"/>
      <c r="Z31" s="8"/>
      <c r="AA31" s="8"/>
      <c r="AB31" s="8"/>
      <c r="AC31" s="8"/>
      <c r="AD31" s="8"/>
      <c r="AE31" s="8">
        <v>850.0</v>
      </c>
      <c r="AF31" s="8"/>
      <c r="AG31" s="8"/>
      <c r="AH31" s="8"/>
      <c r="AI31" s="8"/>
    </row>
    <row r="32">
      <c r="A32" s="5" t="s">
        <v>35</v>
      </c>
      <c r="B32" s="5">
        <f t="shared" si="1"/>
        <v>27807</v>
      </c>
      <c r="C32" s="6">
        <v>30000.0</v>
      </c>
      <c r="D32" s="7">
        <f t="shared" si="2"/>
        <v>2193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27807.0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>
      <c r="A33" s="5" t="s">
        <v>36</v>
      </c>
      <c r="B33" s="5">
        <f t="shared" si="1"/>
        <v>0</v>
      </c>
      <c r="C33" s="6"/>
      <c r="D33" s="7">
        <f t="shared" si="2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>
      <c r="A34" s="12" t="s">
        <v>37</v>
      </c>
      <c r="B34" s="5">
        <f t="shared" si="1"/>
        <v>3261</v>
      </c>
      <c r="C34" s="11">
        <v>5400.0</v>
      </c>
      <c r="D34" s="7"/>
      <c r="E34" s="34"/>
      <c r="F34" s="34"/>
      <c r="G34" s="34">
        <f>545+286</f>
        <v>831</v>
      </c>
      <c r="H34" s="34"/>
      <c r="I34" s="34"/>
      <c r="J34" s="34"/>
      <c r="K34" s="34"/>
      <c r="L34" s="34"/>
      <c r="M34" s="34"/>
      <c r="N34" s="34">
        <f>540</f>
        <v>540</v>
      </c>
      <c r="O34" s="34"/>
      <c r="P34" s="34"/>
      <c r="Q34" s="34"/>
      <c r="R34" s="34">
        <v>270.0</v>
      </c>
      <c r="S34" s="34"/>
      <c r="T34" s="34"/>
      <c r="U34" s="34">
        <f>270+540</f>
        <v>810</v>
      </c>
      <c r="V34" s="34"/>
      <c r="W34" s="34"/>
      <c r="X34" s="34"/>
      <c r="Y34" s="34"/>
      <c r="Z34" s="34">
        <v>270.0</v>
      </c>
      <c r="AA34" s="34"/>
      <c r="AB34" s="34">
        <f>540</f>
        <v>540</v>
      </c>
      <c r="AC34" s="34"/>
      <c r="AD34" s="34"/>
      <c r="AE34" s="34"/>
      <c r="AF34" s="34"/>
      <c r="AG34" s="34"/>
      <c r="AH34" s="34"/>
      <c r="AI34" s="34">
        <v>270.0</v>
      </c>
    </row>
    <row r="35">
      <c r="A35" s="9" t="s">
        <v>38</v>
      </c>
      <c r="B35" s="9">
        <f t="shared" si="1"/>
        <v>1518.91</v>
      </c>
      <c r="C35" s="13">
        <v>1000.0</v>
      </c>
      <c r="D35" s="14">
        <f>C35-B35</f>
        <v>-518.91</v>
      </c>
      <c r="E35" s="35"/>
      <c r="F35" s="35">
        <f>415.91+800</f>
        <v>1215.91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>
        <v>303.0</v>
      </c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>
      <c r="A36" s="1" t="s">
        <v>39</v>
      </c>
      <c r="B36" s="18"/>
      <c r="C36" s="19"/>
      <c r="D36" s="20"/>
      <c r="E36" s="21">
        <f t="shared" ref="E36:AA36" si="3">SUM(E2:E35)</f>
        <v>15394.2</v>
      </c>
      <c r="F36" s="21">
        <f t="shared" si="3"/>
        <v>1809.17</v>
      </c>
      <c r="G36" s="21">
        <f t="shared" si="3"/>
        <v>2142</v>
      </c>
      <c r="H36" s="21">
        <f t="shared" si="3"/>
        <v>3253.89</v>
      </c>
      <c r="I36" s="21">
        <f t="shared" si="3"/>
        <v>5981.92</v>
      </c>
      <c r="J36" s="21">
        <f t="shared" si="3"/>
        <v>1141.1</v>
      </c>
      <c r="K36" s="21">
        <f t="shared" si="3"/>
        <v>2185.74</v>
      </c>
      <c r="L36" s="21">
        <f t="shared" si="3"/>
        <v>8656.13</v>
      </c>
      <c r="M36" s="21">
        <f t="shared" si="3"/>
        <v>2933.81</v>
      </c>
      <c r="N36" s="21">
        <f t="shared" si="3"/>
        <v>2695.31</v>
      </c>
      <c r="O36" s="21">
        <f t="shared" si="3"/>
        <v>1278.17</v>
      </c>
      <c r="P36" s="21">
        <f t="shared" si="3"/>
        <v>2551.3</v>
      </c>
      <c r="Q36" s="21">
        <f t="shared" si="3"/>
        <v>3406.38</v>
      </c>
      <c r="R36" s="21">
        <f t="shared" si="3"/>
        <v>29002.43</v>
      </c>
      <c r="S36" s="21">
        <f t="shared" si="3"/>
        <v>2706.34</v>
      </c>
      <c r="T36" s="21">
        <f t="shared" si="3"/>
        <v>2301.31</v>
      </c>
      <c r="U36" s="21">
        <f t="shared" si="3"/>
        <v>2116</v>
      </c>
      <c r="V36" s="21">
        <f t="shared" si="3"/>
        <v>73.47</v>
      </c>
      <c r="W36" s="21">
        <f t="shared" si="3"/>
        <v>13442.61</v>
      </c>
      <c r="X36" s="21">
        <f t="shared" si="3"/>
        <v>952.45</v>
      </c>
      <c r="Y36" s="21">
        <f t="shared" si="3"/>
        <v>1133.73</v>
      </c>
      <c r="Z36" s="21">
        <f t="shared" si="3"/>
        <v>3162.47</v>
      </c>
      <c r="AA36" s="21">
        <f t="shared" si="3"/>
        <v>4385.09</v>
      </c>
      <c r="AB36" s="21">
        <f t="shared" ref="AB36:AH36" si="4">SUM(AB2:AB32)</f>
        <v>1399.74</v>
      </c>
      <c r="AC36" s="21">
        <f t="shared" si="4"/>
        <v>2002.74</v>
      </c>
      <c r="AD36" s="21">
        <f t="shared" si="4"/>
        <v>905.39</v>
      </c>
      <c r="AE36" s="21">
        <f t="shared" si="4"/>
        <v>1621.4</v>
      </c>
      <c r="AF36" s="21">
        <f t="shared" si="4"/>
        <v>3739.33</v>
      </c>
      <c r="AG36" s="21">
        <f t="shared" si="4"/>
        <v>362</v>
      </c>
      <c r="AH36" s="21">
        <f t="shared" si="4"/>
        <v>1942.04</v>
      </c>
      <c r="AI36" s="21"/>
    </row>
    <row r="37">
      <c r="A37" s="22" t="s">
        <v>40</v>
      </c>
      <c r="B37" s="23">
        <f>sum(B2:B35)</f>
        <v>125217.66</v>
      </c>
      <c r="C37" s="24">
        <f>sum(C2:C36)</f>
        <v>130000</v>
      </c>
      <c r="D37" s="7">
        <f t="shared" ref="D37:D38" si="5">C37-B37</f>
        <v>4782.34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>
      <c r="A38" s="25">
        <f>AI1-E1+1</f>
        <v>31</v>
      </c>
      <c r="B38" s="26"/>
      <c r="C38" s="27"/>
      <c r="D38" s="7">
        <f t="shared" si="5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>
      <c r="C39" s="29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A57" s="30">
        <f>B37-B21-J25-O24</f>
        <v>111152.66</v>
      </c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  <row r="1002">
      <c r="C1002" s="29"/>
    </row>
    <row r="1003">
      <c r="C1003" s="29"/>
    </row>
    <row r="1004">
      <c r="C1004" s="29"/>
    </row>
    <row r="1005">
      <c r="C1005" s="29"/>
    </row>
    <row r="1006">
      <c r="C1006" s="29"/>
    </row>
    <row r="1007">
      <c r="C1007" s="29"/>
    </row>
    <row r="1008">
      <c r="C1008" s="29"/>
    </row>
    <row r="1009">
      <c r="C1009" s="29"/>
    </row>
    <row r="1010">
      <c r="C1010" s="29"/>
    </row>
    <row r="1011">
      <c r="C1011" s="29"/>
    </row>
    <row r="1012">
      <c r="C1012" s="29"/>
    </row>
    <row r="1013">
      <c r="C1013" s="29"/>
    </row>
    <row r="1014">
      <c r="C1014" s="31"/>
    </row>
  </sheetData>
  <conditionalFormatting sqref="C2:C35 D2:D38 E2:AI35">
    <cfRule type="timePeriod" dxfId="0" priority="1" timePeriod="today"/>
  </conditionalFormatting>
  <conditionalFormatting sqref="G2:G35">
    <cfRule type="expression" dxfId="0" priority="2">
      <formula>"$f1=дата сьогодні"</formula>
    </cfRule>
  </conditionalFormatting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9.86"/>
    <col customWidth="1" min="3" max="34" width="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3">
        <v>44501.0</v>
      </c>
      <c r="F1" s="33">
        <v>44502.0</v>
      </c>
      <c r="G1" s="33">
        <v>44503.0</v>
      </c>
      <c r="H1" s="33">
        <v>44504.0</v>
      </c>
      <c r="I1" s="33">
        <v>44505.0</v>
      </c>
      <c r="J1" s="33">
        <v>44506.0</v>
      </c>
      <c r="K1" s="33">
        <v>44507.0</v>
      </c>
      <c r="L1" s="33">
        <v>44508.0</v>
      </c>
      <c r="M1" s="33">
        <v>44509.0</v>
      </c>
      <c r="N1" s="33">
        <v>44510.0</v>
      </c>
      <c r="O1" s="33">
        <v>44511.0</v>
      </c>
      <c r="P1" s="33">
        <v>44512.0</v>
      </c>
      <c r="Q1" s="33">
        <v>44513.0</v>
      </c>
      <c r="R1" s="33">
        <v>44514.0</v>
      </c>
      <c r="S1" s="33">
        <v>44515.0</v>
      </c>
      <c r="T1" s="33">
        <v>44516.0</v>
      </c>
      <c r="U1" s="33">
        <v>44517.0</v>
      </c>
      <c r="V1" s="33">
        <v>44518.0</v>
      </c>
      <c r="W1" s="33">
        <v>44519.0</v>
      </c>
      <c r="X1" s="33">
        <v>44520.0</v>
      </c>
      <c r="Y1" s="33">
        <v>44521.0</v>
      </c>
      <c r="Z1" s="33">
        <v>44522.0</v>
      </c>
      <c r="AA1" s="33">
        <v>44523.0</v>
      </c>
      <c r="AB1" s="33">
        <v>44524.0</v>
      </c>
      <c r="AC1" s="33">
        <v>44525.0</v>
      </c>
      <c r="AD1" s="33">
        <v>44526.0</v>
      </c>
      <c r="AE1" s="33">
        <v>44527.0</v>
      </c>
      <c r="AF1" s="33">
        <v>44528.0</v>
      </c>
      <c r="AG1" s="33">
        <v>44529.0</v>
      </c>
      <c r="AH1" s="33">
        <v>44530.0</v>
      </c>
    </row>
    <row r="2">
      <c r="A2" s="5" t="s">
        <v>4</v>
      </c>
      <c r="B2" s="5">
        <f t="shared" ref="B2:B35" si="1">sum(E2:AH2)</f>
        <v>11761.54</v>
      </c>
      <c r="C2" s="6">
        <v>12000.0</v>
      </c>
      <c r="D2" s="7">
        <f t="shared" ref="D2:D33" si="2">C2-B2</f>
        <v>238.46</v>
      </c>
      <c r="E2" s="8">
        <f>74.67+476.43</f>
        <v>551.1</v>
      </c>
      <c r="F2" s="8"/>
      <c r="G2" s="8">
        <f>110</f>
        <v>110</v>
      </c>
      <c r="H2" s="8">
        <f>7+212.07+106.3</f>
        <v>325.37</v>
      </c>
      <c r="I2" s="8">
        <f>38.3+556+103.2</f>
        <v>697.5</v>
      </c>
      <c r="J2" s="8">
        <f>411</f>
        <v>411</v>
      </c>
      <c r="K2" s="8"/>
      <c r="L2" s="8">
        <f>66+180.62+75.68</f>
        <v>322.3</v>
      </c>
      <c r="M2" s="8">
        <f>45.47+220.17</f>
        <v>265.64</v>
      </c>
      <c r="N2" s="8">
        <f>369.94</f>
        <v>369.94</v>
      </c>
      <c r="O2" s="8">
        <f>480.3</f>
        <v>480.3</v>
      </c>
      <c r="P2" s="8">
        <f>410.72</f>
        <v>410.72</v>
      </c>
      <c r="Q2" s="8"/>
      <c r="R2" s="8">
        <f>22.5+444.9</f>
        <v>467.4</v>
      </c>
      <c r="S2" s="8">
        <f>532.26</f>
        <v>532.26</v>
      </c>
      <c r="T2" s="8">
        <f>121+34.4+77.96</f>
        <v>233.36</v>
      </c>
      <c r="U2" s="8">
        <f>123.8+236.39+100.1</f>
        <v>460.29</v>
      </c>
      <c r="V2" s="8">
        <v>246.6</v>
      </c>
      <c r="W2" s="8">
        <f>461.7</f>
        <v>461.7</v>
      </c>
      <c r="X2" s="8">
        <f>232.87</f>
        <v>232.87</v>
      </c>
      <c r="Y2" s="8">
        <f>636.3+56.89</f>
        <v>693.19</v>
      </c>
      <c r="Z2" s="8">
        <f>284.67+461.19+17.99</f>
        <v>763.85</v>
      </c>
      <c r="AA2" s="8"/>
      <c r="AB2" s="8">
        <f>634.93</f>
        <v>634.93</v>
      </c>
      <c r="AC2" s="8">
        <f>445.14</f>
        <v>445.14</v>
      </c>
      <c r="AD2" s="8">
        <f>856.94</f>
        <v>856.94</v>
      </c>
      <c r="AE2" s="8">
        <f>30+547.28</f>
        <v>577.28</v>
      </c>
      <c r="AF2" s="8">
        <f>25+64+31+616.66</f>
        <v>736.66</v>
      </c>
      <c r="AG2" s="8">
        <f>263.44</f>
        <v>263.44</v>
      </c>
      <c r="AH2" s="8">
        <v>211.76</v>
      </c>
    </row>
    <row r="3">
      <c r="A3" s="9" t="s">
        <v>5</v>
      </c>
      <c r="B3" s="5">
        <f t="shared" si="1"/>
        <v>1177.97</v>
      </c>
      <c r="C3" s="6">
        <v>600.0</v>
      </c>
      <c r="D3" s="7">
        <f t="shared" si="2"/>
        <v>-577.97</v>
      </c>
      <c r="E3" s="8">
        <f>8+8+8+8</f>
        <v>32</v>
      </c>
      <c r="F3" s="8"/>
      <c r="G3" s="8">
        <f t="shared" ref="G3:H3" si="3">8+8</f>
        <v>16</v>
      </c>
      <c r="H3" s="8">
        <f t="shared" si="3"/>
        <v>16</v>
      </c>
      <c r="I3" s="8"/>
      <c r="J3" s="8">
        <f>33</f>
        <v>33</v>
      </c>
      <c r="K3" s="8"/>
      <c r="L3" s="8">
        <f>8+8+36+8+8</f>
        <v>68</v>
      </c>
      <c r="M3" s="8"/>
      <c r="N3" s="8">
        <f>100+117.05+20+125.23+114.2</f>
        <v>476.48</v>
      </c>
      <c r="O3" s="8"/>
      <c r="P3" s="38">
        <v>10.0</v>
      </c>
      <c r="Q3" s="8"/>
      <c r="R3" s="8"/>
      <c r="S3" s="8"/>
      <c r="T3" s="8">
        <f>8+63+8</f>
        <v>79</v>
      </c>
      <c r="U3" s="8"/>
      <c r="V3" s="8">
        <f>8+8+8</f>
        <v>24</v>
      </c>
      <c r="W3" s="8"/>
      <c r="X3" s="8"/>
      <c r="Y3" s="8">
        <f>50+325</f>
        <v>375</v>
      </c>
      <c r="Z3" s="8">
        <f>12</f>
        <v>12</v>
      </c>
      <c r="AA3" s="8">
        <f>20.49</f>
        <v>20.49</v>
      </c>
      <c r="AB3" s="8"/>
      <c r="AC3" s="8"/>
      <c r="AD3" s="8"/>
      <c r="AE3" s="8"/>
      <c r="AF3" s="8"/>
      <c r="AG3" s="8"/>
      <c r="AH3" s="8">
        <v>16.0</v>
      </c>
    </row>
    <row r="4">
      <c r="A4" s="5" t="s">
        <v>7</v>
      </c>
      <c r="B4" s="5">
        <f t="shared" si="1"/>
        <v>4860.84</v>
      </c>
      <c r="C4" s="6">
        <v>9000.0</v>
      </c>
      <c r="D4" s="7">
        <f t="shared" si="2"/>
        <v>4139.16</v>
      </c>
      <c r="E4" s="8">
        <v>16.0</v>
      </c>
      <c r="F4" s="8">
        <v>109.0</v>
      </c>
      <c r="G4" s="8">
        <f>39.45+16</f>
        <v>55.45</v>
      </c>
      <c r="H4" s="8"/>
      <c r="I4" s="8"/>
      <c r="J4" s="8">
        <f>70+50+526</f>
        <v>646</v>
      </c>
      <c r="K4" s="8">
        <v>420.0</v>
      </c>
      <c r="L4" s="8"/>
      <c r="M4" s="8">
        <f>48.2+60</f>
        <v>108.2</v>
      </c>
      <c r="N4" s="8"/>
      <c r="O4" s="8">
        <f>86</f>
        <v>86</v>
      </c>
      <c r="P4" s="8">
        <f>830-250</f>
        <v>580</v>
      </c>
      <c r="Q4" s="8">
        <f>350</f>
        <v>350</v>
      </c>
      <c r="R4" s="8">
        <v>122.0</v>
      </c>
      <c r="S4" s="8"/>
      <c r="T4" s="8"/>
      <c r="U4" s="8">
        <f>16</f>
        <v>16</v>
      </c>
      <c r="V4" s="8">
        <v>66.23</v>
      </c>
      <c r="W4" s="8">
        <f>30</f>
        <v>30</v>
      </c>
      <c r="X4" s="8">
        <f>688+20</f>
        <v>708</v>
      </c>
      <c r="Y4" s="8">
        <f>746+84</f>
        <v>830</v>
      </c>
      <c r="Z4" s="8"/>
      <c r="AA4" s="8">
        <f>62.45</f>
        <v>62.45</v>
      </c>
      <c r="AB4" s="8"/>
      <c r="AC4" s="8"/>
      <c r="AD4" s="8"/>
      <c r="AE4" s="8">
        <v>568.0</v>
      </c>
      <c r="AF4" s="8"/>
      <c r="AG4" s="8">
        <v>35.0</v>
      </c>
      <c r="AH4" s="8">
        <v>52.51</v>
      </c>
    </row>
    <row r="5">
      <c r="A5" s="9" t="s">
        <v>8</v>
      </c>
      <c r="B5" s="5">
        <f t="shared" si="1"/>
        <v>7170</v>
      </c>
      <c r="C5" s="6">
        <v>10000.0</v>
      </c>
      <c r="D5" s="7">
        <f t="shared" si="2"/>
        <v>2830</v>
      </c>
      <c r="E5" s="8"/>
      <c r="F5" s="8"/>
      <c r="G5" s="8">
        <f>1199</f>
        <v>1199</v>
      </c>
      <c r="H5" s="8">
        <v>259.0</v>
      </c>
      <c r="I5" s="8">
        <v>280.0</v>
      </c>
      <c r="J5" s="8"/>
      <c r="K5" s="8"/>
      <c r="L5" s="8"/>
      <c r="M5" s="8"/>
      <c r="N5" s="8"/>
      <c r="O5" s="8"/>
      <c r="P5" s="8"/>
      <c r="Q5" s="8">
        <v>2525.0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>
        <f>288</f>
        <v>288</v>
      </c>
      <c r="AF5" s="8">
        <v>2619.0</v>
      </c>
      <c r="AG5" s="8"/>
      <c r="AH5" s="8"/>
    </row>
    <row r="6">
      <c r="A6" s="12" t="s">
        <v>9</v>
      </c>
      <c r="B6" s="12">
        <f t="shared" si="1"/>
        <v>69</v>
      </c>
      <c r="C6" s="11">
        <v>500.0</v>
      </c>
      <c r="D6" s="17">
        <f t="shared" si="2"/>
        <v>431</v>
      </c>
      <c r="E6" s="34"/>
      <c r="F6" s="34"/>
      <c r="G6" s="34"/>
      <c r="H6" s="34">
        <v>69.0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7">
      <c r="A7" s="9" t="s">
        <v>10</v>
      </c>
      <c r="B7" s="5">
        <f t="shared" si="1"/>
        <v>578</v>
      </c>
      <c r="C7" s="6">
        <v>500.0</v>
      </c>
      <c r="D7" s="7">
        <f t="shared" si="2"/>
        <v>-78</v>
      </c>
      <c r="E7" s="8"/>
      <c r="F7" s="8">
        <f>578</f>
        <v>578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5" t="s">
        <v>11</v>
      </c>
      <c r="B8" s="5">
        <f t="shared" si="1"/>
        <v>10958</v>
      </c>
      <c r="C8" s="6">
        <v>10000.0</v>
      </c>
      <c r="D8" s="7">
        <f t="shared" si="2"/>
        <v>-958</v>
      </c>
      <c r="E8" s="8"/>
      <c r="F8" s="8">
        <f>500</f>
        <v>500</v>
      </c>
      <c r="G8" s="8">
        <f>50+1150</f>
        <v>1200</v>
      </c>
      <c r="H8" s="8">
        <v>1152.0</v>
      </c>
      <c r="I8" s="8"/>
      <c r="J8" s="8"/>
      <c r="K8" s="8"/>
      <c r="L8" s="8"/>
      <c r="M8" s="8">
        <f>950+1600</f>
        <v>2550</v>
      </c>
      <c r="N8" s="8"/>
      <c r="O8" s="8"/>
      <c r="P8" s="8"/>
      <c r="Q8" s="8"/>
      <c r="R8" s="8"/>
      <c r="S8" s="8"/>
      <c r="T8" s="8">
        <f>700</f>
        <v>700</v>
      </c>
      <c r="U8" s="8">
        <f>1150</f>
        <v>1150</v>
      </c>
      <c r="V8" s="8"/>
      <c r="W8" s="8"/>
      <c r="X8" s="8"/>
      <c r="Y8" s="8">
        <v>570.0</v>
      </c>
      <c r="Z8" s="8"/>
      <c r="AA8" s="8">
        <f>430</f>
        <v>430</v>
      </c>
      <c r="AB8" s="8">
        <v>1150.0</v>
      </c>
      <c r="AC8" s="8"/>
      <c r="AD8" s="8"/>
      <c r="AE8" s="8"/>
      <c r="AF8" s="8">
        <v>1212.0</v>
      </c>
      <c r="AG8" s="8"/>
      <c r="AH8" s="8">
        <v>344.0</v>
      </c>
    </row>
    <row r="9">
      <c r="A9" s="9" t="s">
        <v>12</v>
      </c>
      <c r="B9" s="5">
        <f t="shared" si="1"/>
        <v>0</v>
      </c>
      <c r="C9" s="6">
        <v>200.0</v>
      </c>
      <c r="D9" s="7">
        <f t="shared" si="2"/>
        <v>200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5" t="s">
        <v>13</v>
      </c>
      <c r="B10" s="5">
        <f t="shared" si="1"/>
        <v>431.77</v>
      </c>
      <c r="C10" s="6">
        <v>1700.0</v>
      </c>
      <c r="D10" s="7">
        <f t="shared" si="2"/>
        <v>1268.23</v>
      </c>
      <c r="E10" s="8"/>
      <c r="F10" s="8">
        <f>55.49</f>
        <v>55.49</v>
      </c>
      <c r="G10" s="8">
        <v>210.0</v>
      </c>
      <c r="H10" s="8"/>
      <c r="I10" s="8"/>
      <c r="J10" s="8"/>
      <c r="K10" s="8"/>
      <c r="L10" s="8">
        <v>166.28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9" t="s">
        <v>14</v>
      </c>
      <c r="B11" s="5">
        <f t="shared" si="1"/>
        <v>13176.28</v>
      </c>
      <c r="C11" s="6">
        <v>12000.0</v>
      </c>
      <c r="D11" s="7">
        <f t="shared" si="2"/>
        <v>-1176.28</v>
      </c>
      <c r="E11" s="8"/>
      <c r="F11" s="8"/>
      <c r="G11" s="8"/>
      <c r="H11" s="8"/>
      <c r="I11" s="8">
        <v>2153.64</v>
      </c>
      <c r="J11" s="8"/>
      <c r="K11" s="8"/>
      <c r="L11" s="8"/>
      <c r="M11" s="8"/>
      <c r="N11" s="8"/>
      <c r="O11" s="8">
        <f>1860.68+1459.39</f>
        <v>3320.07</v>
      </c>
      <c r="P11" s="8"/>
      <c r="Q11" s="8"/>
      <c r="R11" s="8">
        <f>1674.61+1280.88</f>
        <v>2955.49</v>
      </c>
      <c r="S11" s="8"/>
      <c r="T11" s="8"/>
      <c r="U11" s="8"/>
      <c r="V11" s="8"/>
      <c r="W11" s="8">
        <f>1493.59</f>
        <v>1493.59</v>
      </c>
      <c r="X11" s="8"/>
      <c r="Y11" s="8"/>
      <c r="Z11" s="8"/>
      <c r="AA11" s="8"/>
      <c r="AB11" s="8">
        <f>1291.32</f>
        <v>1291.32</v>
      </c>
      <c r="AC11" s="8"/>
      <c r="AD11" s="8"/>
      <c r="AE11" s="8"/>
      <c r="AF11" s="8">
        <v>1962.17</v>
      </c>
      <c r="AG11" s="8"/>
      <c r="AH11" s="8"/>
    </row>
    <row r="12">
      <c r="A12" s="5" t="s">
        <v>15</v>
      </c>
      <c r="B12" s="5">
        <f t="shared" si="1"/>
        <v>3250</v>
      </c>
      <c r="C12" s="6">
        <v>8000.0</v>
      </c>
      <c r="D12" s="7">
        <f t="shared" si="2"/>
        <v>4750</v>
      </c>
      <c r="E12" s="8"/>
      <c r="F12" s="8"/>
      <c r="G12" s="8"/>
      <c r="H12" s="8"/>
      <c r="I12" s="8"/>
      <c r="J12" s="8"/>
      <c r="K12" s="8"/>
      <c r="L12" s="8"/>
      <c r="M12" s="8"/>
      <c r="N12" s="8">
        <v>3250.0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9" t="s">
        <v>16</v>
      </c>
      <c r="B13" s="5">
        <f t="shared" si="1"/>
        <v>0</v>
      </c>
      <c r="C13" s="6"/>
      <c r="D13" s="7">
        <f t="shared" si="2"/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12" t="s">
        <v>17</v>
      </c>
      <c r="B14" s="5">
        <f t="shared" si="1"/>
        <v>3323.81</v>
      </c>
      <c r="C14" s="6">
        <v>500.0</v>
      </c>
      <c r="D14" s="7">
        <f t="shared" si="2"/>
        <v>-2823.81</v>
      </c>
      <c r="E14" s="8"/>
      <c r="F14" s="8"/>
      <c r="G14" s="8"/>
      <c r="H14" s="8"/>
      <c r="I14" s="8"/>
      <c r="J14" s="8"/>
      <c r="K14" s="8">
        <f>749.88</f>
        <v>749.88</v>
      </c>
      <c r="L14" s="8"/>
      <c r="M14" s="8"/>
      <c r="N14" s="8"/>
      <c r="O14" s="8"/>
      <c r="P14" s="8"/>
      <c r="Q14" s="8"/>
      <c r="R14" s="8">
        <v>1539.0</v>
      </c>
      <c r="S14" s="8"/>
      <c r="T14" s="8"/>
      <c r="U14" s="8"/>
      <c r="V14" s="8"/>
      <c r="W14" s="8"/>
      <c r="X14" s="8">
        <f>667.33</f>
        <v>667.33</v>
      </c>
      <c r="Y14" s="8"/>
      <c r="Z14" s="8"/>
      <c r="AA14" s="8"/>
      <c r="AB14" s="8"/>
      <c r="AC14" s="8"/>
      <c r="AD14" s="8"/>
      <c r="AE14" s="8"/>
      <c r="AF14" s="8">
        <v>367.6</v>
      </c>
      <c r="AG14" s="8"/>
      <c r="AH14" s="8"/>
    </row>
    <row r="15">
      <c r="A15" s="5" t="s">
        <v>18</v>
      </c>
      <c r="B15" s="5">
        <f t="shared" si="1"/>
        <v>3000</v>
      </c>
      <c r="C15" s="6">
        <v>4000.0</v>
      </c>
      <c r="D15" s="7">
        <f t="shared" si="2"/>
        <v>1000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3000.0</v>
      </c>
      <c r="AC15" s="8"/>
      <c r="AD15" s="8"/>
      <c r="AE15" s="8"/>
      <c r="AF15" s="8"/>
      <c r="AG15" s="8"/>
      <c r="AH15" s="8"/>
    </row>
    <row r="16">
      <c r="A16" s="12" t="s">
        <v>19</v>
      </c>
      <c r="B16" s="5">
        <f t="shared" si="1"/>
        <v>0</v>
      </c>
      <c r="C16" s="6">
        <v>600.0</v>
      </c>
      <c r="D16" s="7">
        <f t="shared" si="2"/>
        <v>600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5" t="s">
        <v>20</v>
      </c>
      <c r="B17" s="5">
        <f t="shared" si="1"/>
        <v>2471.9</v>
      </c>
      <c r="C17" s="6">
        <v>2200.0</v>
      </c>
      <c r="D17" s="7">
        <f t="shared" si="2"/>
        <v>-271.9</v>
      </c>
      <c r="E17" s="8">
        <v>2471.9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12" t="s">
        <v>21</v>
      </c>
      <c r="B18" s="5">
        <f t="shared" si="1"/>
        <v>402</v>
      </c>
      <c r="C18" s="6">
        <v>700.0</v>
      </c>
      <c r="D18" s="7">
        <f t="shared" si="2"/>
        <v>298</v>
      </c>
      <c r="E18" s="8"/>
      <c r="F18" s="8"/>
      <c r="G18" s="8"/>
      <c r="H18" s="8"/>
      <c r="I18" s="8"/>
      <c r="J18" s="8"/>
      <c r="K18" s="8"/>
      <c r="L18" s="8">
        <v>99.0</v>
      </c>
      <c r="M18" s="8">
        <v>303.0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5" t="s">
        <v>22</v>
      </c>
      <c r="B19" s="5">
        <f t="shared" si="1"/>
        <v>0</v>
      </c>
      <c r="C19" s="6">
        <v>500.0</v>
      </c>
      <c r="D19" s="7">
        <f t="shared" si="2"/>
        <v>500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5" t="s">
        <v>23</v>
      </c>
      <c r="B20" s="5">
        <f t="shared" si="1"/>
        <v>395</v>
      </c>
      <c r="C20" s="6">
        <v>370.0</v>
      </c>
      <c r="D20" s="7">
        <f t="shared" si="2"/>
        <v>-25</v>
      </c>
      <c r="E20" s="8">
        <f>90+110+45</f>
        <v>245</v>
      </c>
      <c r="F20" s="8"/>
      <c r="G20" s="8"/>
      <c r="H20" s="8"/>
      <c r="I20" s="8"/>
      <c r="J20" s="8"/>
      <c r="K20" s="8"/>
      <c r="L20" s="8">
        <v>150.0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12" t="s">
        <v>24</v>
      </c>
      <c r="B21" s="5">
        <f t="shared" si="1"/>
        <v>14000</v>
      </c>
      <c r="C21" s="6">
        <v>14000.0</v>
      </c>
      <c r="D21" s="7">
        <f t="shared" si="2"/>
        <v>0</v>
      </c>
      <c r="E21" s="8">
        <v>14000.0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12" t="s">
        <v>41</v>
      </c>
      <c r="B22" s="5">
        <f t="shared" si="1"/>
        <v>0</v>
      </c>
      <c r="C22" s="6"/>
      <c r="D22" s="7">
        <f t="shared" si="2"/>
        <v>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9" t="s">
        <v>26</v>
      </c>
      <c r="B23" s="5">
        <f t="shared" si="1"/>
        <v>0</v>
      </c>
      <c r="C23" s="6"/>
      <c r="D23" s="7">
        <f t="shared" si="2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12" t="s">
        <v>27</v>
      </c>
      <c r="B24" s="5">
        <f t="shared" si="1"/>
        <v>1146</v>
      </c>
      <c r="C24" s="6"/>
      <c r="D24" s="7">
        <f t="shared" si="2"/>
        <v>-1146</v>
      </c>
      <c r="E24" s="8"/>
      <c r="G24" s="8">
        <v>200.0</v>
      </c>
      <c r="H24" s="8"/>
      <c r="I24" s="8">
        <f>36</f>
        <v>36</v>
      </c>
      <c r="J24" s="8"/>
      <c r="K24" s="8"/>
      <c r="L24" s="8"/>
      <c r="M24" s="8"/>
      <c r="N24" s="8"/>
      <c r="O24" s="8"/>
      <c r="P24" s="8"/>
      <c r="Q24" s="8"/>
      <c r="R24" s="8"/>
      <c r="S24" s="8">
        <f>120</f>
        <v>120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>
        <f>270</f>
        <v>270</v>
      </c>
      <c r="AE24" s="8"/>
      <c r="AF24" s="8">
        <f>200+320</f>
        <v>520</v>
      </c>
      <c r="AG24" s="8"/>
      <c r="AH24" s="8"/>
    </row>
    <row r="25">
      <c r="A25" s="16" t="s">
        <v>28</v>
      </c>
      <c r="B25" s="5">
        <f t="shared" si="1"/>
        <v>200</v>
      </c>
      <c r="C25" s="6"/>
      <c r="D25" s="7">
        <f t="shared" si="2"/>
        <v>-200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>
        <v>200.0</v>
      </c>
      <c r="AB25" s="8"/>
      <c r="AC25" s="8"/>
      <c r="AD25" s="8"/>
      <c r="AE25" s="8"/>
      <c r="AF25" s="8"/>
      <c r="AG25" s="8"/>
      <c r="AH25" s="8"/>
    </row>
    <row r="26">
      <c r="A26" s="16" t="s">
        <v>29</v>
      </c>
      <c r="B26" s="5">
        <f t="shared" si="1"/>
        <v>2100</v>
      </c>
      <c r="C26" s="6">
        <v>2100.0</v>
      </c>
      <c r="D26" s="7">
        <f t="shared" si="2"/>
        <v>0</v>
      </c>
      <c r="E26" s="8">
        <v>500.0</v>
      </c>
      <c r="F26" s="8"/>
      <c r="G26" s="8">
        <v>1600.0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16" t="s">
        <v>30</v>
      </c>
      <c r="B27" s="5">
        <f t="shared" si="1"/>
        <v>4190.4</v>
      </c>
      <c r="C27" s="6"/>
      <c r="D27" s="7">
        <f t="shared" si="2"/>
        <v>-4190.4</v>
      </c>
      <c r="E27" s="8"/>
      <c r="F27" s="8"/>
      <c r="G27" s="8"/>
      <c r="H27" s="8"/>
      <c r="I27" s="8"/>
      <c r="J27" s="8">
        <v>153.9</v>
      </c>
      <c r="K27" s="8"/>
      <c r="L27" s="8">
        <v>2585.0</v>
      </c>
      <c r="M27" s="8">
        <v>404.8</v>
      </c>
      <c r="N27" s="8"/>
      <c r="O27" s="8"/>
      <c r="P27" s="8"/>
      <c r="Q27" s="8"/>
      <c r="R27" s="8"/>
      <c r="S27" s="8"/>
      <c r="T27" s="8">
        <f>279.5+485</f>
        <v>764.5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>
        <f>173+109.2</f>
        <v>282.2</v>
      </c>
      <c r="AG27" s="8"/>
      <c r="AH27" s="8"/>
    </row>
    <row r="28">
      <c r="A28" s="16" t="s">
        <v>31</v>
      </c>
      <c r="B28" s="5">
        <f t="shared" si="1"/>
        <v>1100</v>
      </c>
      <c r="C28" s="6"/>
      <c r="D28" s="7">
        <f t="shared" si="2"/>
        <v>-1100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f>220</f>
        <v>220</v>
      </c>
      <c r="Z28" s="8">
        <f>880</f>
        <v>880</v>
      </c>
      <c r="AA28" s="8"/>
      <c r="AB28" s="8"/>
      <c r="AC28" s="8"/>
      <c r="AD28" s="8"/>
      <c r="AE28" s="8"/>
      <c r="AF28" s="8"/>
      <c r="AG28" s="8"/>
      <c r="AH28" s="8"/>
    </row>
    <row r="29">
      <c r="A29" s="16" t="s">
        <v>32</v>
      </c>
      <c r="B29" s="5">
        <f t="shared" si="1"/>
        <v>3046.18</v>
      </c>
      <c r="C29" s="6">
        <v>1200.0</v>
      </c>
      <c r="D29" s="7">
        <f t="shared" si="2"/>
        <v>-1846.18</v>
      </c>
      <c r="E29" s="8">
        <v>320.28</v>
      </c>
      <c r="F29" s="8"/>
      <c r="G29" s="8"/>
      <c r="H29" s="8">
        <v>15.62</v>
      </c>
      <c r="I29" s="8">
        <v>627.0</v>
      </c>
      <c r="J29" s="8"/>
      <c r="K29" s="8"/>
      <c r="L29" s="8"/>
      <c r="M29" s="8">
        <v>948.28</v>
      </c>
      <c r="N29" s="8"/>
      <c r="O29" s="8"/>
      <c r="P29" s="8"/>
      <c r="Q29" s="8">
        <v>885.0</v>
      </c>
      <c r="R29" s="8"/>
      <c r="S29" s="8"/>
      <c r="T29" s="8"/>
      <c r="U29" s="8">
        <v>250.0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5" t="s">
        <v>33</v>
      </c>
      <c r="B30" s="5">
        <f t="shared" si="1"/>
        <v>162.5</v>
      </c>
      <c r="C30" s="6"/>
      <c r="D30" s="7">
        <f t="shared" si="2"/>
        <v>-162.5</v>
      </c>
      <c r="E30" s="8"/>
      <c r="F30" s="8"/>
      <c r="G30" s="8"/>
      <c r="H30" s="8">
        <v>39.0</v>
      </c>
      <c r="I30" s="8"/>
      <c r="J30" s="8"/>
      <c r="K30" s="8"/>
      <c r="L30" s="8"/>
      <c r="M30" s="39"/>
      <c r="N30" s="8"/>
      <c r="O30" s="8"/>
      <c r="P30" s="8"/>
      <c r="Q30" s="8"/>
      <c r="R30" s="8"/>
      <c r="S30" s="8"/>
      <c r="T30" s="8"/>
      <c r="U30" s="8"/>
      <c r="V30" s="8">
        <f>14</f>
        <v>14</v>
      </c>
      <c r="W30" s="8">
        <f>25</f>
        <v>25</v>
      </c>
      <c r="X30" s="8"/>
      <c r="Y30" s="8">
        <f>32.5</f>
        <v>32.5</v>
      </c>
      <c r="Z30" s="8"/>
      <c r="AA30" s="8"/>
      <c r="AB30" s="8"/>
      <c r="AC30" s="8"/>
      <c r="AD30" s="8"/>
      <c r="AE30" s="8">
        <v>52.0</v>
      </c>
      <c r="AF30" s="8"/>
      <c r="AG30" s="8"/>
      <c r="AH30" s="8"/>
    </row>
    <row r="31">
      <c r="A31" s="16" t="s">
        <v>34</v>
      </c>
      <c r="B31" s="5">
        <f t="shared" si="1"/>
        <v>3358.5</v>
      </c>
      <c r="C31" s="6">
        <v>4000.0</v>
      </c>
      <c r="D31" s="7">
        <f t="shared" si="2"/>
        <v>641.5</v>
      </c>
      <c r="E31" s="8">
        <v>858.5</v>
      </c>
      <c r="F31" s="8">
        <v>400.0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850.0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>
        <v>850.0</v>
      </c>
      <c r="AH31" s="8">
        <v>400.0</v>
      </c>
    </row>
    <row r="32">
      <c r="A32" s="5" t="s">
        <v>35</v>
      </c>
      <c r="B32" s="5">
        <f t="shared" si="1"/>
        <v>3120.8</v>
      </c>
      <c r="C32" s="6">
        <v>14500.0</v>
      </c>
      <c r="D32" s="7">
        <f t="shared" si="2"/>
        <v>11379.2</v>
      </c>
      <c r="E32" s="8"/>
      <c r="F32" s="8"/>
      <c r="G32" s="8"/>
      <c r="H32" s="8"/>
      <c r="I32" s="8"/>
      <c r="J32" s="8"/>
      <c r="K32" s="8"/>
      <c r="L32" s="8">
        <v>1355.8</v>
      </c>
      <c r="M32" s="8"/>
      <c r="N32" s="8"/>
      <c r="O32" s="8"/>
      <c r="P32" s="8"/>
      <c r="Q32" s="8"/>
      <c r="R32" s="8"/>
      <c r="S32" s="8">
        <v>915.0</v>
      </c>
      <c r="T32" s="8"/>
      <c r="U32" s="8">
        <f>850</f>
        <v>850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5" t="s">
        <v>36</v>
      </c>
      <c r="B33" s="5">
        <f t="shared" si="1"/>
        <v>0</v>
      </c>
      <c r="C33" s="6"/>
      <c r="D33" s="7">
        <f t="shared" si="2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12" t="s">
        <v>37</v>
      </c>
      <c r="B34" s="5">
        <f t="shared" si="1"/>
        <v>545</v>
      </c>
      <c r="C34" s="11"/>
      <c r="D34" s="7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>
        <v>270.0</v>
      </c>
      <c r="AB34" s="34"/>
      <c r="AC34" s="34"/>
      <c r="AD34" s="34"/>
      <c r="AE34" s="34"/>
      <c r="AF34" s="34"/>
      <c r="AG34" s="34"/>
      <c r="AH34" s="34">
        <v>275.0</v>
      </c>
    </row>
    <row r="35">
      <c r="A35" s="12" t="s">
        <v>38</v>
      </c>
      <c r="B35" s="5">
        <f t="shared" si="1"/>
        <v>17500</v>
      </c>
      <c r="C35" s="11">
        <v>900.0</v>
      </c>
      <c r="D35" s="7">
        <f>C35-B35</f>
        <v>-16600</v>
      </c>
      <c r="E35" s="34"/>
      <c r="F35" s="34"/>
      <c r="G35" s="34"/>
      <c r="H35" s="34"/>
      <c r="I35" s="34"/>
      <c r="J35" s="34"/>
      <c r="K35" s="34"/>
      <c r="L35" s="34"/>
      <c r="M35" s="34"/>
      <c r="N35" s="34">
        <v>500.0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>
        <v>3000.0</v>
      </c>
      <c r="AE35" s="34"/>
      <c r="AF35" s="34"/>
      <c r="AG35" s="34">
        <v>14000.0</v>
      </c>
      <c r="AH35" s="34"/>
    </row>
    <row r="36">
      <c r="A36" s="1" t="s">
        <v>39</v>
      </c>
      <c r="B36" s="18"/>
      <c r="C36" s="19"/>
      <c r="D36" s="20"/>
      <c r="E36" s="21">
        <f t="shared" ref="E36:AA36" si="4">SUM(E2:E35)</f>
        <v>18994.78</v>
      </c>
      <c r="F36" s="21">
        <f t="shared" si="4"/>
        <v>1642.49</v>
      </c>
      <c r="G36" s="21">
        <f t="shared" si="4"/>
        <v>4590.45</v>
      </c>
      <c r="H36" s="21">
        <f t="shared" si="4"/>
        <v>1875.99</v>
      </c>
      <c r="I36" s="21">
        <f t="shared" si="4"/>
        <v>3794.14</v>
      </c>
      <c r="J36" s="21">
        <f t="shared" si="4"/>
        <v>1243.9</v>
      </c>
      <c r="K36" s="21">
        <f t="shared" si="4"/>
        <v>1169.88</v>
      </c>
      <c r="L36" s="21">
        <f t="shared" si="4"/>
        <v>4746.38</v>
      </c>
      <c r="M36" s="21">
        <f t="shared" si="4"/>
        <v>4579.92</v>
      </c>
      <c r="N36" s="21">
        <f t="shared" si="4"/>
        <v>4596.42</v>
      </c>
      <c r="O36" s="21">
        <f t="shared" si="4"/>
        <v>3886.37</v>
      </c>
      <c r="P36" s="21">
        <f t="shared" si="4"/>
        <v>1000.72</v>
      </c>
      <c r="Q36" s="21">
        <f t="shared" si="4"/>
        <v>3760</v>
      </c>
      <c r="R36" s="21">
        <f t="shared" si="4"/>
        <v>5083.89</v>
      </c>
      <c r="S36" s="21">
        <f t="shared" si="4"/>
        <v>1567.26</v>
      </c>
      <c r="T36" s="21">
        <f t="shared" si="4"/>
        <v>1776.86</v>
      </c>
      <c r="U36" s="21">
        <f t="shared" si="4"/>
        <v>2726.29</v>
      </c>
      <c r="V36" s="21">
        <f t="shared" si="4"/>
        <v>1200.83</v>
      </c>
      <c r="W36" s="21">
        <f t="shared" si="4"/>
        <v>2010.29</v>
      </c>
      <c r="X36" s="21">
        <f t="shared" si="4"/>
        <v>1608.2</v>
      </c>
      <c r="Y36" s="21">
        <f t="shared" si="4"/>
        <v>2720.69</v>
      </c>
      <c r="Z36" s="21">
        <f t="shared" si="4"/>
        <v>1655.85</v>
      </c>
      <c r="AA36" s="21">
        <f t="shared" si="4"/>
        <v>982.94</v>
      </c>
      <c r="AB36" s="21">
        <f t="shared" ref="AB36:AH36" si="5">SUM(AB2:AB32)</f>
        <v>6076.25</v>
      </c>
      <c r="AC36" s="21">
        <f t="shared" si="5"/>
        <v>445.14</v>
      </c>
      <c r="AD36" s="21">
        <f t="shared" si="5"/>
        <v>1126.94</v>
      </c>
      <c r="AE36" s="21">
        <f t="shared" si="5"/>
        <v>1485.28</v>
      </c>
      <c r="AF36" s="21">
        <f t="shared" si="5"/>
        <v>7699.63</v>
      </c>
      <c r="AG36" s="21">
        <f t="shared" si="5"/>
        <v>1148.44</v>
      </c>
      <c r="AH36" s="21">
        <f t="shared" si="5"/>
        <v>1024.27</v>
      </c>
    </row>
    <row r="37">
      <c r="A37" s="22" t="s">
        <v>40</v>
      </c>
      <c r="B37" s="23">
        <f>sum(B2:B35)</f>
        <v>113495.49</v>
      </c>
      <c r="C37" s="24">
        <f>sum(C2:C36)</f>
        <v>110070</v>
      </c>
      <c r="D37" s="7">
        <f t="shared" ref="D37:D38" si="6">C37-B37</f>
        <v>-3425.49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>
      <c r="A38" s="25">
        <f>AH1-E1+1</f>
        <v>30</v>
      </c>
      <c r="B38" s="26"/>
      <c r="C38" s="27"/>
      <c r="D38" s="7">
        <f t="shared" si="6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>
      <c r="C39" s="29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A57" s="30">
        <f>B37-B21-J25-O24</f>
        <v>99495.49</v>
      </c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  <row r="1002">
      <c r="C1002" s="29"/>
    </row>
    <row r="1003">
      <c r="C1003" s="29"/>
    </row>
    <row r="1004">
      <c r="C1004" s="29"/>
    </row>
    <row r="1005">
      <c r="C1005" s="29"/>
    </row>
    <row r="1006">
      <c r="C1006" s="29"/>
    </row>
    <row r="1007">
      <c r="C1007" s="29"/>
    </row>
    <row r="1008">
      <c r="C1008" s="29"/>
    </row>
    <row r="1009">
      <c r="C1009" s="29"/>
    </row>
    <row r="1010">
      <c r="C1010" s="29"/>
    </row>
    <row r="1011">
      <c r="C1011" s="29"/>
    </row>
    <row r="1012">
      <c r="C1012" s="29"/>
    </row>
    <row r="1013">
      <c r="C1013" s="29"/>
    </row>
    <row r="1014">
      <c r="C1014" s="31"/>
    </row>
  </sheetData>
  <conditionalFormatting sqref="C2:C35 D2:D38 E2:AH35">
    <cfRule type="timePeriod" dxfId="0" priority="1" timePeriod="today"/>
  </conditionalFormatting>
  <conditionalFormatting sqref="G2:G35">
    <cfRule type="expression" dxfId="0" priority="2">
      <formula>"$f1=дата сьогодні"</formula>
    </cfRule>
  </conditionalFormatting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10.57"/>
    <col customWidth="1" min="3" max="33" width="7.29"/>
  </cols>
  <sheetData>
    <row r="1">
      <c r="A1" s="1" t="s">
        <v>0</v>
      </c>
      <c r="B1" s="1" t="s">
        <v>1</v>
      </c>
      <c r="C1" s="33">
        <v>44470.0</v>
      </c>
      <c r="D1" s="33">
        <v>44471.0</v>
      </c>
      <c r="E1" s="33">
        <v>44472.0</v>
      </c>
      <c r="F1" s="33">
        <v>44473.0</v>
      </c>
      <c r="G1" s="33">
        <v>44474.0</v>
      </c>
      <c r="H1" s="33">
        <v>44475.0</v>
      </c>
      <c r="I1" s="33">
        <v>44476.0</v>
      </c>
      <c r="J1" s="33">
        <v>44477.0</v>
      </c>
      <c r="K1" s="33">
        <v>44478.0</v>
      </c>
      <c r="L1" s="33">
        <v>44479.0</v>
      </c>
      <c r="M1" s="33">
        <v>44480.0</v>
      </c>
      <c r="N1" s="33">
        <v>44481.0</v>
      </c>
      <c r="O1" s="33">
        <v>44482.0</v>
      </c>
      <c r="P1" s="33">
        <v>44483.0</v>
      </c>
      <c r="Q1" s="33">
        <v>44484.0</v>
      </c>
      <c r="R1" s="33">
        <v>44485.0</v>
      </c>
      <c r="S1" s="33">
        <v>44486.0</v>
      </c>
      <c r="T1" s="33">
        <v>44487.0</v>
      </c>
      <c r="U1" s="33">
        <v>44488.0</v>
      </c>
      <c r="V1" s="33">
        <v>44489.0</v>
      </c>
      <c r="W1" s="33">
        <v>44490.0</v>
      </c>
      <c r="X1" s="33">
        <v>44491.0</v>
      </c>
      <c r="Y1" s="33">
        <v>44492.0</v>
      </c>
      <c r="Z1" s="33">
        <v>44493.0</v>
      </c>
      <c r="AA1" s="33">
        <v>44494.0</v>
      </c>
      <c r="AB1" s="33">
        <v>44495.0</v>
      </c>
      <c r="AC1" s="33">
        <v>44496.0</v>
      </c>
      <c r="AD1" s="33">
        <v>44497.0</v>
      </c>
      <c r="AE1" s="33">
        <v>44498.0</v>
      </c>
      <c r="AF1" s="33">
        <v>44499.0</v>
      </c>
      <c r="AG1" s="33">
        <v>44500.0</v>
      </c>
    </row>
    <row r="2">
      <c r="A2" s="5" t="s">
        <v>4</v>
      </c>
      <c r="B2" s="5">
        <f t="shared" ref="B2:B34" si="1">sum(C2:AG2)</f>
        <v>13102.2</v>
      </c>
      <c r="C2" s="8">
        <f>106.84</f>
        <v>106.84</v>
      </c>
      <c r="D2" s="8">
        <f>195+45+382.2</f>
        <v>622.2</v>
      </c>
      <c r="E2" s="8">
        <f>43.77+71.27+128+326.77+249.89</f>
        <v>819.7</v>
      </c>
      <c r="F2" s="8">
        <f>92.95+20+99+56</f>
        <v>267.95</v>
      </c>
      <c r="G2" s="8">
        <f>57.8+161.32</f>
        <v>219.12</v>
      </c>
      <c r="H2" s="8">
        <f>89.71+177.2</f>
        <v>266.91</v>
      </c>
      <c r="I2" s="8">
        <f>506+81.1+22.4+176</f>
        <v>785.5</v>
      </c>
      <c r="J2" s="8">
        <f>138.7+77.35+519.37</f>
        <v>735.42</v>
      </c>
      <c r="K2" s="8">
        <f>521.05</f>
        <v>521.05</v>
      </c>
      <c r="L2" s="8">
        <f>54.9+458.7</f>
        <v>513.6</v>
      </c>
      <c r="M2" s="8">
        <f>51.1+29.85</f>
        <v>80.95</v>
      </c>
      <c r="N2" s="8">
        <f>959.46</f>
        <v>959.46</v>
      </c>
      <c r="O2" s="8">
        <f>209+144.31+192.72</f>
        <v>546.03</v>
      </c>
      <c r="P2" s="8">
        <v>390.86</v>
      </c>
      <c r="Q2" s="8">
        <v>345.77</v>
      </c>
      <c r="R2" s="8">
        <f>14+198+283.04</f>
        <v>495.04</v>
      </c>
      <c r="S2" s="8">
        <f>26+162.2+81.9</f>
        <v>270.1</v>
      </c>
      <c r="T2" s="8">
        <f>327.77</f>
        <v>327.77</v>
      </c>
      <c r="U2" s="8"/>
      <c r="V2" s="8">
        <f>164+124.3</f>
        <v>288.3</v>
      </c>
      <c r="W2" s="8">
        <f>337.43+45.05</f>
        <v>382.48</v>
      </c>
      <c r="X2" s="8">
        <f>20+511.19</f>
        <v>531.19</v>
      </c>
      <c r="Y2" s="8">
        <f>284.2+195+130+20+30.69</f>
        <v>659.89</v>
      </c>
      <c r="Z2" s="8">
        <v>458.82</v>
      </c>
      <c r="AA2" s="8">
        <f>164.18+291.05+85</f>
        <v>540.23</v>
      </c>
      <c r="AB2" s="8"/>
      <c r="AC2" s="8">
        <f>170.41</f>
        <v>170.41</v>
      </c>
      <c r="AD2" s="8">
        <f>123+635.32</f>
        <v>758.32</v>
      </c>
      <c r="AE2" s="8">
        <v>179.07</v>
      </c>
      <c r="AF2" s="8">
        <f>359+41+179.26</f>
        <v>579.26</v>
      </c>
      <c r="AG2" s="8">
        <f>257.77+22.19</f>
        <v>279.96</v>
      </c>
    </row>
    <row r="3">
      <c r="A3" s="9" t="s">
        <v>5</v>
      </c>
      <c r="B3" s="5">
        <f t="shared" si="1"/>
        <v>557.2</v>
      </c>
      <c r="C3" s="8">
        <f>41.5+8+8</f>
        <v>57.5</v>
      </c>
      <c r="D3" s="8"/>
      <c r="E3" s="8"/>
      <c r="F3" s="8">
        <f>8+49.4+8+8</f>
        <v>73.4</v>
      </c>
      <c r="G3" s="8"/>
      <c r="H3" s="8">
        <f>8+105+8</f>
        <v>121</v>
      </c>
      <c r="I3" s="8">
        <v>26.42</v>
      </c>
      <c r="J3" s="8"/>
      <c r="K3" s="8"/>
      <c r="L3" s="8">
        <f>24</f>
        <v>24</v>
      </c>
      <c r="M3" s="8"/>
      <c r="N3" s="8">
        <f>26.13</f>
        <v>26.13</v>
      </c>
      <c r="O3" s="8">
        <v>40.25</v>
      </c>
      <c r="P3" s="8"/>
      <c r="Q3" s="8"/>
      <c r="R3" s="8"/>
      <c r="S3" s="8"/>
      <c r="T3" s="8"/>
      <c r="U3" s="8"/>
      <c r="V3" s="8">
        <f>8+29.08+8</f>
        <v>45.08</v>
      </c>
      <c r="W3" s="8"/>
      <c r="X3" s="8">
        <f>31.54+23.88+8</f>
        <v>63.42</v>
      </c>
      <c r="Y3" s="8"/>
      <c r="Z3" s="8">
        <v>8.0</v>
      </c>
      <c r="AA3" s="8">
        <f>8+8+8</f>
        <v>24</v>
      </c>
      <c r="AB3" s="8">
        <f t="shared" ref="AB3:AD3" si="2">8+8</f>
        <v>16</v>
      </c>
      <c r="AC3" s="8">
        <f t="shared" si="2"/>
        <v>16</v>
      </c>
      <c r="AD3" s="8">
        <f t="shared" si="2"/>
        <v>16</v>
      </c>
      <c r="AE3" s="8"/>
      <c r="AF3" s="8"/>
      <c r="AG3" s="8"/>
    </row>
    <row r="4">
      <c r="A4" s="5" t="s">
        <v>7</v>
      </c>
      <c r="B4" s="5">
        <f t="shared" si="1"/>
        <v>14572</v>
      </c>
      <c r="C4" s="8">
        <f>125+55+16</f>
        <v>196</v>
      </c>
      <c r="D4" s="8">
        <f>1300</f>
        <v>1300</v>
      </c>
      <c r="E4" s="8">
        <f>70+55+36</f>
        <v>161</v>
      </c>
      <c r="F4" s="8">
        <v>16.0</v>
      </c>
      <c r="G4" s="8">
        <v>98.0</v>
      </c>
      <c r="H4" s="8">
        <f>93+90</f>
        <v>183</v>
      </c>
      <c r="I4" s="8"/>
      <c r="J4" s="8">
        <v>30.0</v>
      </c>
      <c r="K4" s="8">
        <f>150</f>
        <v>150</v>
      </c>
      <c r="L4" s="8">
        <v>1107.0</v>
      </c>
      <c r="M4" s="8">
        <v>16.0</v>
      </c>
      <c r="N4" s="8"/>
      <c r="O4" s="8"/>
      <c r="P4" s="8">
        <f>1155</f>
        <v>1155</v>
      </c>
      <c r="Q4" s="8">
        <f>868+1069</f>
        <v>1937</v>
      </c>
      <c r="R4" s="8">
        <f>1117+117+1166</f>
        <v>2400</v>
      </c>
      <c r="S4" s="8">
        <v>1215.0</v>
      </c>
      <c r="T4" s="8">
        <v>30.0</v>
      </c>
      <c r="U4" s="8">
        <v>123.0</v>
      </c>
      <c r="V4" s="8">
        <f>97+30</f>
        <v>127</v>
      </c>
      <c r="W4" s="8"/>
      <c r="X4" s="8">
        <v>95.0</v>
      </c>
      <c r="Y4" s="8"/>
      <c r="Z4" s="8">
        <f>187+37+1110</f>
        <v>1334</v>
      </c>
      <c r="AA4" s="8">
        <f>70+30</f>
        <v>100</v>
      </c>
      <c r="AB4" s="8">
        <f>109</f>
        <v>109</v>
      </c>
      <c r="AC4" s="8">
        <f>127+152+14</f>
        <v>293</v>
      </c>
      <c r="AD4" s="8">
        <f>280+130</f>
        <v>410</v>
      </c>
      <c r="AE4" s="8">
        <f>112+30</f>
        <v>142</v>
      </c>
      <c r="AF4" s="8">
        <f>1785+60</f>
        <v>1845</v>
      </c>
      <c r="AG4" s="8"/>
    </row>
    <row r="5">
      <c r="A5" s="9" t="s">
        <v>8</v>
      </c>
      <c r="B5" s="5">
        <f t="shared" si="1"/>
        <v>16129.5</v>
      </c>
      <c r="C5" s="8"/>
      <c r="D5" s="8">
        <f>7713</f>
        <v>7713</v>
      </c>
      <c r="E5" s="8">
        <f>823</f>
        <v>823</v>
      </c>
      <c r="F5" s="8"/>
      <c r="G5" s="8"/>
      <c r="H5" s="8"/>
      <c r="I5" s="8"/>
      <c r="J5" s="8"/>
      <c r="K5" s="8">
        <f>139+209</f>
        <v>348</v>
      </c>
      <c r="L5" s="8">
        <f>25</f>
        <v>25</v>
      </c>
      <c r="M5" s="8">
        <f>408</f>
        <v>408</v>
      </c>
      <c r="N5" s="8"/>
      <c r="O5" s="8">
        <f>1660.5</f>
        <v>1660.5</v>
      </c>
      <c r="P5" s="8"/>
      <c r="Q5" s="8">
        <f>360</f>
        <v>360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>
        <f>4792</f>
        <v>4792</v>
      </c>
    </row>
    <row r="6">
      <c r="A6" s="5" t="s">
        <v>9</v>
      </c>
      <c r="B6" s="5">
        <f t="shared" si="1"/>
        <v>538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>
        <f>269</f>
        <v>269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>
        <v>269.0</v>
      </c>
    </row>
    <row r="7">
      <c r="A7" s="9" t="s">
        <v>10</v>
      </c>
      <c r="B7" s="5">
        <f t="shared" si="1"/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>
      <c r="A8" s="5" t="s">
        <v>11</v>
      </c>
      <c r="B8" s="5">
        <f t="shared" si="1"/>
        <v>9709.9</v>
      </c>
      <c r="C8" s="8">
        <f>858.5+740+12.4</f>
        <v>1610.9</v>
      </c>
      <c r="D8" s="8">
        <f>98</f>
        <v>98</v>
      </c>
      <c r="E8" s="8"/>
      <c r="F8" s="8">
        <v>1971.0</v>
      </c>
      <c r="G8" s="8"/>
      <c r="H8" s="8"/>
      <c r="I8" s="8">
        <f>60+600</f>
        <v>660</v>
      </c>
      <c r="J8" s="8"/>
      <c r="K8" s="8">
        <v>600.0</v>
      </c>
      <c r="L8" s="8"/>
      <c r="M8" s="8"/>
      <c r="N8" s="8">
        <f>700</f>
        <v>700</v>
      </c>
      <c r="O8" s="8">
        <f>650</f>
        <v>650</v>
      </c>
      <c r="P8" s="8"/>
      <c r="Q8" s="8"/>
      <c r="R8" s="8"/>
      <c r="S8" s="8"/>
      <c r="T8" s="8"/>
      <c r="U8" s="8">
        <v>500.0</v>
      </c>
      <c r="V8" s="8">
        <f>650</f>
        <v>650</v>
      </c>
      <c r="W8" s="8"/>
      <c r="X8" s="8"/>
      <c r="Y8" s="8"/>
      <c r="Z8" s="8"/>
      <c r="AA8" s="8"/>
      <c r="AB8" s="8">
        <f>600</f>
        <v>600</v>
      </c>
      <c r="AC8" s="8">
        <f>1150</f>
        <v>1150</v>
      </c>
      <c r="AD8" s="8">
        <v>520.0</v>
      </c>
      <c r="AE8" s="8"/>
      <c r="AF8" s="8"/>
      <c r="AG8" s="8"/>
    </row>
    <row r="9">
      <c r="A9" s="9" t="s">
        <v>12</v>
      </c>
      <c r="B9" s="5">
        <f t="shared" si="1"/>
        <v>63.44</v>
      </c>
      <c r="C9" s="8"/>
      <c r="D9" s="8">
        <v>63.44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>
      <c r="A10" s="5" t="s">
        <v>13</v>
      </c>
      <c r="B10" s="5">
        <f t="shared" si="1"/>
        <v>3716.44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f>75</f>
        <v>75</v>
      </c>
      <c r="P10" s="8"/>
      <c r="Q10" s="8">
        <f>92.96</f>
        <v>92.96</v>
      </c>
      <c r="R10" s="8">
        <v>175.0</v>
      </c>
      <c r="S10" s="8"/>
      <c r="T10" s="8"/>
      <c r="U10" s="8"/>
      <c r="V10" s="8"/>
      <c r="W10" s="8"/>
      <c r="X10" s="8"/>
      <c r="Y10" s="8"/>
      <c r="Z10" s="8">
        <v>100.0</v>
      </c>
      <c r="AA10" s="8">
        <v>147.42</v>
      </c>
      <c r="AB10" s="8"/>
      <c r="AC10" s="8">
        <v>499.0</v>
      </c>
      <c r="AD10" s="8"/>
      <c r="AE10" s="8">
        <f>279+232.06+117</f>
        <v>628.06</v>
      </c>
      <c r="AF10" s="8"/>
      <c r="AG10" s="8">
        <f>1999</f>
        <v>1999</v>
      </c>
    </row>
    <row r="11">
      <c r="A11" s="9" t="s">
        <v>14</v>
      </c>
      <c r="B11" s="5">
        <f t="shared" si="1"/>
        <v>12617.81</v>
      </c>
      <c r="C11" s="8"/>
      <c r="D11" s="8"/>
      <c r="E11" s="8">
        <v>1884.55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>1885.76+1551.35</f>
        <v>3437.11</v>
      </c>
      <c r="Q11" s="8"/>
      <c r="R11" s="8"/>
      <c r="S11" s="8">
        <f>1139.2+2023.5</f>
        <v>3162.7</v>
      </c>
      <c r="T11" s="8"/>
      <c r="U11" s="8"/>
      <c r="V11" s="8"/>
      <c r="W11" s="8"/>
      <c r="X11" s="8"/>
      <c r="Y11" s="8"/>
      <c r="Z11" s="8">
        <f>2156.16</f>
        <v>2156.16</v>
      </c>
      <c r="AA11" s="8"/>
      <c r="AB11" s="8"/>
      <c r="AC11" s="8"/>
      <c r="AD11" s="8"/>
      <c r="AE11" s="8"/>
      <c r="AF11" s="8">
        <f>1977.29</f>
        <v>1977.29</v>
      </c>
      <c r="AG11" s="8"/>
    </row>
    <row r="12">
      <c r="A12" s="5" t="s">
        <v>15</v>
      </c>
      <c r="B12" s="5">
        <f t="shared" si="1"/>
        <v>22036</v>
      </c>
      <c r="C12" s="8"/>
      <c r="D12" s="8"/>
      <c r="E12" s="8"/>
      <c r="F12" s="8"/>
      <c r="G12" s="8">
        <v>17600.0</v>
      </c>
      <c r="H12" s="8"/>
      <c r="I12" s="8"/>
      <c r="J12" s="8"/>
      <c r="K12" s="8">
        <v>1436.0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v>3000.0</v>
      </c>
      <c r="AE12" s="8"/>
      <c r="AF12" s="8"/>
      <c r="AG12" s="8"/>
    </row>
    <row r="13">
      <c r="A13" s="9" t="s">
        <v>16</v>
      </c>
      <c r="B13" s="5">
        <f t="shared" si="1"/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>
      <c r="A14" s="12" t="s">
        <v>17</v>
      </c>
      <c r="B14" s="5">
        <f t="shared" si="1"/>
        <v>38</v>
      </c>
      <c r="C14" s="8"/>
      <c r="D14" s="8"/>
      <c r="E14" s="8"/>
      <c r="F14" s="8"/>
      <c r="G14" s="8"/>
      <c r="H14" s="8"/>
      <c r="I14" s="8"/>
      <c r="J14" s="8"/>
      <c r="K14" s="8">
        <f>38</f>
        <v>38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>
      <c r="A15" s="5" t="s">
        <v>18</v>
      </c>
      <c r="B15" s="5">
        <f t="shared" si="1"/>
        <v>4040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>
        <v>2020.0</v>
      </c>
      <c r="U15" s="8"/>
      <c r="V15" s="8"/>
      <c r="W15" s="8"/>
      <c r="X15" s="8"/>
      <c r="Y15" s="8"/>
      <c r="Z15" s="8"/>
      <c r="AA15" s="8"/>
      <c r="AB15" s="8">
        <v>2020.0</v>
      </c>
      <c r="AC15" s="8"/>
      <c r="AD15" s="8"/>
      <c r="AE15" s="8"/>
      <c r="AF15" s="8"/>
      <c r="AG15" s="8"/>
    </row>
    <row r="16">
      <c r="A16" s="12" t="s">
        <v>19</v>
      </c>
      <c r="B16" s="5">
        <f t="shared" si="1"/>
        <v>700</v>
      </c>
      <c r="C16" s="8"/>
      <c r="D16" s="8"/>
      <c r="E16" s="8"/>
      <c r="F16" s="8"/>
      <c r="G16" s="8">
        <v>700.0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>
      <c r="A17" s="5" t="s">
        <v>20</v>
      </c>
      <c r="B17" s="5">
        <f t="shared" si="1"/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>
      <c r="A18" s="12" t="s">
        <v>21</v>
      </c>
      <c r="B18" s="5">
        <f t="shared" si="1"/>
        <v>700</v>
      </c>
      <c r="C18" s="8">
        <v>200.0</v>
      </c>
      <c r="D18" s="8"/>
      <c r="E18" s="8"/>
      <c r="F18" s="8"/>
      <c r="G18" s="8"/>
      <c r="H18" s="8">
        <v>300.0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>
        <v>200.0</v>
      </c>
      <c r="AD18" s="8"/>
      <c r="AE18" s="8"/>
      <c r="AF18" s="8"/>
      <c r="AG18" s="8"/>
    </row>
    <row r="19">
      <c r="A19" s="5" t="s">
        <v>22</v>
      </c>
      <c r="B19" s="5">
        <f t="shared" si="1"/>
        <v>169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19.0</v>
      </c>
      <c r="P19" s="8"/>
      <c r="Q19" s="8"/>
      <c r="R19" s="8"/>
      <c r="S19" s="8"/>
      <c r="T19" s="8"/>
      <c r="U19" s="8">
        <v>150.0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>
      <c r="A20" s="12" t="s">
        <v>41</v>
      </c>
      <c r="B20" s="5">
        <f t="shared" si="1"/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>
      <c r="A21" s="5" t="s">
        <v>23</v>
      </c>
      <c r="B21" s="5">
        <f t="shared" si="1"/>
        <v>270</v>
      </c>
      <c r="C21" s="8"/>
      <c r="D21" s="8"/>
      <c r="E21" s="8"/>
      <c r="F21" s="8"/>
      <c r="G21" s="8"/>
      <c r="H21" s="8"/>
      <c r="I21" s="8"/>
      <c r="J21" s="8">
        <f>150</f>
        <v>150</v>
      </c>
      <c r="K21" s="8"/>
      <c r="L21" s="8"/>
      <c r="M21" s="8">
        <v>120.0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>
      <c r="A22" s="12" t="s">
        <v>24</v>
      </c>
      <c r="B22" s="5">
        <f t="shared" si="1"/>
        <v>24000</v>
      </c>
      <c r="C22" s="8"/>
      <c r="D22" s="8"/>
      <c r="E22" s="8"/>
      <c r="F22" s="8">
        <v>14000.0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v>10000.0</v>
      </c>
      <c r="AF22" s="8"/>
      <c r="AG22" s="8"/>
    </row>
    <row r="23">
      <c r="A23" s="9" t="s">
        <v>26</v>
      </c>
      <c r="B23" s="5">
        <f t="shared" si="1"/>
        <v>1620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540.0</v>
      </c>
      <c r="P23" s="8"/>
      <c r="Q23" s="8"/>
      <c r="R23" s="8"/>
      <c r="S23" s="8"/>
      <c r="T23" s="8">
        <v>540.0</v>
      </c>
      <c r="U23" s="8">
        <v>540.0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>
      <c r="A24" s="12" t="s">
        <v>27</v>
      </c>
      <c r="B24" s="5">
        <f t="shared" si="1"/>
        <v>212.8</v>
      </c>
      <c r="C24" s="8"/>
      <c r="D24" s="8">
        <f>100</f>
        <v>100</v>
      </c>
      <c r="E24" s="8"/>
      <c r="F24" s="8">
        <f>34.2+40.6+38</f>
        <v>112.8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>
      <c r="A25" s="16" t="s">
        <v>28</v>
      </c>
      <c r="B25" s="5">
        <f t="shared" si="1"/>
        <v>450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v>250.0</v>
      </c>
      <c r="V25" s="8">
        <v>200.0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>
      <c r="A26" s="16" t="s">
        <v>29</v>
      </c>
      <c r="B26" s="5">
        <f t="shared" si="1"/>
        <v>2100</v>
      </c>
      <c r="C26" s="8"/>
      <c r="D26" s="8"/>
      <c r="E26" s="8"/>
      <c r="F26" s="8">
        <f>1600</f>
        <v>1600</v>
      </c>
      <c r="G26" s="8">
        <v>500.0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>
      <c r="A27" s="16" t="s">
        <v>30</v>
      </c>
      <c r="B27" s="5">
        <f t="shared" si="1"/>
        <v>260.88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f>95.5</f>
        <v>95.5</v>
      </c>
      <c r="P27" s="8"/>
      <c r="Q27" s="8"/>
      <c r="R27" s="8"/>
      <c r="S27" s="8"/>
      <c r="T27" s="8"/>
      <c r="U27" s="8">
        <v>151.38</v>
      </c>
      <c r="V27" s="8"/>
      <c r="W27" s="8"/>
      <c r="X27" s="8"/>
      <c r="Y27" s="8"/>
      <c r="Z27" s="8"/>
      <c r="AA27" s="8"/>
      <c r="AB27" s="8"/>
      <c r="AC27" s="8"/>
      <c r="AD27" s="8">
        <v>14.0</v>
      </c>
      <c r="AE27" s="8"/>
      <c r="AF27" s="8"/>
      <c r="AG27" s="8"/>
    </row>
    <row r="28">
      <c r="A28" s="16" t="s">
        <v>31</v>
      </c>
      <c r="B28" s="5">
        <f t="shared" si="1"/>
        <v>3940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1000.0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v>120.0</v>
      </c>
      <c r="AE28" s="8"/>
      <c r="AF28" s="8">
        <f>2500+320</f>
        <v>2820</v>
      </c>
      <c r="AG28" s="8"/>
    </row>
    <row r="29">
      <c r="A29" s="16" t="s">
        <v>32</v>
      </c>
      <c r="B29" s="5">
        <f t="shared" si="1"/>
        <v>15900</v>
      </c>
      <c r="C29" s="8"/>
      <c r="D29" s="8"/>
      <c r="E29" s="8"/>
      <c r="F29" s="8"/>
      <c r="G29" s="8"/>
      <c r="H29" s="8"/>
      <c r="I29" s="8"/>
      <c r="J29" s="8">
        <f>15900</f>
        <v>15900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5" t="s">
        <v>33</v>
      </c>
      <c r="B30" s="5">
        <f t="shared" si="1"/>
        <v>52.8</v>
      </c>
      <c r="C30" s="8"/>
      <c r="D30" s="8"/>
      <c r="E30" s="8"/>
      <c r="F30" s="8"/>
      <c r="G30" s="8"/>
      <c r="H30" s="8"/>
      <c r="I30" s="8"/>
      <c r="J30" s="8"/>
      <c r="K30" s="8"/>
      <c r="L30" s="8">
        <f>38.8</f>
        <v>38.8</v>
      </c>
      <c r="M30" s="8"/>
      <c r="N30" s="8"/>
      <c r="O30" s="8"/>
      <c r="P30" s="8"/>
      <c r="Q30" s="8"/>
      <c r="R30" s="8"/>
      <c r="S30" s="8"/>
      <c r="T30" s="8">
        <v>14.0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16" t="s">
        <v>34</v>
      </c>
      <c r="B31" s="5">
        <f t="shared" si="1"/>
        <v>4234</v>
      </c>
      <c r="C31" s="8"/>
      <c r="D31" s="8"/>
      <c r="E31" s="8"/>
      <c r="F31" s="8">
        <f>858.5</f>
        <v>858.5</v>
      </c>
      <c r="G31" s="8">
        <v>400.0</v>
      </c>
      <c r="H31" s="8"/>
      <c r="I31" s="8"/>
      <c r="J31" s="8"/>
      <c r="K31" s="8"/>
      <c r="L31" s="8"/>
      <c r="M31" s="8">
        <f>858.5</f>
        <v>858.5</v>
      </c>
      <c r="N31" s="8"/>
      <c r="O31" s="8"/>
      <c r="P31" s="8"/>
      <c r="Q31" s="8"/>
      <c r="R31" s="8"/>
      <c r="S31" s="8"/>
      <c r="T31" s="8">
        <v>858.5</v>
      </c>
      <c r="U31" s="8">
        <v>400.0</v>
      </c>
      <c r="V31" s="8"/>
      <c r="W31" s="8"/>
      <c r="X31" s="8"/>
      <c r="Y31" s="8"/>
      <c r="Z31" s="8"/>
      <c r="AA31" s="8">
        <v>858.5</v>
      </c>
      <c r="AB31" s="8"/>
      <c r="AC31" s="8"/>
      <c r="AD31" s="8"/>
      <c r="AE31" s="8"/>
      <c r="AF31" s="8"/>
      <c r="AG31" s="8"/>
    </row>
    <row r="32">
      <c r="A32" s="5" t="s">
        <v>35</v>
      </c>
      <c r="B32" s="5">
        <f t="shared" si="1"/>
        <v>14414.85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>1170.72</f>
        <v>1170.72</v>
      </c>
      <c r="P32" s="8"/>
      <c r="Q32" s="8"/>
      <c r="R32" s="8"/>
      <c r="S32" s="8"/>
      <c r="T32" s="8">
        <v>13244.13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5" t="s">
        <v>36</v>
      </c>
      <c r="B33" s="5">
        <f t="shared" si="1"/>
        <v>18500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v>18500.0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12" t="s">
        <v>38</v>
      </c>
      <c r="B34" s="5">
        <f t="shared" si="1"/>
        <v>635.48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>
        <f>535.48+100</f>
        <v>635.48</v>
      </c>
      <c r="AG34" s="34"/>
    </row>
    <row r="35">
      <c r="A35" s="1" t="s">
        <v>39</v>
      </c>
      <c r="B35" s="18"/>
      <c r="C35" s="21">
        <f t="shared" ref="C35:N35" si="3">SUM(C2:C32)</f>
        <v>2171.24</v>
      </c>
      <c r="D35" s="21">
        <f t="shared" si="3"/>
        <v>9896.64</v>
      </c>
      <c r="E35" s="21">
        <f t="shared" si="3"/>
        <v>3688.25</v>
      </c>
      <c r="F35" s="21">
        <f t="shared" si="3"/>
        <v>18899.65</v>
      </c>
      <c r="G35" s="21">
        <f t="shared" si="3"/>
        <v>19517.12</v>
      </c>
      <c r="H35" s="21">
        <f t="shared" si="3"/>
        <v>870.91</v>
      </c>
      <c r="I35" s="21">
        <f t="shared" si="3"/>
        <v>1471.92</v>
      </c>
      <c r="J35" s="21">
        <f t="shared" si="3"/>
        <v>16815.42</v>
      </c>
      <c r="K35" s="21">
        <f t="shared" si="3"/>
        <v>3093.05</v>
      </c>
      <c r="L35" s="21">
        <f t="shared" si="3"/>
        <v>1708.4</v>
      </c>
      <c r="M35" s="21">
        <f t="shared" si="3"/>
        <v>1483.45</v>
      </c>
      <c r="N35" s="21">
        <f t="shared" si="3"/>
        <v>1954.59</v>
      </c>
      <c r="O35" s="21">
        <f>SUM(O2:O33)</f>
        <v>24297</v>
      </c>
      <c r="P35" s="21">
        <f t="shared" ref="P35:AG35" si="4">SUM(P2:P32)</f>
        <v>4982.97</v>
      </c>
      <c r="Q35" s="21">
        <f t="shared" si="4"/>
        <v>2735.73</v>
      </c>
      <c r="R35" s="21">
        <f t="shared" si="4"/>
        <v>3070.04</v>
      </c>
      <c r="S35" s="21">
        <f t="shared" si="4"/>
        <v>4647.8</v>
      </c>
      <c r="T35" s="21">
        <f t="shared" si="4"/>
        <v>17034.4</v>
      </c>
      <c r="U35" s="21">
        <f t="shared" si="4"/>
        <v>2114.38</v>
      </c>
      <c r="V35" s="21">
        <f t="shared" si="4"/>
        <v>1310.38</v>
      </c>
      <c r="W35" s="21">
        <f t="shared" si="4"/>
        <v>382.48</v>
      </c>
      <c r="X35" s="21">
        <f t="shared" si="4"/>
        <v>689.61</v>
      </c>
      <c r="Y35" s="21">
        <f t="shared" si="4"/>
        <v>659.89</v>
      </c>
      <c r="Z35" s="21">
        <f t="shared" si="4"/>
        <v>4056.98</v>
      </c>
      <c r="AA35" s="21">
        <f t="shared" si="4"/>
        <v>1670.15</v>
      </c>
      <c r="AB35" s="21">
        <f t="shared" si="4"/>
        <v>2745</v>
      </c>
      <c r="AC35" s="21">
        <f t="shared" si="4"/>
        <v>2328.41</v>
      </c>
      <c r="AD35" s="21">
        <f t="shared" si="4"/>
        <v>4838.32</v>
      </c>
      <c r="AE35" s="21">
        <f t="shared" si="4"/>
        <v>10949.13</v>
      </c>
      <c r="AF35" s="21">
        <f t="shared" si="4"/>
        <v>7221.55</v>
      </c>
      <c r="AG35" s="21">
        <f t="shared" si="4"/>
        <v>7339.96</v>
      </c>
    </row>
    <row r="36">
      <c r="A36" s="22" t="s">
        <v>40</v>
      </c>
      <c r="B36" s="23">
        <f>sum(B2:B34)</f>
        <v>185280.3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>
      <c r="A37" s="25">
        <f>AF1-C1+1</f>
        <v>30</v>
      </c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56">
      <c r="A56" s="30">
        <f>B36-B22-H25-M24</f>
        <v>161280.3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11.43"/>
    <col customWidth="1" min="3" max="32" width="7.29"/>
  </cols>
  <sheetData>
    <row r="1">
      <c r="A1" s="1" t="s">
        <v>0</v>
      </c>
      <c r="B1" s="1" t="s">
        <v>1</v>
      </c>
      <c r="C1" s="33">
        <v>44440.0</v>
      </c>
      <c r="D1" s="33">
        <v>44441.0</v>
      </c>
      <c r="E1" s="33">
        <v>44442.0</v>
      </c>
      <c r="F1" s="33">
        <v>44443.0</v>
      </c>
      <c r="G1" s="33">
        <v>44444.0</v>
      </c>
      <c r="H1" s="33">
        <v>44445.0</v>
      </c>
      <c r="I1" s="33">
        <v>44446.0</v>
      </c>
      <c r="J1" s="33">
        <v>44447.0</v>
      </c>
      <c r="K1" s="33">
        <v>44448.0</v>
      </c>
      <c r="L1" s="33">
        <v>44449.0</v>
      </c>
      <c r="M1" s="33">
        <v>44450.0</v>
      </c>
      <c r="N1" s="33">
        <v>44451.0</v>
      </c>
      <c r="O1" s="33">
        <v>44452.0</v>
      </c>
      <c r="P1" s="33">
        <v>44453.0</v>
      </c>
      <c r="Q1" s="33">
        <v>44454.0</v>
      </c>
      <c r="R1" s="33">
        <v>44455.0</v>
      </c>
      <c r="S1" s="33">
        <v>44456.0</v>
      </c>
      <c r="T1" s="33">
        <v>44457.0</v>
      </c>
      <c r="U1" s="33">
        <v>44458.0</v>
      </c>
      <c r="V1" s="33">
        <v>44459.0</v>
      </c>
      <c r="W1" s="33">
        <v>44460.0</v>
      </c>
      <c r="X1" s="33">
        <v>44461.0</v>
      </c>
      <c r="Y1" s="33">
        <v>44462.0</v>
      </c>
      <c r="Z1" s="33">
        <v>44463.0</v>
      </c>
      <c r="AA1" s="33">
        <v>44464.0</v>
      </c>
      <c r="AB1" s="33">
        <v>44465.0</v>
      </c>
      <c r="AC1" s="33">
        <v>44466.0</v>
      </c>
      <c r="AD1" s="33">
        <v>44467.0</v>
      </c>
      <c r="AE1" s="33">
        <v>44468.0</v>
      </c>
      <c r="AF1" s="33">
        <v>44469.0</v>
      </c>
    </row>
    <row r="2">
      <c r="A2" s="5" t="s">
        <v>4</v>
      </c>
      <c r="B2" s="5">
        <f t="shared" ref="B2:B32" si="1">sum(C2:AF2)</f>
        <v>11542.53</v>
      </c>
      <c r="C2" s="8">
        <f>378.27+75.77</f>
        <v>454.04</v>
      </c>
      <c r="D2" s="8">
        <f>213.28</f>
        <v>213.28</v>
      </c>
      <c r="E2" s="8">
        <f>19+424.34</f>
        <v>443.34</v>
      </c>
      <c r="F2" s="8">
        <v>389.91</v>
      </c>
      <c r="G2" s="8">
        <f>779.69+177.98</f>
        <v>957.67</v>
      </c>
      <c r="H2" s="8"/>
      <c r="I2" s="8">
        <f>55.77+14</f>
        <v>69.77</v>
      </c>
      <c r="J2" s="8"/>
      <c r="K2" s="8">
        <v>391.34</v>
      </c>
      <c r="L2" s="8">
        <v>463.22</v>
      </c>
      <c r="M2" s="8">
        <f>76.9+372+326.67</f>
        <v>775.57</v>
      </c>
      <c r="N2" s="8">
        <f>35.6+404.31</f>
        <v>439.91</v>
      </c>
      <c r="O2" s="8">
        <f>49.98+130.88</f>
        <v>180.86</v>
      </c>
      <c r="P2" s="8">
        <f>292.3</f>
        <v>292.3</v>
      </c>
      <c r="Q2" s="8">
        <f>230.52</f>
        <v>230.52</v>
      </c>
      <c r="R2" s="8">
        <v>165.0</v>
      </c>
      <c r="S2" s="8">
        <f>15.9+288.14+30</f>
        <v>334.04</v>
      </c>
      <c r="T2" s="8">
        <f>348.01+118.64</f>
        <v>466.65</v>
      </c>
      <c r="U2" s="40">
        <f>299+502.76</f>
        <v>801.76</v>
      </c>
      <c r="V2" s="40">
        <f>226.27+145.9</f>
        <v>372.17</v>
      </c>
      <c r="W2" s="40">
        <f>508.68</f>
        <v>508.68</v>
      </c>
      <c r="X2" s="40"/>
      <c r="Y2" s="8">
        <f>203.1+101.6</f>
        <v>304.7</v>
      </c>
      <c r="Z2" s="40">
        <f>300+647.9</f>
        <v>947.9</v>
      </c>
      <c r="AA2" s="8">
        <f>791.82+103.4</f>
        <v>895.22</v>
      </c>
      <c r="AB2" s="40">
        <f>15.6+20.64</f>
        <v>36.24</v>
      </c>
      <c r="AC2" s="40">
        <f>348.41</f>
        <v>348.41</v>
      </c>
      <c r="AD2" s="8">
        <f>9.19+14.49+226.19</f>
        <v>249.87</v>
      </c>
      <c r="AE2" s="40"/>
      <c r="AF2" s="40">
        <f>586.3+223.86</f>
        <v>810.16</v>
      </c>
    </row>
    <row r="3">
      <c r="A3" s="9" t="s">
        <v>5</v>
      </c>
      <c r="B3" s="5">
        <f t="shared" si="1"/>
        <v>1180.4</v>
      </c>
      <c r="C3" s="35">
        <f>8+8+71+57</f>
        <v>144</v>
      </c>
      <c r="D3" s="35"/>
      <c r="E3" s="35">
        <f>30+8</f>
        <v>38</v>
      </c>
      <c r="F3" s="35">
        <f>8</f>
        <v>8</v>
      </c>
      <c r="G3" s="35"/>
      <c r="H3" s="35">
        <f>8+21.79+8+8</f>
        <v>45.79</v>
      </c>
      <c r="I3" s="35">
        <f>8+23.32+8</f>
        <v>39.32</v>
      </c>
      <c r="J3" s="35">
        <f>23.66+50+325</f>
        <v>398.66</v>
      </c>
      <c r="K3" s="35">
        <f>23.69+8</f>
        <v>31.69</v>
      </c>
      <c r="L3" s="35">
        <v>8.0</v>
      </c>
      <c r="M3" s="35">
        <f>8+8+8</f>
        <v>24</v>
      </c>
      <c r="N3" s="41"/>
      <c r="O3" s="35">
        <v>23.13</v>
      </c>
      <c r="P3" s="35">
        <f>27.28+21.81</f>
        <v>49.09</v>
      </c>
      <c r="Q3" s="35"/>
      <c r="R3" s="35">
        <f>13.76+8+80+8</f>
        <v>109.76</v>
      </c>
      <c r="S3" s="35">
        <f>43.92</f>
        <v>43.92</v>
      </c>
      <c r="T3" s="35">
        <v>5.0</v>
      </c>
      <c r="U3" s="42"/>
      <c r="V3" s="43">
        <f>33.17</f>
        <v>33.17</v>
      </c>
      <c r="W3" s="42">
        <f>8+20.78+8</f>
        <v>36.78</v>
      </c>
      <c r="X3" s="42">
        <f t="shared" ref="X3:Y3" si="2">8+8</f>
        <v>16</v>
      </c>
      <c r="Y3" s="42">
        <f t="shared" si="2"/>
        <v>16</v>
      </c>
      <c r="Z3" s="42"/>
      <c r="AA3" s="42"/>
      <c r="AB3" s="42">
        <f>30</f>
        <v>30</v>
      </c>
      <c r="AC3" s="42"/>
      <c r="AD3" s="43">
        <f>8+22+8</f>
        <v>38</v>
      </c>
      <c r="AE3" s="42">
        <f>8+26.09+8</f>
        <v>42.09</v>
      </c>
      <c r="AF3" s="42"/>
    </row>
    <row r="4">
      <c r="A4" s="5" t="s">
        <v>7</v>
      </c>
      <c r="B4" s="5">
        <f t="shared" si="1"/>
        <v>5313</v>
      </c>
      <c r="C4" s="8">
        <f>88+49+673</f>
        <v>810</v>
      </c>
      <c r="D4" s="8">
        <v>75.0</v>
      </c>
      <c r="E4" s="8">
        <v>59.0</v>
      </c>
      <c r="F4" s="8"/>
      <c r="G4" s="8"/>
      <c r="H4" s="8">
        <f>101</f>
        <v>101</v>
      </c>
      <c r="I4" s="8">
        <f>98+14</f>
        <v>112</v>
      </c>
      <c r="J4" s="8">
        <f>117+174</f>
        <v>291</v>
      </c>
      <c r="K4" s="8">
        <v>130.0</v>
      </c>
      <c r="L4" s="8"/>
      <c r="M4" s="8">
        <f>34+100+432+377</f>
        <v>943</v>
      </c>
      <c r="N4" s="8">
        <v>316.0</v>
      </c>
      <c r="O4" s="8">
        <f>117+14+16</f>
        <v>147</v>
      </c>
      <c r="P4" s="8">
        <v>153.0</v>
      </c>
      <c r="Q4" s="8">
        <f>25+35+14</f>
        <v>74</v>
      </c>
      <c r="R4" s="8">
        <f>374+111</f>
        <v>485</v>
      </c>
      <c r="S4" s="8">
        <f>112</f>
        <v>112</v>
      </c>
      <c r="T4" s="8">
        <v>125.0</v>
      </c>
      <c r="U4" s="8"/>
      <c r="V4" s="40">
        <f>120+14</f>
        <v>134</v>
      </c>
      <c r="W4" s="8">
        <v>58.0</v>
      </c>
      <c r="X4" s="40">
        <f>30+16</f>
        <v>46</v>
      </c>
      <c r="Y4" s="40">
        <f>55+45+150</f>
        <v>250</v>
      </c>
      <c r="Z4" s="40">
        <f>118+14+16</f>
        <v>148</v>
      </c>
      <c r="AA4" s="40"/>
      <c r="AB4" s="8">
        <f>80+85</f>
        <v>165</v>
      </c>
      <c r="AC4" s="8">
        <f>58+125</f>
        <v>183</v>
      </c>
      <c r="AD4" s="8">
        <v>114.0</v>
      </c>
      <c r="AE4" s="40">
        <f>127+10</f>
        <v>137</v>
      </c>
      <c r="AF4" s="8">
        <v>145.0</v>
      </c>
    </row>
    <row r="5">
      <c r="A5" s="9" t="s">
        <v>8</v>
      </c>
      <c r="B5" s="5">
        <f t="shared" si="1"/>
        <v>13615.31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>
        <v>1158.0</v>
      </c>
      <c r="O5" s="35"/>
      <c r="P5" s="35"/>
      <c r="Q5" s="35"/>
      <c r="R5" s="35"/>
      <c r="S5" s="35"/>
      <c r="T5" s="35">
        <f>3000+138</f>
        <v>3138</v>
      </c>
      <c r="U5" s="42"/>
      <c r="V5" s="42"/>
      <c r="W5" s="42"/>
      <c r="X5" s="42">
        <f>855</f>
        <v>855</v>
      </c>
      <c r="Y5" s="42"/>
      <c r="Z5" s="42"/>
      <c r="AA5" s="42"/>
      <c r="AB5" s="42">
        <f>3498.31+2596</f>
        <v>6094.31</v>
      </c>
      <c r="AC5" s="42"/>
      <c r="AD5" s="42"/>
      <c r="AE5" s="42"/>
      <c r="AF5" s="42">
        <f>2370</f>
        <v>2370</v>
      </c>
    </row>
    <row r="6">
      <c r="A6" s="5" t="s">
        <v>9</v>
      </c>
      <c r="B6" s="5">
        <f t="shared" si="1"/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0"/>
      <c r="V6" s="40"/>
      <c r="W6" s="8"/>
      <c r="X6" s="40"/>
      <c r="Y6" s="40"/>
      <c r="Z6" s="40"/>
      <c r="AA6" s="40"/>
      <c r="AB6" s="40"/>
      <c r="AC6" s="40"/>
      <c r="AD6" s="40"/>
      <c r="AE6" s="40"/>
      <c r="AF6" s="40"/>
    </row>
    <row r="7">
      <c r="A7" s="9" t="s">
        <v>10</v>
      </c>
      <c r="B7" s="5">
        <f t="shared" si="1"/>
        <v>615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>
        <f>494+55+66</f>
        <v>615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>
      <c r="A8" s="5" t="s">
        <v>11</v>
      </c>
      <c r="B8" s="5">
        <f t="shared" si="1"/>
        <v>2270</v>
      </c>
      <c r="C8" s="8"/>
      <c r="D8" s="8"/>
      <c r="E8" s="8"/>
      <c r="F8" s="8">
        <v>630.0</v>
      </c>
      <c r="G8" s="8"/>
      <c r="H8" s="8"/>
      <c r="I8" s="8"/>
      <c r="J8" s="8"/>
      <c r="K8" s="8"/>
      <c r="L8" s="8"/>
      <c r="M8" s="8"/>
      <c r="N8" s="8"/>
      <c r="O8" s="8"/>
      <c r="P8" s="8">
        <v>700.0</v>
      </c>
      <c r="Q8" s="8"/>
      <c r="R8" s="8"/>
      <c r="S8" s="8">
        <v>900.0</v>
      </c>
      <c r="T8" s="8"/>
      <c r="U8" s="40"/>
      <c r="V8" s="40"/>
      <c r="W8" s="8"/>
      <c r="X8" s="40"/>
      <c r="Y8" s="40"/>
      <c r="Z8" s="40"/>
      <c r="AA8" s="8">
        <v>40.0</v>
      </c>
      <c r="AB8" s="40"/>
      <c r="AC8" s="40"/>
      <c r="AD8" s="40"/>
      <c r="AE8" s="40"/>
      <c r="AF8" s="40"/>
    </row>
    <row r="9">
      <c r="A9" s="9" t="s">
        <v>12</v>
      </c>
      <c r="B9" s="5">
        <f t="shared" si="1"/>
        <v>92.94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>
        <v>92.94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</row>
    <row r="10">
      <c r="A10" s="5" t="s">
        <v>13</v>
      </c>
      <c r="B10" s="5">
        <f t="shared" si="1"/>
        <v>1210.85</v>
      </c>
      <c r="C10" s="8"/>
      <c r="D10" s="8">
        <f>150+14.89</f>
        <v>164.89</v>
      </c>
      <c r="E10" s="8"/>
      <c r="F10" s="8"/>
      <c r="G10" s="8"/>
      <c r="H10" s="8"/>
      <c r="I10" s="8">
        <v>166.64</v>
      </c>
      <c r="J10" s="8">
        <v>61.9</v>
      </c>
      <c r="K10" s="8"/>
      <c r="L10" s="8"/>
      <c r="M10" s="8"/>
      <c r="N10" s="8"/>
      <c r="O10" s="8"/>
      <c r="P10" s="8">
        <v>25.0</v>
      </c>
      <c r="Q10" s="8"/>
      <c r="R10" s="8">
        <v>492.72</v>
      </c>
      <c r="S10" s="8"/>
      <c r="T10" s="8"/>
      <c r="U10" s="40">
        <f>199.74</f>
        <v>199.74</v>
      </c>
      <c r="V10" s="40"/>
      <c r="W10" s="40"/>
      <c r="X10" s="40"/>
      <c r="Y10" s="8"/>
      <c r="Z10" s="40"/>
      <c r="AA10" s="40"/>
      <c r="AB10" s="40"/>
      <c r="AC10" s="40"/>
      <c r="AD10" s="8">
        <v>99.96</v>
      </c>
      <c r="AE10" s="40"/>
      <c r="AF10" s="40"/>
    </row>
    <row r="11">
      <c r="A11" s="9" t="s">
        <v>14</v>
      </c>
      <c r="B11" s="5">
        <f t="shared" si="1"/>
        <v>9871.1</v>
      </c>
      <c r="C11" s="35"/>
      <c r="D11" s="35"/>
      <c r="E11" s="35">
        <v>1505.13</v>
      </c>
      <c r="F11" s="35"/>
      <c r="G11" s="35">
        <v>1112.91</v>
      </c>
      <c r="H11" s="35"/>
      <c r="I11" s="35"/>
      <c r="J11" s="35"/>
      <c r="K11" s="35"/>
      <c r="L11" s="35"/>
      <c r="M11" s="35">
        <v>794.26</v>
      </c>
      <c r="N11" s="35"/>
      <c r="O11" s="35"/>
      <c r="P11" s="35"/>
      <c r="Q11" s="35"/>
      <c r="R11" s="35"/>
      <c r="S11" s="35">
        <f>1940.85</f>
        <v>1940.85</v>
      </c>
      <c r="T11" s="35"/>
      <c r="U11" s="42"/>
      <c r="V11" s="42"/>
      <c r="W11" s="42"/>
      <c r="X11" s="42"/>
      <c r="Y11" s="42"/>
      <c r="Z11" s="42"/>
      <c r="AA11" s="43">
        <f>1550.62+1050.63</f>
        <v>2601.25</v>
      </c>
      <c r="AB11" s="43">
        <v>1916.7</v>
      </c>
      <c r="AC11" s="42"/>
      <c r="AD11" s="42"/>
      <c r="AE11" s="42"/>
      <c r="AF11" s="42"/>
    </row>
    <row r="12">
      <c r="A12" s="5" t="s">
        <v>15</v>
      </c>
      <c r="B12" s="5">
        <f t="shared" si="1"/>
        <v>22347</v>
      </c>
      <c r="C12" s="8"/>
      <c r="D12" s="8"/>
      <c r="E12" s="8">
        <v>7500.0</v>
      </c>
      <c r="F12" s="8">
        <v>360.0</v>
      </c>
      <c r="G12" s="8"/>
      <c r="H12" s="8"/>
      <c r="I12" s="8"/>
      <c r="J12" s="8"/>
      <c r="K12" s="8"/>
      <c r="L12" s="8"/>
      <c r="M12" s="8">
        <f>200+200+170+180+246+12600</f>
        <v>13596</v>
      </c>
      <c r="N12" s="8"/>
      <c r="O12" s="8"/>
      <c r="P12" s="8"/>
      <c r="Q12" s="8"/>
      <c r="R12" s="8"/>
      <c r="S12" s="8"/>
      <c r="T12" s="8"/>
      <c r="U12" s="40"/>
      <c r="V12" s="40"/>
      <c r="W12" s="40"/>
      <c r="X12" s="40"/>
      <c r="Y12" s="40"/>
      <c r="Z12" s="8">
        <v>891.0</v>
      </c>
      <c r="AA12" s="40"/>
      <c r="AB12" s="40"/>
      <c r="AC12" s="40"/>
      <c r="AD12" s="40"/>
      <c r="AE12" s="40"/>
      <c r="AF12" s="40"/>
    </row>
    <row r="13">
      <c r="A13" s="9" t="s">
        <v>16</v>
      </c>
      <c r="B13" s="5">
        <f t="shared" si="1"/>
        <v>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>
      <c r="A14" s="12" t="s">
        <v>17</v>
      </c>
      <c r="B14" s="12">
        <f t="shared" si="1"/>
        <v>808.33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>
        <v>808.33</v>
      </c>
      <c r="O14" s="34"/>
      <c r="P14" s="34"/>
      <c r="Q14" s="34"/>
      <c r="R14" s="34"/>
      <c r="S14" s="34"/>
      <c r="T14" s="3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>
      <c r="A15" s="5" t="s">
        <v>18</v>
      </c>
      <c r="B15" s="5">
        <f t="shared" si="1"/>
        <v>8890</v>
      </c>
      <c r="C15" s="8">
        <v>3000.0</v>
      </c>
      <c r="D15" s="8"/>
      <c r="E15" s="8"/>
      <c r="F15" s="8">
        <v>840.0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0"/>
      <c r="V15" s="40"/>
      <c r="W15" s="40"/>
      <c r="X15" s="40"/>
      <c r="Y15" s="8">
        <v>5050.0</v>
      </c>
      <c r="Z15" s="40"/>
      <c r="AA15" s="40"/>
      <c r="AB15" s="40"/>
      <c r="AC15" s="40"/>
      <c r="AD15" s="40"/>
      <c r="AE15" s="40"/>
      <c r="AF15" s="40"/>
    </row>
    <row r="16">
      <c r="A16" s="12" t="s">
        <v>19</v>
      </c>
      <c r="B16" s="12">
        <f t="shared" si="1"/>
        <v>700</v>
      </c>
      <c r="C16" s="44"/>
      <c r="D16" s="44"/>
      <c r="E16" s="44"/>
      <c r="F16" s="44"/>
      <c r="G16" s="44"/>
      <c r="H16" s="44"/>
      <c r="I16" s="34">
        <v>700.0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>
      <c r="A17" s="5" t="s">
        <v>20</v>
      </c>
      <c r="B17" s="5">
        <f t="shared" si="1"/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>
      <c r="A18" s="12" t="s">
        <v>21</v>
      </c>
      <c r="B18" s="12">
        <f t="shared" si="1"/>
        <v>700</v>
      </c>
      <c r="C18" s="34">
        <v>200.0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500</f>
        <v>500</v>
      </c>
      <c r="T18" s="3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>
      <c r="A19" s="5" t="s">
        <v>22</v>
      </c>
      <c r="B19" s="5">
        <f t="shared" si="1"/>
        <v>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>
      <c r="A20" s="12" t="s">
        <v>41</v>
      </c>
      <c r="B20" s="12">
        <f t="shared" si="1"/>
        <v>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>
      <c r="A21" s="5" t="s">
        <v>23</v>
      </c>
      <c r="B21" s="5">
        <f t="shared" si="1"/>
        <v>596</v>
      </c>
      <c r="C21" s="40">
        <f>130+40</f>
        <v>170</v>
      </c>
      <c r="D21" s="40"/>
      <c r="E21" s="8">
        <v>90.0</v>
      </c>
      <c r="F21" s="40"/>
      <c r="G21" s="40"/>
      <c r="H21" s="40"/>
      <c r="I21" s="8"/>
      <c r="J21" s="8">
        <v>135.0</v>
      </c>
      <c r="K21" s="40"/>
      <c r="L21" s="40"/>
      <c r="M21" s="8"/>
      <c r="N21" s="40"/>
      <c r="O21" s="40"/>
      <c r="P21" s="40"/>
      <c r="Q21" s="40"/>
      <c r="R21" s="40"/>
      <c r="S21" s="40"/>
      <c r="T21" s="40"/>
      <c r="U21" s="40"/>
      <c r="V21" s="8"/>
      <c r="W21" s="40"/>
      <c r="X21" s="40"/>
      <c r="Y21" s="40"/>
      <c r="Z21" s="40"/>
      <c r="AA21" s="40"/>
      <c r="AB21" s="40"/>
      <c r="AC21" s="40"/>
      <c r="AD21" s="40"/>
      <c r="AE21" s="40"/>
      <c r="AF21" s="40">
        <f>20+140+41</f>
        <v>201</v>
      </c>
    </row>
    <row r="22">
      <c r="A22" s="12" t="s">
        <v>24</v>
      </c>
      <c r="B22" s="12">
        <f t="shared" si="1"/>
        <v>14000</v>
      </c>
      <c r="C22" s="34"/>
      <c r="D22" s="34">
        <v>14000.0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>
      <c r="A23" s="9" t="s">
        <v>26</v>
      </c>
      <c r="B23" s="9">
        <f t="shared" si="1"/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r="24">
      <c r="A24" s="12" t="s">
        <v>27</v>
      </c>
      <c r="B24" s="12">
        <f t="shared" si="1"/>
        <v>6251</v>
      </c>
      <c r="C24" s="34">
        <v>300.0</v>
      </c>
      <c r="D24" s="34"/>
      <c r="E24" s="34"/>
      <c r="F24" s="34">
        <v>500.0</v>
      </c>
      <c r="G24" s="34"/>
      <c r="H24" s="34"/>
      <c r="I24" s="34"/>
      <c r="J24" s="34">
        <v>52.0</v>
      </c>
      <c r="K24" s="34"/>
      <c r="L24" s="34"/>
      <c r="M24" s="34"/>
      <c r="N24" s="34">
        <f>515+1000</f>
        <v>1515</v>
      </c>
      <c r="O24" s="34"/>
      <c r="P24" s="34">
        <v>3000.0</v>
      </c>
      <c r="Q24" s="34"/>
      <c r="R24" s="34">
        <f>4+600+280</f>
        <v>884</v>
      </c>
      <c r="S24" s="34"/>
      <c r="T24" s="34"/>
      <c r="U24" s="34"/>
      <c r="V24" s="44"/>
      <c r="W24" s="34"/>
      <c r="X24" s="44"/>
      <c r="Y24" s="34"/>
      <c r="Z24" s="44"/>
      <c r="AA24" s="44"/>
      <c r="AB24" s="44"/>
      <c r="AC24" s="44"/>
      <c r="AD24" s="44"/>
      <c r="AE24" s="44"/>
      <c r="AF24" s="44"/>
    </row>
    <row r="25">
      <c r="A25" s="16" t="s">
        <v>28</v>
      </c>
      <c r="B25" s="9">
        <f t="shared" si="1"/>
        <v>2500</v>
      </c>
      <c r="C25" s="8"/>
      <c r="D25" s="8">
        <v>2500.0</v>
      </c>
      <c r="E25" s="40"/>
      <c r="F25" s="40"/>
      <c r="G25" s="40"/>
      <c r="H25" s="40"/>
      <c r="I25" s="40"/>
      <c r="J25" s="40"/>
      <c r="K25" s="40"/>
      <c r="L25" s="40"/>
      <c r="M25" s="40"/>
      <c r="N25" s="46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>
      <c r="A26" s="16" t="s">
        <v>29</v>
      </c>
      <c r="B26" s="9">
        <f t="shared" si="1"/>
        <v>8119</v>
      </c>
      <c r="C26" s="8"/>
      <c r="D26" s="8"/>
      <c r="E26" s="40"/>
      <c r="F26" s="40"/>
      <c r="G26" s="40"/>
      <c r="H26" s="40"/>
      <c r="I26" s="8">
        <v>1600.0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8">
        <v>1650.0</v>
      </c>
      <c r="AF26" s="8">
        <v>4869.0</v>
      </c>
    </row>
    <row r="27">
      <c r="A27" s="16" t="s">
        <v>30</v>
      </c>
      <c r="B27" s="9">
        <f t="shared" si="1"/>
        <v>3142.3</v>
      </c>
      <c r="C27" s="8"/>
      <c r="D27" s="8"/>
      <c r="E27" s="40"/>
      <c r="F27" s="40"/>
      <c r="G27" s="40"/>
      <c r="H27" s="40"/>
      <c r="I27" s="40"/>
      <c r="J27" s="8">
        <v>800.0</v>
      </c>
      <c r="K27" s="40"/>
      <c r="L27" s="40"/>
      <c r="M27" s="40"/>
      <c r="N27" s="8">
        <v>341.3</v>
      </c>
      <c r="O27" s="40"/>
      <c r="P27" s="40"/>
      <c r="Q27" s="40"/>
      <c r="R27" s="40"/>
      <c r="S27" s="40"/>
      <c r="T27" s="40"/>
      <c r="U27" s="40"/>
      <c r="V27" s="40"/>
      <c r="W27" s="47"/>
      <c r="X27" s="8">
        <f>1551+450</f>
        <v>2001</v>
      </c>
      <c r="Y27" s="40"/>
      <c r="Z27" s="40"/>
      <c r="AA27" s="40"/>
      <c r="AB27" s="40"/>
      <c r="AC27" s="40"/>
      <c r="AD27" s="40"/>
      <c r="AE27" s="40"/>
      <c r="AF27" s="40"/>
    </row>
    <row r="28">
      <c r="A28" s="16" t="s">
        <v>31</v>
      </c>
      <c r="B28" s="12">
        <f t="shared" si="1"/>
        <v>490</v>
      </c>
      <c r="C28" s="8"/>
      <c r="D28" s="40"/>
      <c r="E28" s="40"/>
      <c r="F28" s="40"/>
      <c r="G28" s="40"/>
      <c r="H28" s="40"/>
      <c r="I28" s="40"/>
      <c r="J28" s="8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>
        <f>490</f>
        <v>490</v>
      </c>
      <c r="AB28" s="40"/>
      <c r="AC28" s="40"/>
      <c r="AD28" s="40"/>
      <c r="AE28" s="40"/>
      <c r="AF28" s="40"/>
    </row>
    <row r="29">
      <c r="A29" s="16" t="s">
        <v>32</v>
      </c>
      <c r="B29" s="5">
        <f t="shared" si="1"/>
        <v>0</v>
      </c>
      <c r="C29" s="8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8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>
      <c r="A30" s="5" t="s">
        <v>33</v>
      </c>
      <c r="B30" s="5">
        <f t="shared" si="1"/>
        <v>14</v>
      </c>
      <c r="C30" s="8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8"/>
      <c r="V30" s="8"/>
      <c r="W30" s="8"/>
      <c r="X30" s="40"/>
      <c r="Y30" s="40"/>
      <c r="Z30" s="8">
        <v>14.0</v>
      </c>
      <c r="AA30" s="40"/>
      <c r="AB30" s="40"/>
      <c r="AC30" s="40"/>
      <c r="AD30" s="40"/>
      <c r="AE30" s="40"/>
      <c r="AF30" s="40"/>
    </row>
    <row r="31">
      <c r="A31" s="16" t="s">
        <v>34</v>
      </c>
      <c r="B31" s="5">
        <f t="shared" si="1"/>
        <v>1814</v>
      </c>
      <c r="C31" s="40"/>
      <c r="D31" s="47"/>
      <c r="E31" s="40"/>
      <c r="F31" s="40"/>
      <c r="G31" s="40"/>
      <c r="H31" s="8">
        <v>707.0</v>
      </c>
      <c r="I31" s="40"/>
      <c r="J31" s="40"/>
      <c r="K31" s="8"/>
      <c r="L31" s="8"/>
      <c r="M31" s="40"/>
      <c r="N31" s="40"/>
      <c r="O31" s="40"/>
      <c r="P31" s="40"/>
      <c r="Q31" s="40"/>
      <c r="R31" s="40"/>
      <c r="S31" s="40"/>
      <c r="T31" s="8"/>
      <c r="U31" s="40"/>
      <c r="V31" s="40">
        <f>707</f>
        <v>707</v>
      </c>
      <c r="W31" s="40"/>
      <c r="X31" s="40"/>
      <c r="Y31" s="8"/>
      <c r="Z31" s="8">
        <v>400.0</v>
      </c>
      <c r="AA31" s="40"/>
      <c r="AB31" s="40"/>
      <c r="AC31" s="40"/>
      <c r="AD31" s="40"/>
      <c r="AE31" s="40"/>
      <c r="AF31" s="40"/>
    </row>
    <row r="32">
      <c r="A32" s="5" t="s">
        <v>35</v>
      </c>
      <c r="B32" s="5">
        <f t="shared" si="1"/>
        <v>13225.95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8"/>
      <c r="U32" s="40"/>
      <c r="V32" s="40">
        <f>12000+1095+(13095*0.01)</f>
        <v>13225.95</v>
      </c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>
      <c r="A33" s="1" t="s">
        <v>39</v>
      </c>
      <c r="B33" s="18"/>
      <c r="C33" s="21">
        <f t="shared" ref="C33:AF33" si="3">SUM(C2:C32)</f>
        <v>5078.04</v>
      </c>
      <c r="D33" s="21">
        <f t="shared" si="3"/>
        <v>16953.17</v>
      </c>
      <c r="E33" s="21">
        <f t="shared" si="3"/>
        <v>9635.47</v>
      </c>
      <c r="F33" s="21">
        <f t="shared" si="3"/>
        <v>2727.91</v>
      </c>
      <c r="G33" s="21">
        <f t="shared" si="3"/>
        <v>2070.58</v>
      </c>
      <c r="H33" s="21">
        <f t="shared" si="3"/>
        <v>853.79</v>
      </c>
      <c r="I33" s="21">
        <f t="shared" si="3"/>
        <v>2687.73</v>
      </c>
      <c r="J33" s="21">
        <f t="shared" si="3"/>
        <v>1738.56</v>
      </c>
      <c r="K33" s="21">
        <f t="shared" si="3"/>
        <v>553.03</v>
      </c>
      <c r="L33" s="21">
        <f t="shared" si="3"/>
        <v>471.22</v>
      </c>
      <c r="M33" s="21">
        <f t="shared" si="3"/>
        <v>16132.83</v>
      </c>
      <c r="N33" s="21">
        <f t="shared" si="3"/>
        <v>4578.54</v>
      </c>
      <c r="O33" s="21">
        <f t="shared" si="3"/>
        <v>350.99</v>
      </c>
      <c r="P33" s="21">
        <f t="shared" si="3"/>
        <v>4219.39</v>
      </c>
      <c r="Q33" s="21">
        <f t="shared" si="3"/>
        <v>304.52</v>
      </c>
      <c r="R33" s="21">
        <f t="shared" si="3"/>
        <v>2136.48</v>
      </c>
      <c r="S33" s="21">
        <f t="shared" si="3"/>
        <v>3830.81</v>
      </c>
      <c r="T33" s="21">
        <f t="shared" si="3"/>
        <v>4442.59</v>
      </c>
      <c r="U33" s="21">
        <f t="shared" si="3"/>
        <v>1001.5</v>
      </c>
      <c r="V33" s="21">
        <f t="shared" si="3"/>
        <v>14472.29</v>
      </c>
      <c r="W33" s="21">
        <f t="shared" si="3"/>
        <v>603.46</v>
      </c>
      <c r="X33" s="21">
        <f t="shared" si="3"/>
        <v>2918</v>
      </c>
      <c r="Y33" s="21">
        <f t="shared" si="3"/>
        <v>5620.7</v>
      </c>
      <c r="Z33" s="21">
        <f t="shared" si="3"/>
        <v>2400.9</v>
      </c>
      <c r="AA33" s="21">
        <f t="shared" si="3"/>
        <v>4026.47</v>
      </c>
      <c r="AB33" s="21">
        <f t="shared" si="3"/>
        <v>8242.25</v>
      </c>
      <c r="AC33" s="21">
        <f t="shared" si="3"/>
        <v>531.41</v>
      </c>
      <c r="AD33" s="21">
        <f t="shared" si="3"/>
        <v>501.83</v>
      </c>
      <c r="AE33" s="21">
        <f t="shared" si="3"/>
        <v>1829.09</v>
      </c>
      <c r="AF33" s="21">
        <f t="shared" si="3"/>
        <v>8395.16</v>
      </c>
    </row>
    <row r="34">
      <c r="A34" s="22" t="s">
        <v>40</v>
      </c>
      <c r="B34" s="23">
        <f>sum(B2:B32)</f>
        <v>129308.71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>
      <c r="A35" s="25">
        <f>AF1-C1+1</f>
        <v>30</v>
      </c>
      <c r="B35" s="2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54">
      <c r="A54" s="30">
        <f>B34-B22-H25-M24</f>
        <v>115308.71</v>
      </c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13.57"/>
    <col customWidth="1" min="3" max="33" width="8.71"/>
  </cols>
  <sheetData>
    <row r="1">
      <c r="A1" s="1" t="s">
        <v>0</v>
      </c>
      <c r="B1" s="1" t="s">
        <v>1</v>
      </c>
      <c r="C1" s="49">
        <v>44409.0</v>
      </c>
      <c r="D1" s="49">
        <v>44410.0</v>
      </c>
      <c r="E1" s="49">
        <v>44411.0</v>
      </c>
      <c r="F1" s="49">
        <v>44412.0</v>
      </c>
      <c r="G1" s="49">
        <v>44413.0</v>
      </c>
      <c r="H1" s="49">
        <v>44414.0</v>
      </c>
      <c r="I1" s="49">
        <v>44415.0</v>
      </c>
      <c r="J1" s="49">
        <v>44416.0</v>
      </c>
      <c r="K1" s="49">
        <v>44417.0</v>
      </c>
      <c r="L1" s="49">
        <v>44418.0</v>
      </c>
      <c r="M1" s="49">
        <v>44419.0</v>
      </c>
      <c r="N1" s="49">
        <v>44420.0</v>
      </c>
      <c r="O1" s="49">
        <v>44421.0</v>
      </c>
      <c r="P1" s="49">
        <v>44422.0</v>
      </c>
      <c r="Q1" s="49">
        <v>44423.0</v>
      </c>
      <c r="R1" s="49">
        <v>44424.0</v>
      </c>
      <c r="S1" s="49">
        <v>44425.0</v>
      </c>
      <c r="T1" s="49">
        <v>44426.0</v>
      </c>
      <c r="U1" s="50">
        <v>44427.0</v>
      </c>
      <c r="V1" s="50">
        <v>44428.0</v>
      </c>
      <c r="W1" s="50">
        <v>44429.0</v>
      </c>
      <c r="X1" s="50">
        <v>44430.0</v>
      </c>
      <c r="Y1" s="50">
        <v>44431.0</v>
      </c>
      <c r="Z1" s="50">
        <v>44432.0</v>
      </c>
      <c r="AA1" s="50">
        <v>44433.0</v>
      </c>
      <c r="AB1" s="50">
        <v>44434.0</v>
      </c>
      <c r="AC1" s="50">
        <v>44435.0</v>
      </c>
      <c r="AD1" s="50">
        <v>44436.0</v>
      </c>
      <c r="AE1" s="50">
        <v>44437.0</v>
      </c>
      <c r="AF1" s="50">
        <v>44438.0</v>
      </c>
      <c r="AG1" s="50">
        <v>44439.0</v>
      </c>
    </row>
    <row r="2">
      <c r="A2" s="5" t="s">
        <v>4</v>
      </c>
      <c r="B2" s="5">
        <f t="shared" ref="B2:B30" si="1">sum(C2:AG2)</f>
        <v>9478.97</v>
      </c>
      <c r="C2" s="51">
        <f>45+85+93+422.86</f>
        <v>645.86</v>
      </c>
      <c r="D2" s="51"/>
      <c r="E2" s="51"/>
      <c r="F2" s="51">
        <f>219+21.99</f>
        <v>240.99</v>
      </c>
      <c r="G2" s="51"/>
      <c r="H2" s="51">
        <f>89.93+195</f>
        <v>284.93</v>
      </c>
      <c r="I2" s="51">
        <v>563.53</v>
      </c>
      <c r="J2" s="51">
        <f>57+95+155</f>
        <v>307</v>
      </c>
      <c r="K2" s="51">
        <f>295+70.05+33.54</f>
        <v>398.59</v>
      </c>
      <c r="L2" s="51"/>
      <c r="M2" s="51">
        <f>103</f>
        <v>103</v>
      </c>
      <c r="N2" s="51">
        <f>65.15+92+433.79</f>
        <v>590.94</v>
      </c>
      <c r="O2" s="51">
        <f>54+135.17</f>
        <v>189.17</v>
      </c>
      <c r="P2" s="51">
        <f>44.6+48.5+36.5</f>
        <v>129.6</v>
      </c>
      <c r="Q2" s="51">
        <f>34.8+40+48+20</f>
        <v>142.8</v>
      </c>
      <c r="R2" s="51">
        <v>445.28</v>
      </c>
      <c r="S2" s="51">
        <f>353.31</f>
        <v>353.31</v>
      </c>
      <c r="T2" s="51">
        <f>40.99+110.15</f>
        <v>151.14</v>
      </c>
      <c r="U2" s="52"/>
      <c r="V2" s="52">
        <f>156.17+15.7+807.21</f>
        <v>979.08</v>
      </c>
      <c r="W2" s="52">
        <f>13+20</f>
        <v>33</v>
      </c>
      <c r="X2" s="52">
        <f>349.2+74.64+103.07</f>
        <v>526.91</v>
      </c>
      <c r="Y2" s="51">
        <v>92.92</v>
      </c>
      <c r="Z2" s="52"/>
      <c r="AA2" s="51"/>
      <c r="AB2" s="51">
        <v>2151.05</v>
      </c>
      <c r="AC2" s="52"/>
      <c r="AD2" s="52"/>
      <c r="AE2" s="52"/>
      <c r="AF2" s="51">
        <v>316.64</v>
      </c>
      <c r="AG2" s="52">
        <f>402.91+430.32</f>
        <v>833.23</v>
      </c>
    </row>
    <row r="3">
      <c r="A3" s="9" t="s">
        <v>5</v>
      </c>
      <c r="B3" s="5">
        <f t="shared" si="1"/>
        <v>1246</v>
      </c>
      <c r="C3" s="53"/>
      <c r="D3" s="53">
        <f>8+8+16</f>
        <v>32</v>
      </c>
      <c r="E3" s="53">
        <f>50+8</f>
        <v>58</v>
      </c>
      <c r="F3" s="53">
        <f>8+16+50+8</f>
        <v>82</v>
      </c>
      <c r="G3" s="53"/>
      <c r="H3" s="53">
        <v>8.0</v>
      </c>
      <c r="I3" s="53"/>
      <c r="J3" s="53">
        <f>8+8+8+8</f>
        <v>32</v>
      </c>
      <c r="K3" s="53">
        <f>8+8</f>
        <v>16</v>
      </c>
      <c r="L3" s="53">
        <f>8+8+8+8</f>
        <v>32</v>
      </c>
      <c r="M3" s="53"/>
      <c r="N3" s="53"/>
      <c r="O3" s="53"/>
      <c r="P3" s="53"/>
      <c r="Q3" s="53"/>
      <c r="R3" s="53">
        <f>8+8+8</f>
        <v>24</v>
      </c>
      <c r="S3" s="53"/>
      <c r="T3" s="53">
        <f>8+8</f>
        <v>16</v>
      </c>
      <c r="U3" s="54"/>
      <c r="V3" s="55">
        <f>10+10</f>
        <v>20</v>
      </c>
      <c r="W3" s="54">
        <f>78</f>
        <v>78</v>
      </c>
      <c r="X3" s="54"/>
      <c r="Y3" s="54">
        <f>24+16+8</f>
        <v>48</v>
      </c>
      <c r="Z3" s="54"/>
      <c r="AA3" s="54"/>
      <c r="AB3" s="54"/>
      <c r="AC3" s="54"/>
      <c r="AD3" s="54"/>
      <c r="AE3" s="54"/>
      <c r="AF3" s="54"/>
      <c r="AG3" s="55">
        <v>800.0</v>
      </c>
    </row>
    <row r="4">
      <c r="A4" s="5" t="s">
        <v>7</v>
      </c>
      <c r="B4" s="5">
        <f t="shared" si="1"/>
        <v>6164.68</v>
      </c>
      <c r="C4" s="51">
        <f>121+682</f>
        <v>803</v>
      </c>
      <c r="D4" s="51">
        <f>45+208+104+123</f>
        <v>480</v>
      </c>
      <c r="E4" s="51">
        <v>106.0</v>
      </c>
      <c r="F4" s="51">
        <f>97+47</f>
        <v>144</v>
      </c>
      <c r="G4" s="51">
        <v>139.0</v>
      </c>
      <c r="H4" s="51">
        <v>124.0</v>
      </c>
      <c r="I4" s="51">
        <v>272.0</v>
      </c>
      <c r="J4" s="51"/>
      <c r="K4" s="51">
        <v>126.0</v>
      </c>
      <c r="L4" s="51">
        <v>83.0</v>
      </c>
      <c r="M4" s="51">
        <v>82.0</v>
      </c>
      <c r="N4" s="51">
        <f>170+80</f>
        <v>250</v>
      </c>
      <c r="O4" s="51"/>
      <c r="P4" s="51">
        <f>64</f>
        <v>64</v>
      </c>
      <c r="Q4" s="51">
        <f>97</f>
        <v>97</v>
      </c>
      <c r="R4" s="51">
        <f>86+46+78</f>
        <v>210</v>
      </c>
      <c r="S4" s="51">
        <v>151.0</v>
      </c>
      <c r="T4" s="51">
        <f>138+84.51</f>
        <v>222.51</v>
      </c>
      <c r="U4" s="51">
        <f>107+72</f>
        <v>179</v>
      </c>
      <c r="V4" s="52">
        <f>55+493.35+207</f>
        <v>755.35</v>
      </c>
      <c r="W4" s="52">
        <f>200+815</f>
        <v>1015</v>
      </c>
      <c r="X4" s="52"/>
      <c r="Y4" s="52">
        <f>84</f>
        <v>84</v>
      </c>
      <c r="Z4" s="52"/>
      <c r="AA4" s="51">
        <v>48.41</v>
      </c>
      <c r="AB4" s="52"/>
      <c r="AC4" s="52"/>
      <c r="AD4" s="51">
        <v>65.79</v>
      </c>
      <c r="AE4" s="51">
        <f>147.7+52.57</f>
        <v>200.27</v>
      </c>
      <c r="AF4" s="51">
        <v>98.14</v>
      </c>
      <c r="AG4" s="51">
        <v>365.21</v>
      </c>
    </row>
    <row r="5">
      <c r="A5" s="9" t="s">
        <v>8</v>
      </c>
      <c r="B5" s="5">
        <f t="shared" si="1"/>
        <v>4820</v>
      </c>
      <c r="C5" s="53"/>
      <c r="D5" s="53"/>
      <c r="E5" s="53">
        <f>329</f>
        <v>329</v>
      </c>
      <c r="F5" s="53">
        <f>980</f>
        <v>980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>
        <f>1297+239</f>
        <v>1536</v>
      </c>
      <c r="U5" s="54"/>
      <c r="V5" s="54"/>
      <c r="W5" s="54">
        <f>576</f>
        <v>576</v>
      </c>
      <c r="X5" s="54"/>
      <c r="Y5" s="54">
        <f>1399</f>
        <v>1399</v>
      </c>
      <c r="Z5" s="54"/>
      <c r="AA5" s="54"/>
      <c r="AB5" s="54"/>
      <c r="AC5" s="54"/>
      <c r="AD5" s="54"/>
      <c r="AE5" s="54"/>
      <c r="AF5" s="54"/>
      <c r="AG5" s="54"/>
    </row>
    <row r="6">
      <c r="A6" s="5" t="s">
        <v>9</v>
      </c>
      <c r="B6" s="5">
        <f t="shared" si="1"/>
        <v>248.9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  <c r="V6" s="52"/>
      <c r="W6" s="51">
        <v>248.9</v>
      </c>
      <c r="X6" s="52"/>
      <c r="Y6" s="52"/>
      <c r="Z6" s="52"/>
      <c r="AA6" s="52"/>
      <c r="AB6" s="52"/>
      <c r="AC6" s="52"/>
      <c r="AD6" s="52"/>
      <c r="AE6" s="52"/>
      <c r="AF6" s="52"/>
      <c r="AG6" s="52"/>
    </row>
    <row r="7">
      <c r="A7" s="9" t="s">
        <v>10</v>
      </c>
      <c r="B7" s="5">
        <f t="shared" si="1"/>
        <v>557.6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>
        <v>53.9</v>
      </c>
      <c r="T7" s="53"/>
      <c r="U7" s="54"/>
      <c r="V7" s="54"/>
      <c r="W7" s="54">
        <f>503.7</f>
        <v>503.7</v>
      </c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>
      <c r="A8" s="5" t="s">
        <v>11</v>
      </c>
      <c r="B8" s="5">
        <f t="shared" si="1"/>
        <v>4212.8</v>
      </c>
      <c r="C8" s="51"/>
      <c r="D8" s="51">
        <v>150.0</v>
      </c>
      <c r="E8" s="51"/>
      <c r="F8" s="51"/>
      <c r="G8" s="51"/>
      <c r="H8" s="51"/>
      <c r="I8" s="51"/>
      <c r="J8" s="51"/>
      <c r="K8" s="51"/>
      <c r="L8" s="51">
        <v>495.0</v>
      </c>
      <c r="M8" s="51"/>
      <c r="N8" s="51">
        <f>80</f>
        <v>80</v>
      </c>
      <c r="O8" s="51">
        <f>325</f>
        <v>325</v>
      </c>
      <c r="P8" s="51"/>
      <c r="Q8" s="51">
        <v>300.0</v>
      </c>
      <c r="R8" s="51"/>
      <c r="S8" s="51">
        <v>700.0</v>
      </c>
      <c r="T8" s="51">
        <v>712.8</v>
      </c>
      <c r="U8" s="52"/>
      <c r="V8" s="52"/>
      <c r="W8" s="51">
        <v>600.0</v>
      </c>
      <c r="X8" s="52"/>
      <c r="Y8" s="52">
        <f>500+350</f>
        <v>850</v>
      </c>
      <c r="Z8" s="52"/>
      <c r="AA8" s="52"/>
      <c r="AB8" s="52"/>
      <c r="AC8" s="52"/>
      <c r="AD8" s="52"/>
      <c r="AE8" s="52"/>
      <c r="AF8" s="52"/>
      <c r="AG8" s="52"/>
    </row>
    <row r="9">
      <c r="A9" s="9" t="s">
        <v>12</v>
      </c>
      <c r="B9" s="5">
        <f t="shared" si="1"/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</row>
    <row r="10">
      <c r="A10" s="5" t="s">
        <v>13</v>
      </c>
      <c r="B10" s="5">
        <f t="shared" si="1"/>
        <v>1032.26</v>
      </c>
      <c r="C10" s="51">
        <f>78.89</f>
        <v>78.89</v>
      </c>
      <c r="D10" s="51"/>
      <c r="E10" s="51">
        <v>57.9</v>
      </c>
      <c r="F10" s="51">
        <f>700</f>
        <v>700</v>
      </c>
      <c r="G10" s="51"/>
      <c r="H10" s="51"/>
      <c r="I10" s="51"/>
      <c r="J10" s="51"/>
      <c r="K10" s="51"/>
      <c r="L10" s="51"/>
      <c r="M10" s="51">
        <f>79.88</f>
        <v>79.88</v>
      </c>
      <c r="N10" s="51"/>
      <c r="O10" s="51"/>
      <c r="P10" s="51"/>
      <c r="Q10" s="51"/>
      <c r="R10" s="51"/>
      <c r="S10" s="51"/>
      <c r="T10" s="51"/>
      <c r="U10" s="52"/>
      <c r="V10" s="52"/>
      <c r="W10" s="52"/>
      <c r="X10" s="52"/>
      <c r="Y10" s="51">
        <v>115.59</v>
      </c>
      <c r="Z10" s="52"/>
      <c r="AA10" s="52"/>
      <c r="AB10" s="52"/>
      <c r="AC10" s="52"/>
      <c r="AD10" s="52"/>
      <c r="AE10" s="52"/>
      <c r="AF10" s="52"/>
      <c r="AG10" s="52"/>
    </row>
    <row r="11">
      <c r="A11" s="9" t="s">
        <v>14</v>
      </c>
      <c r="B11" s="5">
        <f t="shared" si="1"/>
        <v>10944.79</v>
      </c>
      <c r="C11" s="53"/>
      <c r="D11" s="53"/>
      <c r="E11" s="53"/>
      <c r="F11" s="53"/>
      <c r="G11" s="53">
        <v>1274.4</v>
      </c>
      <c r="H11" s="53"/>
      <c r="I11" s="53"/>
      <c r="J11" s="53"/>
      <c r="K11" s="53"/>
      <c r="L11" s="53"/>
      <c r="M11" s="53">
        <v>1392.92</v>
      </c>
      <c r="N11" s="53">
        <v>1037.04</v>
      </c>
      <c r="O11" s="53"/>
      <c r="P11" s="53"/>
      <c r="Q11" s="53">
        <v>1760.85</v>
      </c>
      <c r="R11" s="53">
        <v>948.2</v>
      </c>
      <c r="S11" s="53"/>
      <c r="T11" s="53">
        <v>1487.86</v>
      </c>
      <c r="U11" s="54"/>
      <c r="V11" s="54"/>
      <c r="W11" s="54"/>
      <c r="X11" s="54">
        <f>1798.78+1244.74</f>
        <v>3043.52</v>
      </c>
      <c r="Y11" s="54"/>
      <c r="Z11" s="54"/>
      <c r="AA11" s="54"/>
      <c r="AB11" s="54"/>
      <c r="AC11" s="54"/>
      <c r="AD11" s="54"/>
      <c r="AE11" s="54"/>
      <c r="AF11" s="54"/>
      <c r="AG11" s="54"/>
    </row>
    <row r="12">
      <c r="A12" s="5" t="s">
        <v>15</v>
      </c>
      <c r="B12" s="5">
        <f t="shared" si="1"/>
        <v>0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</row>
    <row r="13">
      <c r="A13" s="9" t="s">
        <v>16</v>
      </c>
      <c r="B13" s="5">
        <f t="shared" si="1"/>
        <v>173</v>
      </c>
      <c r="C13" s="53">
        <v>173.0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</row>
    <row r="14">
      <c r="A14" s="12" t="s">
        <v>17</v>
      </c>
      <c r="B14" s="12">
        <f t="shared" si="1"/>
        <v>1945.2</v>
      </c>
      <c r="C14" s="10"/>
      <c r="D14" s="10"/>
      <c r="E14" s="10"/>
      <c r="F14" s="10"/>
      <c r="G14" s="10"/>
      <c r="H14" s="10"/>
      <c r="I14" s="10">
        <v>1945.2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</row>
    <row r="15">
      <c r="A15" s="5" t="s">
        <v>18</v>
      </c>
      <c r="B15" s="5">
        <f t="shared" si="1"/>
        <v>0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</row>
    <row r="16">
      <c r="A16" s="12" t="s">
        <v>19</v>
      </c>
      <c r="B16" s="12">
        <f t="shared" si="1"/>
        <v>600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>
        <f>600</f>
        <v>600</v>
      </c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</row>
    <row r="17">
      <c r="A17" s="5" t="s">
        <v>20</v>
      </c>
      <c r="B17" s="5">
        <f t="shared" si="1"/>
        <v>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</row>
    <row r="18">
      <c r="A18" s="12" t="s">
        <v>21</v>
      </c>
      <c r="B18" s="12">
        <f t="shared" si="1"/>
        <v>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>
      <c r="A19" s="5" t="s">
        <v>22</v>
      </c>
      <c r="B19" s="5">
        <f t="shared" si="1"/>
        <v>100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>
        <v>100.0</v>
      </c>
      <c r="N19" s="51"/>
      <c r="O19" s="51"/>
      <c r="P19" s="51"/>
      <c r="Q19" s="51"/>
      <c r="R19" s="51"/>
      <c r="S19" s="51"/>
      <c r="T19" s="51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</row>
    <row r="20">
      <c r="A20" s="12" t="s">
        <v>41</v>
      </c>
      <c r="B20" s="12">
        <f t="shared" si="1"/>
        <v>600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6"/>
      <c r="V20" s="56"/>
      <c r="W20" s="56"/>
      <c r="X20" s="56"/>
      <c r="Y20" s="56"/>
      <c r="Z20" s="10">
        <v>600.0</v>
      </c>
      <c r="AA20" s="56"/>
      <c r="AB20" s="56"/>
      <c r="AC20" s="56"/>
      <c r="AD20" s="56"/>
      <c r="AE20" s="56"/>
      <c r="AF20" s="56"/>
      <c r="AG20" s="56"/>
    </row>
    <row r="21">
      <c r="A21" s="5" t="s">
        <v>23</v>
      </c>
      <c r="B21" s="5">
        <f t="shared" si="1"/>
        <v>759</v>
      </c>
      <c r="C21" s="52">
        <f>135+45+90</f>
        <v>270</v>
      </c>
      <c r="D21" s="52"/>
      <c r="E21" s="52"/>
      <c r="F21" s="52"/>
      <c r="G21" s="52"/>
      <c r="H21" s="52"/>
      <c r="I21" s="51">
        <v>135.0</v>
      </c>
      <c r="J21" s="51">
        <v>85.0</v>
      </c>
      <c r="K21" s="52"/>
      <c r="L21" s="52"/>
      <c r="M21" s="51">
        <v>120.0</v>
      </c>
      <c r="N21" s="52"/>
      <c r="O21" s="52"/>
      <c r="P21" s="52"/>
      <c r="Q21" s="52"/>
      <c r="R21" s="52"/>
      <c r="S21" s="52"/>
      <c r="T21" s="52"/>
      <c r="U21" s="52"/>
      <c r="V21" s="51">
        <v>149.0</v>
      </c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</row>
    <row r="22">
      <c r="A22" s="12" t="s">
        <v>24</v>
      </c>
      <c r="B22" s="12">
        <f t="shared" si="1"/>
        <v>95583.02</v>
      </c>
      <c r="C22" s="10">
        <v>14000.0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>
        <f>4085.82+77497.2</f>
        <v>81583.02</v>
      </c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</row>
    <row r="23">
      <c r="A23" s="9" t="s">
        <v>26</v>
      </c>
      <c r="B23" s="9">
        <f t="shared" si="1"/>
        <v>2990</v>
      </c>
      <c r="C23" s="53">
        <v>290.0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7"/>
      <c r="V23" s="57"/>
      <c r="W23" s="57"/>
      <c r="X23" s="57"/>
      <c r="Y23" s="57">
        <f>540*3</f>
        <v>1620</v>
      </c>
      <c r="Z23" s="57"/>
      <c r="AA23" s="57"/>
      <c r="AC23" s="57"/>
      <c r="AD23" s="57"/>
      <c r="AE23" s="57"/>
      <c r="AF23" s="57"/>
      <c r="AG23" s="57">
        <f>540*2</f>
        <v>1080</v>
      </c>
    </row>
    <row r="24">
      <c r="A24" s="12" t="s">
        <v>27</v>
      </c>
      <c r="B24" s="12">
        <f t="shared" si="1"/>
        <v>71016.93</v>
      </c>
      <c r="C24" s="10"/>
      <c r="D24" s="10"/>
      <c r="E24" s="10"/>
      <c r="F24" s="10"/>
      <c r="G24" s="10"/>
      <c r="H24" s="10"/>
      <c r="I24" s="10"/>
      <c r="J24" s="10"/>
      <c r="K24" s="10">
        <f>750.44+46</f>
        <v>796.44</v>
      </c>
      <c r="L24" s="10"/>
      <c r="M24" s="10">
        <v>16025.0</v>
      </c>
      <c r="N24" s="10"/>
      <c r="O24" s="10"/>
      <c r="P24" s="10"/>
      <c r="Q24" s="10"/>
      <c r="R24" s="10"/>
      <c r="S24" s="10">
        <f>350+1010</f>
        <v>1360</v>
      </c>
      <c r="T24" s="10"/>
      <c r="U24" s="10">
        <f>46+41</f>
        <v>87</v>
      </c>
      <c r="V24" s="56"/>
      <c r="W24" s="10">
        <v>785.0</v>
      </c>
      <c r="X24" s="56">
        <f>100</f>
        <v>100</v>
      </c>
      <c r="Y24" s="10">
        <f>150.5+68+18.2+30</f>
        <v>266.7</v>
      </c>
      <c r="Z24" s="56"/>
      <c r="AA24" s="56"/>
      <c r="AB24" s="53">
        <v>51053.31</v>
      </c>
      <c r="AC24" s="56"/>
      <c r="AD24" s="56"/>
      <c r="AE24" s="56"/>
      <c r="AF24" s="56"/>
      <c r="AG24" s="10">
        <v>543.48</v>
      </c>
    </row>
    <row r="25">
      <c r="A25" s="16" t="s">
        <v>28</v>
      </c>
      <c r="B25" s="12">
        <f t="shared" si="1"/>
        <v>82625</v>
      </c>
      <c r="C25" s="51"/>
      <c r="D25" s="52"/>
      <c r="E25" s="52"/>
      <c r="F25" s="52"/>
      <c r="G25" s="52"/>
      <c r="H25" s="52">
        <f>16000+58125+8500</f>
        <v>82625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</row>
    <row r="26">
      <c r="A26" s="16" t="s">
        <v>31</v>
      </c>
      <c r="B26" s="12">
        <f t="shared" si="1"/>
        <v>1882.98</v>
      </c>
      <c r="C26" s="51"/>
      <c r="D26" s="52"/>
      <c r="E26" s="52"/>
      <c r="F26" s="52"/>
      <c r="G26" s="52"/>
      <c r="H26" s="52"/>
      <c r="I26" s="52"/>
      <c r="J26" s="51">
        <v>240.0</v>
      </c>
      <c r="K26" s="52"/>
      <c r="L26" s="52"/>
      <c r="M26" s="52"/>
      <c r="N26" s="52"/>
      <c r="O26" s="52"/>
      <c r="P26" s="52"/>
      <c r="Q26" s="52"/>
      <c r="R26" s="52"/>
      <c r="S26" s="58"/>
      <c r="T26" s="58"/>
      <c r="U26" s="52">
        <f>766+700</f>
        <v>1466</v>
      </c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1">
        <v>176.98</v>
      </c>
      <c r="AG26" s="58"/>
    </row>
    <row r="27">
      <c r="A27" s="16" t="s">
        <v>32</v>
      </c>
      <c r="B27" s="5">
        <f t="shared" si="1"/>
        <v>605</v>
      </c>
      <c r="C27" s="51">
        <v>605.0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8"/>
      <c r="T27" s="58"/>
      <c r="U27" s="59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</row>
    <row r="28">
      <c r="A28" s="5" t="s">
        <v>33</v>
      </c>
      <c r="B28" s="5">
        <f t="shared" si="1"/>
        <v>275</v>
      </c>
      <c r="C28" s="51">
        <v>45.0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1">
        <v>50.0</v>
      </c>
      <c r="V28" s="51">
        <v>100.0</v>
      </c>
      <c r="W28" s="51">
        <v>80.0</v>
      </c>
      <c r="X28" s="52"/>
      <c r="Y28" s="52"/>
      <c r="Z28" s="52"/>
      <c r="AA28" s="52"/>
      <c r="AB28" s="52"/>
      <c r="AC28" s="52"/>
      <c r="AD28" s="52"/>
      <c r="AE28" s="52"/>
      <c r="AF28" s="52"/>
      <c r="AG28" s="52"/>
    </row>
    <row r="29">
      <c r="A29" s="16" t="s">
        <v>34</v>
      </c>
      <c r="B29" s="5">
        <f t="shared" si="1"/>
        <v>4710.8</v>
      </c>
      <c r="C29" s="52"/>
      <c r="D29" s="60">
        <v>707.0</v>
      </c>
      <c r="E29" s="52"/>
      <c r="F29" s="52"/>
      <c r="G29" s="52"/>
      <c r="H29" s="52"/>
      <c r="I29" s="52"/>
      <c r="J29" s="52"/>
      <c r="K29" s="51">
        <v>707.0</v>
      </c>
      <c r="L29" s="51">
        <v>125.0</v>
      </c>
      <c r="M29" s="52"/>
      <c r="N29" s="52"/>
      <c r="O29" s="52"/>
      <c r="P29" s="52"/>
      <c r="Q29" s="52"/>
      <c r="R29" s="52">
        <f>707</f>
        <v>707</v>
      </c>
      <c r="S29" s="58"/>
      <c r="T29" s="51">
        <v>1757.8</v>
      </c>
      <c r="U29" s="58"/>
      <c r="V29" s="58"/>
      <c r="W29" s="58"/>
      <c r="X29" s="58"/>
      <c r="Y29" s="51">
        <v>707.0</v>
      </c>
      <c r="Z29" s="58"/>
      <c r="AA29" s="58"/>
      <c r="AB29" s="58"/>
      <c r="AC29" s="58"/>
      <c r="AD29" s="58"/>
      <c r="AE29" s="58"/>
      <c r="AF29" s="58"/>
      <c r="AG29" s="58"/>
    </row>
    <row r="30">
      <c r="A30" s="5" t="s">
        <v>35</v>
      </c>
      <c r="B30" s="5">
        <f t="shared" si="1"/>
        <v>13165.35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1">
        <v>13165.35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>
      <c r="A31" s="1" t="s">
        <v>39</v>
      </c>
      <c r="B31" s="18"/>
      <c r="C31" s="58">
        <f t="shared" ref="C31:S31" si="2">SUM(C2:C29)</f>
        <v>16910.75</v>
      </c>
      <c r="D31" s="58">
        <f t="shared" si="2"/>
        <v>1369</v>
      </c>
      <c r="E31" s="58">
        <f t="shared" si="2"/>
        <v>550.9</v>
      </c>
      <c r="F31" s="58">
        <f t="shared" si="2"/>
        <v>2146.99</v>
      </c>
      <c r="G31" s="58">
        <f t="shared" si="2"/>
        <v>1413.4</v>
      </c>
      <c r="H31" s="58">
        <f t="shared" si="2"/>
        <v>83041.93</v>
      </c>
      <c r="I31" s="58">
        <f t="shared" si="2"/>
        <v>2915.73</v>
      </c>
      <c r="J31" s="58">
        <f t="shared" si="2"/>
        <v>664</v>
      </c>
      <c r="K31" s="58">
        <f t="shared" si="2"/>
        <v>2044.03</v>
      </c>
      <c r="L31" s="58">
        <f t="shared" si="2"/>
        <v>735</v>
      </c>
      <c r="M31" s="58">
        <f t="shared" si="2"/>
        <v>17902.8</v>
      </c>
      <c r="N31" s="58">
        <f t="shared" si="2"/>
        <v>1957.98</v>
      </c>
      <c r="O31" s="58">
        <f t="shared" si="2"/>
        <v>514.17</v>
      </c>
      <c r="P31" s="58">
        <f t="shared" si="2"/>
        <v>193.6</v>
      </c>
      <c r="Q31" s="58">
        <f t="shared" si="2"/>
        <v>2300.65</v>
      </c>
      <c r="R31" s="58">
        <f t="shared" si="2"/>
        <v>2334.48</v>
      </c>
      <c r="S31" s="58">
        <f t="shared" si="2"/>
        <v>3218.21</v>
      </c>
      <c r="T31" s="58">
        <f>SUM(T2:T30)</f>
        <v>100632.48</v>
      </c>
      <c r="U31" s="58">
        <f t="shared" ref="U31:AG31" si="3">SUM(U2:U29)</f>
        <v>1782</v>
      </c>
      <c r="V31" s="58">
        <f t="shared" si="3"/>
        <v>2003.43</v>
      </c>
      <c r="W31" s="58">
        <f t="shared" si="3"/>
        <v>3919.6</v>
      </c>
      <c r="X31" s="58">
        <f t="shared" si="3"/>
        <v>3670.43</v>
      </c>
      <c r="Y31" s="58">
        <f t="shared" si="3"/>
        <v>5183.21</v>
      </c>
      <c r="Z31" s="58">
        <f t="shared" si="3"/>
        <v>600</v>
      </c>
      <c r="AA31" s="58">
        <f t="shared" si="3"/>
        <v>48.41</v>
      </c>
      <c r="AB31" s="58">
        <f t="shared" si="3"/>
        <v>53204.36</v>
      </c>
      <c r="AC31" s="58">
        <f t="shared" si="3"/>
        <v>0</v>
      </c>
      <c r="AD31" s="58">
        <f t="shared" si="3"/>
        <v>65.79</v>
      </c>
      <c r="AE31" s="58">
        <f t="shared" si="3"/>
        <v>200.27</v>
      </c>
      <c r="AF31" s="58">
        <f t="shared" si="3"/>
        <v>591.76</v>
      </c>
      <c r="AG31" s="58">
        <f t="shared" si="3"/>
        <v>3621.92</v>
      </c>
    </row>
    <row r="32">
      <c r="A32" s="61" t="s">
        <v>40</v>
      </c>
      <c r="B32" s="62">
        <f>sum(B2:B30)</f>
        <v>315737.28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</row>
    <row r="33">
      <c r="A33" s="25">
        <f>AG1-C1+1</f>
        <v>31</v>
      </c>
      <c r="B33" s="26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52">
      <c r="A52" s="30">
        <f>B32-B22-H25-M24</f>
        <v>121504.26</v>
      </c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3.43"/>
    <col customWidth="1" min="2" max="2" width="13.0"/>
  </cols>
  <sheetData>
    <row r="1">
      <c r="A1" s="1" t="s">
        <v>0</v>
      </c>
      <c r="B1" s="1" t="s">
        <v>1</v>
      </c>
      <c r="C1" s="63">
        <v>44396.0</v>
      </c>
      <c r="D1" s="63">
        <v>44397.0</v>
      </c>
      <c r="E1" s="63">
        <v>44398.0</v>
      </c>
      <c r="F1" s="63">
        <v>44399.0</v>
      </c>
      <c r="G1" s="63">
        <v>44400.0</v>
      </c>
      <c r="H1" s="63">
        <v>44401.0</v>
      </c>
      <c r="I1" s="63">
        <v>44402.0</v>
      </c>
      <c r="J1" s="63">
        <v>44403.0</v>
      </c>
      <c r="K1" s="63">
        <v>44404.0</v>
      </c>
      <c r="L1" s="63">
        <v>44405.0</v>
      </c>
      <c r="M1" s="63">
        <v>44406.0</v>
      </c>
      <c r="N1" s="63">
        <v>44407.0</v>
      </c>
      <c r="O1" s="63">
        <v>44408.0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5" t="s">
        <v>4</v>
      </c>
      <c r="B2" s="5">
        <f t="shared" ref="B2:B21" si="1">sum(C2:O2)</f>
        <v>3721.35</v>
      </c>
      <c r="C2" s="5">
        <v>252.15</v>
      </c>
      <c r="D2" s="5">
        <v>133.0</v>
      </c>
      <c r="E2" s="28">
        <f>263.64</f>
        <v>263.64</v>
      </c>
      <c r="F2" s="5">
        <f>93.47+32.79+30.24+42</f>
        <v>198.5</v>
      </c>
      <c r="G2" s="28">
        <f>17+89.1</f>
        <v>106.1</v>
      </c>
      <c r="H2" s="28">
        <f>275.08+163.16</f>
        <v>438.24</v>
      </c>
      <c r="I2" s="28"/>
      <c r="J2" s="5">
        <f>94.12+238.2+27.8+141.06+27.9</f>
        <v>529.08</v>
      </c>
      <c r="K2" s="28">
        <f>362.54+75.4</f>
        <v>437.94</v>
      </c>
      <c r="L2" s="28">
        <f>74.17</f>
        <v>74.17</v>
      </c>
      <c r="M2" s="28">
        <f>70.98+16+291.73</f>
        <v>378.71</v>
      </c>
      <c r="N2" s="28">
        <f>187.7+96</f>
        <v>283.7</v>
      </c>
      <c r="O2" s="28">
        <f>592.84+33.28</f>
        <v>626.12</v>
      </c>
    </row>
    <row r="3">
      <c r="A3" s="5" t="s">
        <v>5</v>
      </c>
      <c r="B3" s="5">
        <f t="shared" si="1"/>
        <v>336</v>
      </c>
      <c r="C3" s="5">
        <v>24.0</v>
      </c>
      <c r="D3" s="5">
        <v>32.0</v>
      </c>
      <c r="E3" s="5">
        <v>48.0</v>
      </c>
      <c r="F3" s="5">
        <f>24+16</f>
        <v>40</v>
      </c>
      <c r="G3" s="5">
        <v>24.0</v>
      </c>
      <c r="H3" s="28"/>
      <c r="I3" s="5"/>
      <c r="J3" s="5">
        <f>32+8+8</f>
        <v>48</v>
      </c>
      <c r="K3" s="5">
        <f>16+8+8</f>
        <v>32</v>
      </c>
      <c r="L3" s="28">
        <f>8+8+8+8</f>
        <v>32</v>
      </c>
      <c r="M3" s="28">
        <f>8+8+8+8+8</f>
        <v>40</v>
      </c>
      <c r="N3" s="28">
        <f>8+8</f>
        <v>16</v>
      </c>
      <c r="O3" s="28"/>
    </row>
    <row r="4">
      <c r="A4" s="5" t="s">
        <v>7</v>
      </c>
      <c r="B4" s="5">
        <f t="shared" si="1"/>
        <v>1712</v>
      </c>
      <c r="C4" s="28"/>
      <c r="D4" s="5">
        <v>48.0</v>
      </c>
      <c r="E4" s="28"/>
      <c r="F4" s="5">
        <v>126.0</v>
      </c>
      <c r="G4" s="28"/>
      <c r="H4" s="5">
        <f>560+91</f>
        <v>651</v>
      </c>
      <c r="I4" s="28"/>
      <c r="J4" s="28"/>
      <c r="K4" s="5">
        <v>46.0</v>
      </c>
      <c r="L4" s="5">
        <f>72+73+160</f>
        <v>305</v>
      </c>
      <c r="M4" s="5">
        <f>36+103</f>
        <v>139</v>
      </c>
      <c r="N4" s="28">
        <f>56+121</f>
        <v>177</v>
      </c>
      <c r="O4" s="5">
        <v>220.0</v>
      </c>
    </row>
    <row r="5">
      <c r="A5" s="5" t="s">
        <v>8</v>
      </c>
      <c r="B5" s="5">
        <f t="shared" si="1"/>
        <v>1360</v>
      </c>
      <c r="C5" s="28"/>
      <c r="D5" s="28"/>
      <c r="E5" s="28"/>
      <c r="F5" s="28"/>
      <c r="G5" s="28"/>
      <c r="H5" s="28"/>
      <c r="I5" s="28"/>
      <c r="J5" s="5">
        <v>313.0</v>
      </c>
      <c r="K5" s="28"/>
      <c r="L5" s="28"/>
      <c r="M5" s="5">
        <v>1047.0</v>
      </c>
      <c r="N5" s="28"/>
      <c r="O5" s="28"/>
    </row>
    <row r="6">
      <c r="A6" s="5" t="s">
        <v>9</v>
      </c>
      <c r="B6" s="5">
        <f t="shared" si="1"/>
        <v>273</v>
      </c>
      <c r="C6" s="28"/>
      <c r="D6" s="64">
        <v>273.0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>
      <c r="A7" s="5" t="s">
        <v>10</v>
      </c>
      <c r="B7" s="5">
        <f t="shared" si="1"/>
        <v>136</v>
      </c>
      <c r="C7" s="28"/>
      <c r="D7" s="28"/>
      <c r="E7" s="28"/>
      <c r="F7" s="28"/>
      <c r="G7" s="28"/>
      <c r="H7" s="28"/>
      <c r="I7" s="28"/>
      <c r="J7" s="28"/>
      <c r="K7" s="64">
        <v>136.0</v>
      </c>
      <c r="L7" s="28"/>
      <c r="M7" s="28"/>
      <c r="N7" s="28"/>
      <c r="O7" s="28"/>
    </row>
    <row r="8">
      <c r="A8" s="5" t="s">
        <v>42</v>
      </c>
      <c r="B8" s="5">
        <f t="shared" si="1"/>
        <v>310</v>
      </c>
      <c r="C8" s="28"/>
      <c r="D8" s="28"/>
      <c r="E8" s="28"/>
      <c r="F8" s="5">
        <v>310.0</v>
      </c>
      <c r="G8" s="28"/>
      <c r="H8" s="28"/>
      <c r="I8" s="28"/>
      <c r="J8" s="28"/>
      <c r="K8" s="28"/>
      <c r="L8" s="28"/>
      <c r="M8" s="28"/>
      <c r="N8" s="28"/>
      <c r="O8" s="28"/>
    </row>
    <row r="9">
      <c r="A9" s="5" t="s">
        <v>12</v>
      </c>
      <c r="B9" s="5">
        <f t="shared" si="1"/>
        <v>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>
      <c r="A10" s="5" t="s">
        <v>13</v>
      </c>
      <c r="B10" s="5">
        <f t="shared" si="1"/>
        <v>227.6</v>
      </c>
      <c r="C10" s="28"/>
      <c r="D10" s="28"/>
      <c r="E10" s="28"/>
      <c r="F10" s="28">
        <f>74.99</f>
        <v>74.99</v>
      </c>
      <c r="G10" s="28"/>
      <c r="H10" s="28"/>
      <c r="I10" s="28"/>
      <c r="J10" s="5">
        <v>116.45</v>
      </c>
      <c r="K10" s="28"/>
      <c r="L10" s="28"/>
      <c r="M10" s="28"/>
      <c r="N10" s="28"/>
      <c r="O10" s="28">
        <f>36.16</f>
        <v>36.16</v>
      </c>
    </row>
    <row r="11">
      <c r="A11" s="5" t="s">
        <v>14</v>
      </c>
      <c r="B11" s="5">
        <f t="shared" si="1"/>
        <v>3230.96</v>
      </c>
      <c r="C11" s="28"/>
      <c r="D11" s="28"/>
      <c r="E11" s="28"/>
      <c r="F11" s="28"/>
      <c r="G11" s="28"/>
      <c r="H11" s="5">
        <v>1477.42</v>
      </c>
      <c r="I11" s="28"/>
      <c r="J11" s="28"/>
      <c r="K11" s="28"/>
      <c r="L11" s="28"/>
      <c r="M11" s="28"/>
      <c r="N11" s="28"/>
      <c r="O11" s="5">
        <v>1753.54</v>
      </c>
    </row>
    <row r="12">
      <c r="A12" s="5" t="s">
        <v>15</v>
      </c>
      <c r="B12" s="5">
        <f t="shared" si="1"/>
        <v>360</v>
      </c>
      <c r="C12" s="28"/>
      <c r="D12" s="28"/>
      <c r="E12" s="28"/>
      <c r="F12" s="28"/>
      <c r="G12" s="28"/>
      <c r="H12" s="5">
        <v>360.0</v>
      </c>
      <c r="I12" s="28"/>
      <c r="J12" s="28"/>
      <c r="K12" s="28"/>
      <c r="L12" s="28"/>
      <c r="M12" s="28"/>
      <c r="N12" s="28"/>
      <c r="O12" s="28"/>
    </row>
    <row r="13">
      <c r="A13" s="5" t="s">
        <v>17</v>
      </c>
      <c r="B13" s="5">
        <f t="shared" si="1"/>
        <v>713.49</v>
      </c>
      <c r="C13" s="28"/>
      <c r="D13" s="28"/>
      <c r="E13" s="28"/>
      <c r="F13" s="28"/>
      <c r="G13" s="28"/>
      <c r="H13" s="28">
        <f>288.15+425.34</f>
        <v>713.49</v>
      </c>
      <c r="I13" s="28"/>
      <c r="J13" s="28"/>
      <c r="K13" s="28"/>
      <c r="L13" s="28"/>
      <c r="M13" s="28"/>
      <c r="N13" s="28"/>
      <c r="O13" s="28"/>
    </row>
    <row r="14">
      <c r="A14" s="5" t="s">
        <v>18</v>
      </c>
      <c r="B14" s="5">
        <f t="shared" si="1"/>
        <v>3000</v>
      </c>
      <c r="C14" s="28"/>
      <c r="D14" s="28"/>
      <c r="E14" s="28"/>
      <c r="F14" s="28"/>
      <c r="G14" s="28"/>
      <c r="H14" s="28"/>
      <c r="I14" s="28"/>
      <c r="J14" s="5">
        <v>3000.0</v>
      </c>
      <c r="K14" s="28"/>
      <c r="L14" s="28"/>
      <c r="M14" s="28"/>
      <c r="N14" s="28"/>
      <c r="O14" s="28"/>
    </row>
    <row r="15">
      <c r="A15" s="5" t="s">
        <v>19</v>
      </c>
      <c r="B15" s="5">
        <f t="shared" si="1"/>
        <v>600</v>
      </c>
      <c r="C15" s="28"/>
      <c r="D15" s="28"/>
      <c r="E15" s="28"/>
      <c r="F15" s="28"/>
      <c r="G15" s="28"/>
      <c r="H15" s="28"/>
      <c r="I15" s="28"/>
      <c r="J15" s="28"/>
      <c r="K15" s="5">
        <v>600.0</v>
      </c>
      <c r="L15" s="28"/>
      <c r="M15" s="28"/>
      <c r="N15" s="28"/>
      <c r="O15" s="28"/>
    </row>
    <row r="16">
      <c r="A16" s="5" t="s">
        <v>20</v>
      </c>
      <c r="B16" s="5">
        <f t="shared" si="1"/>
        <v>2280.12</v>
      </c>
      <c r="C16" s="28"/>
      <c r="D16" s="28"/>
      <c r="E16" s="28"/>
      <c r="F16" s="28"/>
      <c r="G16" s="28"/>
      <c r="H16" s="28"/>
      <c r="I16" s="28"/>
      <c r="J16" s="28"/>
      <c r="K16" s="5">
        <v>2280.12</v>
      </c>
      <c r="L16" s="28"/>
      <c r="M16" s="28"/>
      <c r="N16" s="28"/>
      <c r="O16" s="28"/>
    </row>
    <row r="17">
      <c r="A17" s="5" t="s">
        <v>21</v>
      </c>
      <c r="B17" s="5">
        <f t="shared" si="1"/>
        <v>500</v>
      </c>
      <c r="C17" s="28"/>
      <c r="D17" s="28"/>
      <c r="E17" s="28"/>
      <c r="F17" s="28"/>
      <c r="G17" s="28"/>
      <c r="H17" s="28"/>
      <c r="I17" s="28"/>
      <c r="J17" s="28"/>
      <c r="K17" s="28"/>
      <c r="L17" s="5">
        <v>300.0</v>
      </c>
      <c r="M17" s="28"/>
      <c r="N17" s="5">
        <v>200.0</v>
      </c>
      <c r="O17" s="28"/>
    </row>
    <row r="18">
      <c r="A18" s="5" t="s">
        <v>22</v>
      </c>
      <c r="B18" s="5">
        <f t="shared" si="1"/>
        <v>307.5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>
        <f>307.5</f>
        <v>307.5</v>
      </c>
      <c r="N18" s="28"/>
      <c r="O18" s="28"/>
    </row>
    <row r="19">
      <c r="A19" s="5" t="s">
        <v>41</v>
      </c>
      <c r="B19" s="5">
        <f t="shared" si="1"/>
        <v>1116.12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>
        <f>712.53</f>
        <v>712.53</v>
      </c>
      <c r="N19" s="5">
        <v>403.59</v>
      </c>
      <c r="O19" s="28"/>
    </row>
    <row r="20">
      <c r="A20" s="28"/>
      <c r="B20" s="5">
        <f t="shared" si="1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>
      <c r="A21" s="5" t="s">
        <v>27</v>
      </c>
      <c r="B21" s="5">
        <f t="shared" si="1"/>
        <v>7600</v>
      </c>
      <c r="C21" s="28"/>
      <c r="D21" s="28"/>
      <c r="E21" s="28"/>
      <c r="F21" s="28"/>
      <c r="G21" s="5">
        <v>300.0</v>
      </c>
      <c r="H21" s="28"/>
      <c r="I21" s="28"/>
      <c r="J21" s="28"/>
      <c r="K21" s="5">
        <v>1000.0</v>
      </c>
      <c r="L21" s="28"/>
      <c r="M21" s="28"/>
      <c r="N21" s="28"/>
      <c r="O21" s="5">
        <v>6300.0</v>
      </c>
    </row>
    <row r="22">
      <c r="A22" s="1" t="s">
        <v>39</v>
      </c>
      <c r="B22" s="18"/>
      <c r="C22" s="18">
        <f t="shared" ref="C22:O22" si="2">sum(C2:C21)</f>
        <v>276.15</v>
      </c>
      <c r="D22" s="18">
        <f t="shared" si="2"/>
        <v>486</v>
      </c>
      <c r="E22" s="18">
        <f t="shared" si="2"/>
        <v>311.64</v>
      </c>
      <c r="F22" s="18">
        <f t="shared" si="2"/>
        <v>749.49</v>
      </c>
      <c r="G22" s="18">
        <f t="shared" si="2"/>
        <v>430.1</v>
      </c>
      <c r="H22" s="18">
        <f t="shared" si="2"/>
        <v>3640.15</v>
      </c>
      <c r="I22" s="18">
        <f t="shared" si="2"/>
        <v>0</v>
      </c>
      <c r="J22" s="18">
        <f t="shared" si="2"/>
        <v>4006.53</v>
      </c>
      <c r="K22" s="18">
        <f t="shared" si="2"/>
        <v>4532.06</v>
      </c>
      <c r="L22" s="18">
        <f t="shared" si="2"/>
        <v>711.17</v>
      </c>
      <c r="M22" s="18">
        <f t="shared" si="2"/>
        <v>2624.74</v>
      </c>
      <c r="N22" s="18">
        <f t="shared" si="2"/>
        <v>1080.29</v>
      </c>
      <c r="O22" s="18">
        <f t="shared" si="2"/>
        <v>8935.82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1" t="s">
        <v>40</v>
      </c>
      <c r="B23" s="18">
        <f>sum(C22:O22)</f>
        <v>27784.14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5">
        <f>O1-C1+1</f>
        <v>13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</sheetData>
  <drawing r:id="rId1"/>
  <tableParts count="1">
    <tablePart r:id="rId3"/>
  </tableParts>
</worksheet>
</file>